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35C77CD6-3E83-E04E-A31A-7FB30B6376B2}"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T88" i="1"/>
  <c r="BF89" i="1"/>
  <c r="BT89" i="1"/>
  <c r="BF90" i="1"/>
  <c r="BT90" i="1"/>
  <c r="BF91" i="1"/>
  <c r="BT91" i="1"/>
  <c r="BF92" i="1"/>
  <c r="BT92" i="1"/>
  <c r="BF93" i="1"/>
  <c r="BT93" i="1"/>
  <c r="BF94" i="1"/>
  <c r="BT94" i="1"/>
  <c r="BF95" i="1"/>
  <c r="BT95" i="1"/>
  <c r="BF96" i="1"/>
  <c r="BT96" i="1"/>
  <c r="BF97" i="1"/>
  <c r="BT97" i="1"/>
  <c r="BT98" i="1"/>
  <c r="BF99" i="1"/>
  <c r="BT99"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T267" i="1"/>
  <c r="BF268" i="1"/>
  <c r="BT268" i="1"/>
  <c r="BF269" i="1"/>
  <c r="BT269" i="1"/>
  <c r="BF270" i="1"/>
  <c r="BT270" i="1"/>
  <c r="BF271" i="1"/>
  <c r="BT271" i="1"/>
  <c r="BF272" i="1"/>
  <c r="BT272" i="1"/>
  <c r="BF273" i="1"/>
  <c r="BT273" i="1"/>
  <c r="BF274" i="1"/>
  <c r="BT274" i="1"/>
  <c r="BF275" i="1"/>
  <c r="BT275" i="1"/>
  <c r="BT276" i="1"/>
  <c r="BF277" i="1"/>
  <c r="BT277"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T456"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T550" i="1"/>
  <c r="BT551" i="1"/>
  <c r="BT552" i="1"/>
  <c r="BT553"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T689" i="1"/>
  <c r="BF690" i="1"/>
  <c r="BT690" i="1"/>
  <c r="BF691" i="1"/>
  <c r="BT691" i="1"/>
  <c r="BT692"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T995" i="1"/>
  <c r="BT996" i="1"/>
  <c r="BF997" i="1"/>
  <c r="BT997" i="1"/>
  <c r="BF998" i="1"/>
  <c r="BT998" i="1"/>
  <c r="BF999" i="1"/>
  <c r="BT999" i="1"/>
  <c r="BF1000" i="1"/>
  <c r="BT1000" i="1"/>
  <c r="BF1001" i="1"/>
  <c r="BT1001" i="1"/>
</calcChain>
</file>

<file path=xl/sharedStrings.xml><?xml version="1.0" encoding="utf-8"?>
<sst xmlns="http://schemas.openxmlformats.org/spreadsheetml/2006/main" count="59277" uniqueCount="18942">
  <si>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</si>
  <si>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</si>
  <si>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</si>
  <si>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</si>
  <si>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</si>
  <si>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</si>
  <si>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</si>
  <si>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</si>
  <si>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</si>
  <si>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</si>
  <si>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</si>
  <si>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</si>
  <si>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</si>
  <si>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</si>
  <si>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</si>
  <si>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</si>
  <si>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</si>
  <si>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</si>
  <si>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</si>
  <si>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</si>
  <si>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</si>
  <si>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</si>
  <si>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</si>
  <si>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</si>
  <si>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</si>
  <si>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</si>
  <si>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</si>
  <si>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</si>
  <si>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</si>
  <si>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</si>
  <si>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</si>
  <si>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</si>
  <si>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</si>
  <si>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</si>
  <si>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</si>
  <si>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</si>
  <si>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</si>
  <si>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</si>
  <si>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</si>
  <si>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</si>
  <si>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</si>
  <si>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</si>
  <si>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</si>
  <si>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</si>
  <si>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</si>
  <si>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</si>
  <si>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</si>
  <si>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</si>
  <si>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</si>
  <si>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</si>
  <si>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</si>
  <si>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</si>
  <si>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</si>
  <si>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</si>
  <si>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</si>
  <si>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</si>
  <si>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</si>
  <si>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</si>
  <si>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</si>
  <si>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</si>
  <si>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</si>
  <si>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</si>
  <si>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</si>
  <si>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</si>
  <si>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</si>
  <si>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</si>
  <si>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</si>
  <si>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</si>
  <si>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</si>
  <si>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</si>
  <si>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</si>
  <si>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</si>
  <si>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</si>
  <si>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Ghigliotti, L; Cheng, CCH; Ozouf-Costaz, C; Vacchi, M; Pisano, E</t>
  </si>
  <si>
    <t/>
  </si>
  <si>
    <t>Ghigliotti, Laura; Cheng, Christina C. -H.; Ozouf-Costaz, Catherine; Vacchi, Marino; Pisano, Eva</t>
  </si>
  <si>
    <t>Cytogenetic diversity of notothenioid fish from the Ross sea: historical overview and updates</t>
  </si>
  <si>
    <t>HYDROBIOLOGIA</t>
  </si>
  <si>
    <t>English</t>
  </si>
  <si>
    <t>Article</t>
  </si>
  <si>
    <t>Antarctic fish; Chromosomes; gene mapping; Karyotype</t>
  </si>
  <si>
    <t>TERRA-NOVA BAY; DISSOSTICHUS-MAWSONI; GLOBIN GENES; TREMATOMUS NOTOTHENIOIDEI; ADAPTIVE RADIATION; ALPHA-GLOBIN; PERCIFORMES; ANTIFREEZE; EVOLUTION; CHANNICHTHYIDAE</t>
  </si>
  <si>
    <t>Cytogenetics provides a unique platform to study in situ structural, functional, and evolutionary aspects of the genome. As such it holds powerful promise in decoding mechanisms and processes of genome architectural changes and their role in organism's diversification and evolution. Since the early 80s, such an approach has been applied to the study of the Antarctic notothenioid fishes. In almost three decades, the cytogenetic information has expanded to cover half of the known species inhabiting the high Antarctic waters. Although started 10 years later, cytogenetic studies of species from the Ross sea region have provided valuable contributions to this bulk of knowledge. Here, we synthesize the currently available cytogenetic information on Antarctic notothenioid fishes from the Ross Sea Region, inclusive of both conventional karyotyping and gene mapping. In addition, new karyotypic data on four species (Lepidonotothen squamifrons, Trematomus scotti, T. loennbergii, and T. lepidorhinus) are provided. In discussing these data, specific focus is made on the patterns and subtleties of cytogenetic diversity at inter- and intra-specific levels aiming at contributing to the refinement of the knowledge of fish diversity in a region, the Ross Sea area, whose primary ecological value is widely recognized.</t>
  </si>
  <si>
    <t>[Ghigliotti, Laura] CNR, Inst Marine Sci ISMAR, I-16149 Genoa, Italy; [Cheng, Christina C. -H.] Univ Illinois, Dept Anim Biol, Urbana, IL 61801 USA; [Ozouf-Costaz, Catherine] Univ Paris 06, CNRS, IBPS, UMR 7138, F-75005 Paris, France; [Vacchi, Marino] CNR, Inst Marine Sci ISMAR, I-16149 Genoa, Italy; [Pisano, Eva] Univ Genoa, Dept Earth Environm &amp; Life Sci DISTAV, I-16132 Genoa, Italy</t>
  </si>
  <si>
    <t>Consiglio Nazionale delle Ricerche (CNR); Istituto di Scienze Marine (ISMAR-CNR); University of Illinois System; University of Illinois Urbana-Champaign; Sorbonne Universite; Centre National de la Recherche Scientifique (CNRS); CNRS - National Institute for Biology (INSB); Museum National d'Histoire Naturelle (MNHN); Consiglio Nazionale delle Ricerche (CNR); Istituto di Scienze Marine (ISMAR-CNR); University of Genoa</t>
  </si>
  <si>
    <t>Ghigliotti, L (corresponding author), CNR, Inst Marine Sci ISMAR, Via Marini 6, I-16149 Genoa, Italy.</t>
  </si>
  <si>
    <t>laura.ghigliotti@gmail.com</t>
  </si>
  <si>
    <t>Ghigliotti, Laura/J-3076-2012; Ghigliotti, Laura/AAN-6843-2021</t>
  </si>
  <si>
    <t>Ghigliotti, Laura/0000-0003-2139-1381</t>
  </si>
  <si>
    <t>Italian National Programme for Antarctic Research (PNRA) [2013.AZ 1.11]; Italian National Research Program (PNRA); New Zealand Ministry of Fisheries; National Institute of Water &amp; Atmospheric Research (NIWA); US NSF Office of Polar Programs [OPP 0231006]; Office of Polar Programs (OPP); Directorate For Geosciences [1142158] Funding Source: National Science Foundation</t>
  </si>
  <si>
    <t>Italian National Programme for Antarctic Research (PNRA); Italian National Research Program (PNRA); New Zealand Ministry of Fisheries; National Institute of Water &amp; Atmospheric Research (NIWA); US NSF Office of Polar Programs(National Science Foundation (NSF)); Office of Polar Programs (OPP); Directorate For Geosciences(National Science Foundation (NSF)NSF - Directorate for Geosciences (GEO))</t>
  </si>
  <si>
    <t>The study was supported by the Italian National Programme for Antarctic Research (PNRA) project 2013.AZ 1.11 and contributes to the SCAR Scientific Research Program AnT-ERA (Antarctic Thresholds-Ecosystem Resilience and Adaptation). We thank the Italian National Research Program (PNRA) for funding and logistic support during the italian scientific expeditions, the New Zealand Ministry of Fisheries and the National Institute of Water &amp; Atmospheric Research (NIWA) for covering the logistic costs of the RV Tangaroa Cruise 2004, and the US NSF Office of Polar Programs (OPP 0231006 to C.-H.C.C.) for support to C.-H.C.C. and LG in the sampling at McMurdo Station in 2004.</t>
  </si>
  <si>
    <t>SPRINGER</t>
  </si>
  <si>
    <t>DORDRECHT</t>
  </si>
  <si>
    <t>VAN GODEWIJCKSTRAAT 30, 3311 GZ DORDRECHT, NETHERLANDS</t>
  </si>
  <si>
    <t>0018-8158</t>
  </si>
  <si>
    <t>1573-5117</t>
  </si>
  <si>
    <t>Hydrobiologia</t>
  </si>
  <si>
    <t>NOV</t>
  </si>
  <si>
    <t>10.1007/s10750-015-2355-5</t>
  </si>
  <si>
    <t>Marine &amp; Freshwater Biology</t>
  </si>
  <si>
    <t>Science Citation Index Expanded (SCI-EXPANDED)</t>
  </si>
  <si>
    <t>CT7AC</t>
  </si>
  <si>
    <t>2024-04-21</t>
  </si>
  <si>
    <t>WOS:000362964400022</t>
  </si>
  <si>
    <t>Hanchet, S; Dunn, A; Parker, S; Horn, P; Stevens, D; Mormede, S</t>
  </si>
  <si>
    <t>Hanchet, Stuart; Dunn, Alistair; Parker, Steven; Horn, Peter; Stevens, Darren; Mormede, Sophie</t>
  </si>
  <si>
    <t>The Antarctic toothfish (Dissostichus mawsoni): biology, ecology, and life history in the Ross Sea region</t>
  </si>
  <si>
    <t>Antarctic toothfish; Spatial distribution; Movements; Growth; Life cycle</t>
  </si>
  <si>
    <t>LOW GENETIC DIVERSITY; PATAGONIAN TOOTHFISH; MCMURDO SOUND; AGE; DIET; MITOCHONDRIAL; ELEGINOIDES; BEHAVIOR; SECTOR; GROWTH</t>
  </si>
  <si>
    <t>The Antarctic toothfish (Dissostichus mawsoni, Norman) is a large notothenioid fish that supports valuable fisheries around the Antarctic continent. The Ross Sea fishery, which started in 1997, is managed by the Commission for the Conservation of Antarctic Marine Living Resources (CCAMLR). Whilst a large amount of research into the biology of this species has been carried out over the past decade, much of this work has been presented in CCAMLR working group papers and has not been published in the primary literature. In this paper, we bring together and summarise the extensive published and unpublished literature on the biology and ecology of Antarctic toothfish in the Ross Sea region including distribution, stock structure, reproduction, age and growth, and trophic ecology in a single document for the first time. We also review and further develop testable hypotheses surrounding its life cycle and identify gaps in our knowledge including spawning behaviour and early life history which need to be addressed.</t>
  </si>
  <si>
    <t>[Hanchet, Stuart; Parker, Steven] Natl Inst Water &amp; Atmospher Res NIWA Ltd, Nelson, New Zealand; [Dunn, Alistair; Horn, Peter; Stevens, Darren; Mormede, Sophie] Natl Inst Water &amp; Atmospher Res NIWA Ltd, Wellington, New Zealand</t>
  </si>
  <si>
    <t>National Institute of Water &amp; Atmospheric Research (NIWA) - New Zealand; National Institute of Water &amp; Atmospheric Research (NIWA) - New Zealand</t>
  </si>
  <si>
    <t>Hanchet, S (corresponding author), Natl Inst Water &amp; Atmospher Res NIWA Ltd, POB 893, Nelson, New Zealand.</t>
  </si>
  <si>
    <t>s.hanchet@niwa.co.nz</t>
  </si>
  <si>
    <t>Mormede, Sophie/0000-0003-4668-2046; Horn, Peter/0000-0003-4163-5064</t>
  </si>
  <si>
    <t>Directorate For Geosciences; Office of Polar Programs (OPP) [0944411] Funding Source: National Science Foundation</t>
  </si>
  <si>
    <t>Directorate For Geosciences; Office of Polar Programs (OPP)(National Science Foundation (NSF)NSF - Directorate for Geosciences (GEO))</t>
  </si>
  <si>
    <t>10.1007/s10750-015-2435-6</t>
  </si>
  <si>
    <t>WOS:000362964400023</t>
  </si>
  <si>
    <t>Maida, I; Bosi, E; Fondi, M; Perrin, E; Orlandini, V; Papaleo, M; Mengoni, A; de Pascale, D; Tutino, ML; Michaud, L; Lo Giudice, A; Fani, R</t>
  </si>
  <si>
    <t>Maida, Isabel; Bosi, Emanuele; Fondi, Marco; Perrin, Elena; Orlandini, Valerio; Papaleo, Maria Cristiana; Mengoni, Alessio; de Pascale, Donatella; Tutino, Maria Luisa; Michaud, Luigi; Lo Giudice, Angelina; Fani, Renato</t>
  </si>
  <si>
    <t>Antimicrobial activity of Pseudoalteromonas strains isolated from the Ross Sea (Antarctica) versus Cystic Fibrosis opportunistic pathogens</t>
  </si>
  <si>
    <t>Antarctic strains; Pseudoalteromonas; Burkholderia cepacia complex; mVOCs; Cystic Fibrosis</t>
  </si>
  <si>
    <t>CEPACIA COMPLEX BACTERIA; PSYCHROTROPHIC BACTERIA; NATURAL-PRODUCTS; GROWTH</t>
  </si>
  <si>
    <t>In Antarctica, the selective pressure may have led to the evolution of novel capabilities by indigenous organisms, including microorganisms, to achieve competitive advantages. In this work, the ability of thirteen Antarctic Pseudoalteromonas isolates from different sources (sponges, seawater and sediments) to synthesize antimicrobial compounds was analysed. The antibacterial activity was tested against Cystic Fibrosis opportunistic pathogens belonging to the Burkholderia cepacia complex (Bcc). Data obtained revealed that all the Pseudoalteromonas strains synthesize a plethora of microbial volatile organic compounds (mVOCs) and diffusible molecules that strongly interfere with the growth of Bcc bacteria and that this synthesis may be influenced by the growth media essentially in terms of amount of each mVOC. The finding that mVOCs profiles can be obtained from bacteria belonging to very different taxa strongly suggests that the synthesis of such compounds might have a great relevance from an evolutionary and/or ecological viewpoint. Since these mVOCs are able to completely inhibit the growth of Bcc bacteria, thus exhibiting an antibacterial activity, it is possible that such compounds might represent one of the forces driving the structuring of bacterial communities inhabiting the same ecological niche.</t>
  </si>
  <si>
    <t>[Maida, Isabel; Bosi, Emanuele; Fondi, Marco; Perrin, Elena; Orlandini, Valerio; Papaleo, Maria Cristiana; Mengoni, Alessio; Fani, Renato] Univ Florence, Dept Biol, I-50019 Florence, Italy; [Orlandini, Valerio; de Pascale, Donatella] CNR, Inst Prot Biochem, I-80131 Naples, Italy; [Tutino, Maria Luisa] Univ Naples Federico II, Dept Chem Sci, I-80129 Naples, Italy; [Michaud, Luigi; Lo Giudice, Angelina] Univ Messina, Dept Biol &amp; Environm Sci, I-98166 Messina, Italy; [Lo Giudice, Angelina] Natl Res Council IAMC CNR, Inst Coastal Marine Environm, I-98122 Messina, Italy</t>
  </si>
  <si>
    <t>University of Florence; Consiglio Nazionale delle Ricerche (CNR); Istituto di Biochimica delle Proteine (IBP-CNR); University of Naples Federico II; University of Messina; Consiglio Nazionale delle Ricerche (CNR); L'Istituto per l'Ambiente Marino Costiero (IAMC-CNR)</t>
  </si>
  <si>
    <t>Fani, R (corresponding author), Univ Florence, Dept Biol, Via Madonna del Piano 6, I-50019 Florence, Italy.</t>
  </si>
  <si>
    <t>renato.fani@unifi.it</t>
  </si>
  <si>
    <t>TUTINO, MARIA LUISA/L-1834-2013; Mengoni, Alessio/G-5336-2013; Perrin, Elena/AAX-2762-2020</t>
  </si>
  <si>
    <t>Mengoni, Alessio/0000-0002-1265-8251; Perrin, Elena/0000-0001-5148-3178; Fondi, Marco/0000-0001-9291-5467; Bosi, Emanuele/0000-0002-4769-8667; Tutino, Maria Luisa/0000-0002-4978-6839</t>
  </si>
  <si>
    <t>Italian Cystic Fibrosis Research foundation [12/2011]; Ente Cassa di Risparmio di Firenze [1103, 2008]; MNA (Museo Nazionale dell'Antartide); PNRA (Programma Nazionale di Ricerche in Antartide) [PNRA 2013/B4.02, PNRA 2013 AZ1.04]; EU KBBE Project Pharmasea [312184]; Fondazione Adriano Buzzati-Traverso fellowship</t>
  </si>
  <si>
    <t>Italian Cystic Fibrosis Research foundation(Ministry of Health, ItalyItalian Cystic Fibrosis Research Foundation); Ente Cassa di Risparmio di Firenze(Fondazione Cassa Risparmio Firenze); MNA (Museo Nazionale dell'Antartide); PNRA (Programma Nazionale di Ricerche in Antartide); EU KBBE Project Pharmasea; Fondazione Adriano Buzzati-Traverso fellowship</t>
  </si>
  <si>
    <t>This work was financially supported by the Italian Cystic Fibrosis Research foundation (Grant FFC#12/2011), the Ente Cassa di Risparmio di Firenze (Grant 1103#2008), the MNA (Museo Nazionale dell'Antartide) and PNRA (Programma Nazionale di Ricerche in Antartide) Grants (PNRA 2013/B4.02 and PNRA 2013 AZ1.04). We also thank the EU KBBE Project Pharmasea 2012-2016, Grant Agreement No: 312184. Elena Perrin is financially supported by a Fondazione Adriano Buzzati-Traverso fellowship. We are also very grateful to two anonymous referees for their helpful suggestions in improving the manuscript.</t>
  </si>
  <si>
    <t>10.1007/s10750-015-2190-8</t>
  </si>
  <si>
    <t>WOS:000362964400026</t>
  </si>
  <si>
    <t>Gao, JL; Lv, FY; Wang, XM; Yuan, M; Li, JW; Wu, QY; Sun, JG</t>
  </si>
  <si>
    <t>Gao, Jun-lian; Lv, Fan-yang; Wang, Xu-ming; Yuan, Mei; Li, Ji-wei; Wu, Qin-yu; Sun, Jian-guang</t>
  </si>
  <si>
    <t>Flavobacterium endophyticum sp nov., a nifH gene-harbouring endophytic bacterium isolated from maize root</t>
  </si>
  <si>
    <t>INTERNATIONAL JOURNAL OF SYSTEMATIC AND EVOLUTIONARY MICROBIOLOGY</t>
  </si>
  <si>
    <t>EMENDED DESCRIPTION; FRESH-WATER; ANTARCTIC LAKES; MICROBIAL MATS; SOIL; CLASSIFICATION; IDENTIFICATION; AQUIDURENSE; SALIPEROSUM; SEDIMENT</t>
  </si>
  <si>
    <t>A novel Gram-stain-negative, aerobic, rod-shaped bacterium, designated strain 522(T), was isolated from surface-sterilized root tissue of maize planted in Fangshan District of Beijing, China. A polyphasic taxonomic study was performed on the new isolate. On the basis of 16S rRNA gene sequence similarity studies, this isolate belonged to the genus Flavobacterium and showed less than 93.9 % similarity to the type strains of all recognized species of the genus Flavobacterium. The predominant respiratory quinone was menaquinone-6 and the polar lipid profile was composed of the major lipids phosphatidylethanolamine, phosphatidylserine and two unidentified amino lipids. The major fatty acids were C-15 : 0, iso-C-15 : 0, iso-C-15 : 1 G and iso-C-16 : 0. The G+C content of the DNA was 37.7 mol%. The results of physiological and biochemical tests and the differences in fatty acid profiles allowed the clear phenotypic differentiation of strain 522(T) from closely related species of the genus Flavobacterium. Strain 522(T) therefore represents a novel species within the genus Flavobacterium, for which the name Flavobacterium endophyticum sp. nov. is proposed. The type strain is 522(T) (=ACCC 19708(T)=DSM 29537(T)).</t>
  </si>
  <si>
    <t>[Gao, Jun-lian; Wang, Xu-ming; Li, Ji-wei; Wu, Qin-yu] Beijing Acad Agr &amp; Forestry, Beijing Agrobiotechnol Res Ctr, Beijing Municipal Key Lab Agr Gene Resources &amp; Bi, Beijing 100097, Peoples R China; [Lv, Fan-yang; Yuan, Mei; Sun, Jian-guang] Chinese Acad Agr Sci, Inst Agr Resources &amp; Reg Planning, Minist Agr, Key Lab Microbial Resources, Beijing 100081, Peoples R China; [Li, Ji-wei; Wu, Qin-yu] Yangtze Univ, Coll Agr, Jingzhou 434025, Hubei, Peoples R China</t>
  </si>
  <si>
    <t>Beijing Academy of Agriculture &amp; Forestry Sciences (BAAFS); Chinese Academy of Agricultural Sciences; Institute of Agricultural Resources &amp; Regional Planning, CAAS; Ministry of Agriculture &amp; Rural Affairs; Yangtze University</t>
  </si>
  <si>
    <t>Sun, JG (corresponding author), Chinese Acad Agr Sci, Inst Agr Resources &amp; Reg Planning, Minist Agr, Key Lab Microbial Resources, Beijing 100081, Peoples R China.</t>
  </si>
  <si>
    <t>sunjianguang@caas.cn</t>
  </si>
  <si>
    <t>He, Chen/JLM-5059-2023; JIN, LIYING/JFB-1980-2023</t>
  </si>
  <si>
    <t>Wang, Xuming/0000-0003-3590-562X</t>
  </si>
  <si>
    <t>Special Fund for Agro-scientific Research in the Public Interest [201203045]; National Natural Science Foundation of China [31570008]</t>
  </si>
  <si>
    <t>Special Fund for Agro-scientific Research in the Public Interest; National Natural Science Foundation of China(National Natural Science Foundation of China (NSFC))</t>
  </si>
  <si>
    <t>This work was supported by the Special Fund for Agro-scientific Research in the Public Interest (201203045) and the National Natural Science Foundation of China (31570008). We are very grateful to Professor Dr Bernhard Schink, University Konstanz, for his help with naming the new species.</t>
  </si>
  <si>
    <t>SOC GENERAL MICROBIOLOGY</t>
  </si>
  <si>
    <t>READING</t>
  </si>
  <si>
    <t>MARLBOROUGH HOUSE, BASINGSTOKE RD, SPENCERS WOODS, READING RG7 1AG, BERKS, ENGLAND</t>
  </si>
  <si>
    <t>1466-5026</t>
  </si>
  <si>
    <t>1466-5034</t>
  </si>
  <si>
    <t>INT J SYST EVOL MICR</t>
  </si>
  <si>
    <t>Int. J. Syst. Evol. Microbiol.</t>
  </si>
  <si>
    <t>10.1099/ijsem.0.000513</t>
  </si>
  <si>
    <t>Microbiology</t>
  </si>
  <si>
    <t>DD0VF</t>
  </si>
  <si>
    <t>Bronze</t>
  </si>
  <si>
    <t>WOS:000369637800023</t>
  </si>
  <si>
    <t>Uhlig, C; Kilpert, F; Frickenhaus, S; Kegel, JU; Krell, A; Mock, T; Valentin, K; Beszteri, B</t>
  </si>
  <si>
    <t>Uhlig, Christiane; Kilpert, Fabian; Frickenhaus, Stephan; Kegel, Jessica U.; Krell, Andreas; Mock, Thomas; Valentin, Klaus; Beszteri, Bank</t>
  </si>
  <si>
    <t>In situ expression of eukaryotic ice-binding proteins in microbial communities of Arctic and Antarctic sea ice</t>
  </si>
  <si>
    <t>ISME JOURNAL</t>
  </si>
  <si>
    <t>GENUS FRAGILARIOPSIS; ANTIFREEZE PROTEIN</t>
  </si>
  <si>
    <t>Ice-binding proteins (IBPs) have been isolated from various sea-ice organisms. Their characterisation points to a crucial role in protecting the organisms in sub-zero environments. However, their in situ abundance and diversity in natural sea-ice microbial communities is largely unknown. In this study, we analysed the expression and phylogenetic diversity of eukaryotic IBP transcripts from microbial communities of Arctic and Antarctic sea ice. IBP transcripts were found in abundances similar to those of proteins involved in core cellular processes such as photosynthesis. Eighty-nine percent of the IBP transcripts grouped with known IBP sequences from diatoms, haptophytes and crustaceans, but the majority represented novel sequences not previously characterized in cultured organisms. The observed high eukaryotic IBP expression in natural eukaryotic sea ice communities underlines the essential role of IBPs for survival of many microorganisms in communities living under the extreme conditions of polar sea ice.</t>
  </si>
  <si>
    <t>[Uhlig, Christiane; Krell, Andreas; Valentin, Klaus; Beszteri, Bank] Helmholtz Ctr Polar &amp; Marine Res, Alfred Wegener Inst, Polar Biol Oceanog, D-27570 Bremerhaven, Germany; [Uhlig, Christiane] Helmholtz Ctr Polar &amp; Marine Res, Alfred Wegener Inst, Marine Geochem, D-27570 Bremerhaven, Germany; [Kilpert, Fabian; Frickenhaus, Stephan] Helmholtz Ctr Polar &amp; Marine Res, Alfred Wegener Inst, Comp Ctr, D-27570 Bremerhaven, Germany; [Kilpert, Fabian; Frickenhaus, Stephan] Hsch Bremerhaven, Dept Technol, Bremerhaven, Germany; [Kegel, Jessica U.] Helmholtz Ctr Polar &amp; Marine Res, Alfred Wegener Inst, Ecol Chem, D-27570 Bremerhaven, Germany; [Mock, Thomas] Univ E Anglia, Sch Environm Sci, Norwich NR4 7TJ, Norfolk, England</t>
  </si>
  <si>
    <t>Helmholtz Association; Alfred Wegener Institute, Helmholtz Centre for Polar &amp; Marine Research; Helmholtz Association; Alfred Wegener Institute, Helmholtz Centre for Polar &amp; Marine Research; Helmholtz Association; Alfred Wegener Institute, Helmholtz Centre for Polar &amp; Marine Research; Helmholtz Association; Alfred Wegener Institute, Helmholtz Centre for Polar &amp; Marine Research; University of East Anglia</t>
  </si>
  <si>
    <t>Uhlig, C (corresponding author), Helmholtz Ctr Polar &amp; Marine Res, Alfred Wegener Inst, Handelshafen 12, D-27570 Bremerhaven, Germany.</t>
  </si>
  <si>
    <t>Christiane.Uhlig@awi.de</t>
  </si>
  <si>
    <t>Beszteri, Bank/D-1961-2010; Mock, Thomas/A-3127-2008; Uhlig, Christiane/Q-4019-2017; Kegel, Jessica/L-1726-2014; Valentin, Klaus/G-5862-2014</t>
  </si>
  <si>
    <t>Beszteri, Bank/0000-0002-6852-1588; Mock, Thomas/0000-0001-9604-0362; Kegel, Jessica/0000-0002-4740-9554; Frickenhaus, Stephan/0000-0002-0356-9791; Valentin, Klaus/0000-0001-7401-9423</t>
  </si>
  <si>
    <t>German National Academic Foundation; PACES (Polar Regions and Coasts in a changing Earth System); Alfred Wegener Institute, within Helmholtz Foundation Initiative in Earth and Environment; Deutsche Forschungsgemeinschaft (DFG) [VA 105/13-1, VA 105/13-2]; DFG [FR2134/1-1]; Natural Environment Research Council (NERC) [MGF (NBAF) 197]</t>
  </si>
  <si>
    <t>German National Academic Foundation; PACES (Polar Regions and Coasts in a changing Earth System); Alfred Wegener Institute, within Helmholtz Foundation Initiative in Earth and Environment; Deutsche Forschungsgemeinschaft (DFG)(German Research Foundation (DFG)); DFG(German Research Foundation (DFG)); Natural Environment Research Council (NERC)(UK Research &amp; Innovation (UKRI)Natural Environment Research Council (NERC))</t>
  </si>
  <si>
    <t>The work was funded by a doctoral fellowship of the German National Academic Foundation to CU. Financial support was provided by the PACES (Polar Regions and Coasts in a changing Earth System) research program of the Alfred Wegener Institute, within the Helmholtz Foundation Initiative in Earth and Environment, and by the Deutsche Forschungsgemeinschaft (DFG) through grant VA 105/13-1 and 2 to KV. The analyses performed by FK were funded under DFG grant FR2134/1-1. TM acknowledges the Natural Environment Research Council (NERC) for sequencing (Grant MGF (NBAF) 197). We are most grateful to the captains and crews of R/V Polarstern and R/V Aurora Australis for their cooperative support during the cruises PS69 and SIPEX. We also thank Sebastian Gerland for collaboration which allowed the sampling in NyAlesund. The technical support of Erika Allhusen, help with Phyton scripting by Judith Hauck and the bioinformatics support of Stefan Neuhaus are greatly appreciated. The authors further thank the Max-Planck genome center Berlin/Cologne and Sven Klages for sequencing and assembly of the Sanger metatranscriptomes. Sanger sequence data are available at the GenBank database under accession Nos. JZ733060 to JZ761128. 454 sequence data is available in the Sequence Read Archive no SRR1752079.</t>
  </si>
  <si>
    <t>NATURE PUBLISHING GROUP</t>
  </si>
  <si>
    <t>LONDON</t>
  </si>
  <si>
    <t>MACMILLAN BUILDING, 4 CRINAN ST, LONDON N1 9XW, ENGLAND</t>
  </si>
  <si>
    <t>1751-7362</t>
  </si>
  <si>
    <t>1751-7370</t>
  </si>
  <si>
    <t>ISME J</t>
  </si>
  <si>
    <t>ISME J.</t>
  </si>
  <si>
    <t>10.1038/ismej.2015.43</t>
  </si>
  <si>
    <t>Ecology; Microbiology</t>
  </si>
  <si>
    <t>Environmental Sciences &amp; Ecology; Microbiology</t>
  </si>
  <si>
    <t>CW6EZ</t>
  </si>
  <si>
    <t>Green Published, Green Submitted, hybrid</t>
  </si>
  <si>
    <t>WOS:000365091700019</t>
  </si>
  <si>
    <t>Lewis, S; Phillips, RA; Burthe, SJ; Wanless, S; Daunt, F</t>
  </si>
  <si>
    <t>Lewis, Sue; Phillips, Richard A.; Burthe, Sarah J.; Wanless, Sarah; Daunt, Francis</t>
  </si>
  <si>
    <t>Contrasting responses of male and female foraging effort to year-round wind conditions</t>
  </si>
  <si>
    <t>JOURNAL OF ANIMAL ECOLOGY</t>
  </si>
  <si>
    <t>climate change; demographic rate; environmental perturbation; extreme weather event; Phalacrocorax aristotelis; seabird; wind</t>
  </si>
  <si>
    <t>SHAGS PHALACROCORAX-ARISTOTELIS; SEX; BEHAVIOR; PERFORMANCE; STRATEGIES; SURVIVAL; PATTERN; EVENTS; IMPACT; SIZE</t>
  </si>
  <si>
    <t>There is growing interest in the effects of wind on wild animals, given evidence that wind speeds are increasing and becoming more variable in some regions, particularly at temperate latitudes. Wind may alter movement patterns or foraging ability, with consequences for energy budgets and, ultimately, demographic rates. These effects are expected to vary among individuals due to intrinsic factors such as sex, age or feeding proficiency. Furthermore, this variation is predicted to become more marked as wind conditions deteriorate, which may have profound consequences for population dynamics as the climate changes. However, the interaction between wind and intrinsic effects has not been comprehensively tested. In many species, in particular those showing sexual size dimorphism, males and females vary in foraging performance. Here, we undertook year-round deployments of data loggers to test for interactions between sex and wind speed and direction on foraging effort in adult European shags Phalacrocorax aristotelis, a pursuit-diving seabird in which males are c. 18% heavier. We found that foraging time was lower at high wind speeds but higher during easterly (onshore) winds. Furthermore, there was an interaction between sex and wind conditions on foraging effort, such that females foraged for longer than males when winds were of greater strength (9% difference at high wind speeds vs. 1% at low wind speeds) and when winds were easterly compared with westerly (7% and 4% difference, respectively). The results supported our prediction that sex-specific differences in foraging effort would become more marked as wind conditions worsen. Since foraging time is linked to demographic rates in this species, our findings are likely to have important consequences for population dynamics by amplifying sex-specific differences in survival rates.</t>
  </si>
  <si>
    <t>[Lewis, Sue] Univ Edinburgh, Sch Biol Sci, Inst Evolutionary Biol, Edinburgh EH9 3FL, Midlothian, Scotland; [Phillips, Richard A.] British Antarctic Survey, NERC, Cambridge CB3 0ET, England; [Burthe, Sarah J.; Wanless, Sarah; Daunt, Francis] Ctr Ecol &amp; Hydrol, Penicuik EH26 0QB, Midlothian, Scotland</t>
  </si>
  <si>
    <t>University of Edinburgh; UK Research &amp; Innovation (UKRI); Natural Environment Research Council (NERC); NERC British Antarctic Survey; UK Centre for Ecology &amp; Hydrology (UKCEH)</t>
  </si>
  <si>
    <t>Lewis, S (corresponding author), Univ Edinburgh, Sch Biol Sci, Inst Evolutionary Biol, Edinburgh EH9 3FL, Midlothian, Scotland.</t>
  </si>
  <si>
    <t>sue.lewis@ed.ac.uk</t>
  </si>
  <si>
    <t>Lewis, Sue/D-3380-2012; Daunt, Francis/K-6688-2012; Burthe, Sarah/Q-9505-2016</t>
  </si>
  <si>
    <t>Lewis, Sue/0000-0003-3511-2259; Burthe, Sarah/0000-0001-8871-3432</t>
  </si>
  <si>
    <t>NERC; NERC [bas0100035, NE/E012906/1, ceh020002] Funding Source: UKRI; Natural Environment Research Council [ceh020002, NE/E012906/1, bas0100035]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</si>
  <si>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</si>
  <si>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many people who have ringed shags on the Isle of May, in particular Mark Newell and Mike Harris. We also thank Jarrod Hadfield for statistical advice, Hannah Froy for advice with R coding, Dan Nussey and Jane Reid for useful discussions, two anonymous referees for helpful comments and Scottish Natural Heritage (SNH) for access to the Isle of May. The work was conducted under research licences from SNH and British Trust for Ornithology. SL was supported by a NERC fellowship.</t>
  </si>
  <si>
    <t>WILEY</t>
  </si>
  <si>
    <t>HOBOKEN</t>
  </si>
  <si>
    <t>111 RIVER ST, HOBOKEN 07030-5774, NJ USA</t>
  </si>
  <si>
    <t>0021-8790</t>
  </si>
  <si>
    <t>1365-2656</t>
  </si>
  <si>
    <t>J ANIM ECOL</t>
  </si>
  <si>
    <t>J. Anim. Ecol.</t>
  </si>
  <si>
    <t>10.1111/1365-2656.12419</t>
  </si>
  <si>
    <t>Ecology; Zoology</t>
  </si>
  <si>
    <t>Environmental Sciences &amp; Ecology; Zoology</t>
  </si>
  <si>
    <t>CT3XU</t>
  </si>
  <si>
    <t>Green Published, hybrid, Green Accepted</t>
  </si>
  <si>
    <t>WOS:000362741000005</t>
  </si>
  <si>
    <t>Machín, P; Fernández-Elipe, J; Flores, M; Fox, JW; Aguirre, JI; Klaassen-, RHG</t>
  </si>
  <si>
    <t>Machin, Paula; Fernandez-Elipe, Juan; Flores, Manuel; Fox, James W.; Aguirre, Jose I.; Klaassen-, Raymond H. G.</t>
  </si>
  <si>
    <t>Individual migration patterns of Eurasian golden plovers Pluvialis apricaria breeding in Swedish Lapland; examples of cold spell-induced winter movements</t>
  </si>
  <si>
    <t>JOURNAL OF AVIAN BIOLOGY</t>
  </si>
  <si>
    <t>SATELLITE TRACKING; LAPWINGS; FARMLAND; NUMBERS</t>
  </si>
  <si>
    <t>Tracking studies normally focus on long-distance migrants, meaning that our understanding about short-distance migration remains limited. In this study, we present the first individual tracks of the Eurasian golden plover Pluvialis apricaria, a short-distance migrant, which were tracked from a Scandinavian breeding population using geolocators. In addition, golden plovers are known for their cold spell-induced winter movements, and this study provides some first individual tracking data on this type of movements. In three cases the plovers spent the winter in NW Europe and in four cases they departed during winter from NW Europe to spend the rest of the winter in Iberia or Morocco (one bird that was tracked during two subsequent migration cycles moved to Iberia in the first winter but remained in NW Europe during the second winter). The four winter departures were associated with a cold spell in NW Europe during which maximum temperatures dropped to freezing. Cold spell-induced winter movements were notably long and fast. The birds that remained at their NW European wintering site did not experience such cold spell. However, the plovers did not always move in response to freezing temperatures, as demonstrated by the individual that was tracked for a second season, when it experienced four cold spells at its wintering site in NW France without leaving. Little information was obtained about spring migration, but one bird had a prominent counter-clockwise loop migration pattern through E Europe. Due to their cold spell winter movements, golden plovers exhibit great flexibility in migration patterns, resulting in a notably large spread in final wintering areas.</t>
  </si>
  <si>
    <t>[Machin, Paula; Aguirre, Jose I.] Univ Complutense Madrid, Fac Biol, Dept Zool &amp; Phys Anthropol, ES-28040 Madrid, Spain; [Fox, James W.] British Antarctic Survey, Cambridge, England; [Klaassen-, Raymond H. G.] Netherlands Inst Ecol NIOO KNAW, Dutch Ctr Avian Migrat &amp; Demog, NL-6700 AB Wageningen, Netherlands; [Klaassen-, Raymond H. G.] Netherlands Inst Ecol NIOO KNAW, Dept Anim Ecol, NL-6700 AB Wageningen, Netherlands; [Klaassen-, Raymond H. G.] Univ Groningen, Groningen Inst Evolutionary Life Sci, Anim Ecol Grp, Dutch Montagus Harrier Fdn, Groningen, Netherlands</t>
  </si>
  <si>
    <t>Complutense University of Madrid; UK Research &amp; Innovation (UKRI); Natural Environment Research Council (NERC); NERC British Antarctic Survey; Royal Netherlands Academy of Arts &amp; Sciences; Netherlands Institute of Ecology (NIOO-KNAW); Royal Netherlands Academy of Arts &amp; Sciences; Netherlands Institute of Ecology (NIOO-KNAW); University of Groningen</t>
  </si>
  <si>
    <t>Machín, P (corresponding author), Univ Complutense Madrid, Fac Biol, Dept Zool &amp; Phys Anthropol, ES-28040 Madrid, Spain.</t>
  </si>
  <si>
    <t>machinpaula@gmail.com</t>
  </si>
  <si>
    <t>Klaassen, Raymond/K-3027-2013; Flores, Manuel/HTR-8622-2023; KNAW, NIOO-KNAW/A-4320-2012; Aguirre, Jose/L-1305-2013</t>
  </si>
  <si>
    <t>KNAW, NIOO-KNAW/0000-0002-3835-159X; Fox, James W./0000-0002-3107-696X; Aguirre, Jose/0000-0002-0210-890X</t>
  </si>
  <si>
    <t>Lunds Djurskyddsfond; LUVRE project; Vertebrate Biology and Conservation Research Group (Univ. Complutense of Madrid); NERC [bas010011] Funding Source: UKRI; Natural Environment Research Council [bas010011] Funding Source: researchfish</t>
  </si>
  <si>
    <t>Lunds Djurskyddsfond; LUVRE project; Vertebrate Biology and Conservation Research Group (Univ. Complutense of Madrid); NERC(UK Research &amp; Innovation (UKRI)Natural Environment Research Council (NERC)); Natural Environment Research Council(UK Research &amp; Innovation (UKRI)Natural Environment Research Council (NERC))</t>
  </si>
  <si>
    <t>Many thanks to Martin Green, who gave us all the access, information and help to keep us coming back every year to the study area. Thanks to Ake Lindstrom, who provided us with the ringing equipment, permits, and gave us good advices. Lunds Djurskyddsfond, LUVRE project and Vertebrate Biology and Conservation Research Group (Univ. Complutense of Madrid) partially funded this research. Many volunteers and tundra lovers were a great help, as Agnes Dellinger, Pablo Capilla, Maite Laso and many others. Special mention to our colleagues during all the field seasons up there, Johannes Hungar and Rob van Bemmelen, which enthusiasm, opinions and knowledge were essential for our inspiration.</t>
  </si>
  <si>
    <t>WILEY-BLACKWELL</t>
  </si>
  <si>
    <t>0908-8857</t>
  </si>
  <si>
    <t>1600-048X</t>
  </si>
  <si>
    <t>J AVIAN BIOL</t>
  </si>
  <si>
    <t>J. Avian Biol.</t>
  </si>
  <si>
    <t>10.1111/jav.00768</t>
  </si>
  <si>
    <t>Ornithology</t>
  </si>
  <si>
    <t>Zoology</t>
  </si>
  <si>
    <t>DA3HI</t>
  </si>
  <si>
    <t>Green Published, Green Accepted</t>
  </si>
  <si>
    <t>WOS:000367687400010</t>
  </si>
  <si>
    <t>Liu, T; Li, JP; Zheng, F</t>
  </si>
  <si>
    <t>Liu, Ting; Li, Jianping; Zheng, Fei</t>
  </si>
  <si>
    <t>Influence of the Boreal Autumn Southern Annular Mode on Winter Precipitation over Land in the Northern Hemisphere</t>
  </si>
  <si>
    <t>JOURNAL OF CLIMATE</t>
  </si>
  <si>
    <t>Annular mode; Atmosphere-ocean interaction</t>
  </si>
  <si>
    <t>NEW-ZEALAND PRECIPITATION; ANTARCTIC OSCILLATION; CLIMATE VARIABILITY; GLOBAL PRECIPITATION; GAUGE OBSERVATIONS; YANGTZE-RIVER; OCEAN; ATMOSPHERE; MECHANISM; RAINFALL</t>
  </si>
  <si>
    <t>As an atmospheric oscillation with a global scale, the Southern Hemisphere (SH) annular mode (SAM) contributes not only to SH climate variability but also to climate anomalies in the Northern Hemisphere (NH). This paper demonstrates that the strong (weak) boreal autumn SAM usually favors a positive (negative) tripole precipitation pattern in the NH, with more (less) precipitation over the equator and midlatitudes but less (more) precipitation in the subtropics. The corresponding mechanism is examined based on reanalysis data and numerical modeling. It is suggested that the boreal autumn SAM is associated with changes in surface subpolar westerlies, which influence the surface heat exchange and drive the meridional oceanic Ekman flow, redistributing heat near the surface. Through these, warmer (colder) and colder (warmer) sea surface temperature (SST) belts in the SH middle and high latitudes form in response to the positive (negative) boreal autumn SAM, respectively. Such a positive (negative) Southern Ocean SST dipole pattern can persist into the boreal winter via the memory of SST. It can then affect the vertical motion in the SH meridional circulation and strengthen (weaken) the NH upward and downward branches. These anomalous vertical flows favor a positive (negative) tripole precipitation anomaly pattern in the NH under suitable moisture conditions. Such an ocean-atmosphere coupled bridge allows the influence of the boreal autumn SAM to persist into the following season and affect the NH climate. Hence, this work suggests that the boreal autumn SAM provides a significant forecasting signal for the NH climate in the following winter.</t>
  </si>
  <si>
    <t>[Liu, Ting; Zheng, Fei] Chinese Acad Sci, State Key Lab Numer Modeling Atmospher Sci &amp; Geop, Inst Atmospher Phys, Beijing, Peoples R China; [Liu, Ting] Univ Chinese Acad Sci, Beijing, Peoples R China; [Li, Jianping] Beijing Normal Univ, Coll Global Change &amp; Earth Syst Sci, Beijing 100875, Peoples R China; [Li, Jianping] Joint Ctr Global Change Studies, Beijing, Peoples R China</t>
  </si>
  <si>
    <t>Chinese Academy of Sciences; Institute of Atmospheric Physics, CAS; Chinese Academy of Sciences; University of Chinese Academy of Sciences, CAS; Beijing Normal University</t>
  </si>
  <si>
    <t>Li, JP (corresponding author), Beijing Normal Univ, Coll Global Change &amp; Earth Syst Sci, Beijing 100875, Peoples R China.</t>
  </si>
  <si>
    <t>ljp@bnu.edu.cn</t>
  </si>
  <si>
    <t>Li, Jianping/I-2661-2012; Zheng, Fei/AAV-7512-2021; Zheng, Fei/AAQ-4559-2020</t>
  </si>
  <si>
    <t>Zheng, Fei/0000-0001-6135-6148; Zheng, Fei/0000-0001-6135-6148</t>
  </si>
  <si>
    <t>973 Program [2013CB430200]; NSFC [41405086, 41030961]; China Special Fund for Meteorological Research in the Public Interest [GYHY201306031]</t>
  </si>
  <si>
    <t>973 Program(National Basic Research Program of China); NSFC(National Natural Science Foundation of China (NSFC)); China Special Fund for Meteorological Research in the Public Interest</t>
  </si>
  <si>
    <t>This work was jointly supported by the 973 Program (2013CB430200), the NSFC Key Project (41405086, 41030961), and the China Special Fund for Meteorological Research in the Public Interest (GYHY201306031). We appreciate the ECMWF for providing the reanalysis data. Precipitation data, ENSO index, and monthly mean ERSST data were provided by the NOAA/OAR/ESRL PSD. Comments and suggestions by three anonymous reviewers helped us to improve the paper.</t>
  </si>
  <si>
    <t>AMER METEOROLOGICAL SOC</t>
  </si>
  <si>
    <t>BOSTON</t>
  </si>
  <si>
    <t>45 BEACON ST, BOSTON, MA 02108-3693 USA</t>
  </si>
  <si>
    <t>0894-8755</t>
  </si>
  <si>
    <t>1520-0442</t>
  </si>
  <si>
    <t>J CLIMATE</t>
  </si>
  <si>
    <t>J. Clim.</t>
  </si>
  <si>
    <t>10.1175/JCLI-D-14-00704.1</t>
  </si>
  <si>
    <t>Meteorology &amp; Atmospheric Sciences</t>
  </si>
  <si>
    <t>CV9TM</t>
  </si>
  <si>
    <t>WOS:000364629500010</t>
  </si>
  <si>
    <t>Swart, NC; Fyfe, JC; Gillett, N; Marshall, GJ</t>
  </si>
  <si>
    <t>Swart, Neil C.; Fyfe, John C.; Gillett, Nathan; Marshall, Gareth J.</t>
  </si>
  <si>
    <t>Comparing Trends in the Southern Annular Mode and Surface Westerly Jet</t>
  </si>
  <si>
    <t>Geographic location; entity; Southern Ocean; Circulation; Dynamics; Annular mode; Antarctic Oscillation; Atm; Ocean Structure; Phenomena; Jets; Models and modeling; Climate models; Reanalysis data</t>
  </si>
  <si>
    <t>CLIMATE-CHANGE; PART I; OVERTURNING CIRCULATION; REANALYSIS PROJECT; CMIP5 MODELS; OCEAN; HEMISPHERE; VARIABILITY; CARBON; SIMULATIONS</t>
  </si>
  <si>
    <t>This paper examines trends in the southern annular mode (SAM) and the strength, position, and width of the Southern Hemisphere surface westerly wind jet in observations, reanalyses, and models from phase 5 of the Coupled Model Intercomparison Project (CMIP5). First the period over 1951-2011 is considered, and it is shown that there are differences in the SAM and jet trends between the CMIP5 models, the Hadley Centre gridded SLP (HadSLP2r) dataset, and the Twentieth Century Reanalysis. The relationships between these trends demonstrate that the SAM index cannot be used to directly infer changes in any one kinematic property of the jet. The spatial structure of the observed trends in SLP and zonal winds is shown to be largest, but also most uncertain, in the southeastern Pacific. To constrain this uncertainty six reanalyses are included and compared with station-based observations of SLP. The CMIP5 mean SLP trends generally agree well with the direct observations, despite some climatological biases, while some reanalyses exhibit spuriously large SLP trends. Similarly, over the more reliable satellite era the spatial pattern of CMIP5 SLP trends is in excellent agreement with HadSLP2r, whereas several reanalyses are not. Then surface winds are compared with a satellite-based product, and it is shown that the CMIP5 mean trend is similar to observations in the core region of the westerlies, but that several reanalyses overestimate recent trends. The authors caution that studies examining the impact of wind changes on the Southern Ocean could be biased by these spuriously large trends in reanalysis products.</t>
  </si>
  <si>
    <t>[Swart, Neil C.; Fyfe, John C.; Gillett, Nathan] Canadian Ctr Climate Modelling &amp; Anal, Victoria, BC, Canada; [Marshall, Gareth J.] British Antarctic Survey, Cambridge CB3 0ET, England</t>
  </si>
  <si>
    <t>Environment &amp; Climate Change Canada; Canadian Centre for Climate Modelling &amp; Analysis (CCCma); UK Research &amp; Innovation (UKRI); Natural Environment Research Council (NERC); NERC British Antarctic Survey</t>
  </si>
  <si>
    <t>Swart, NC (corresponding author), Univ Victoria, Environm Canada, Canadian Ctr Climate Modelling &amp; Anal, POB 1700 STN CSC, Victoria, BC V8W 2Y2, Canada.</t>
  </si>
  <si>
    <t>neil.swart@ec.gc.ca</t>
  </si>
  <si>
    <t>Swart, Neil/Q-6608-2019</t>
  </si>
  <si>
    <t>Swart, Neil/0000-0002-8200-6187</t>
  </si>
  <si>
    <t>UK Natural Environment Research Council through British Antarctic Survey programme Polar Science for Planet Earth; NERC [bas0100032] Funding Source: UKRI; Natural Environment Research Council [bas0100032] Funding Source: researchfish</t>
  </si>
  <si>
    <t>UK Natural Environment Research Council through British Antarctic Survey programme Polar Science for Planet Earth; NERC(UK Research &amp; Innovation (UKRI)Natural Environment Research Council (NERC)); Natural Environment Research Council(UK Research &amp; Innovation (UKRI)Natural Environment Research Council (NERC))</t>
  </si>
  <si>
    <t>We thank Michael Sigmond and Slava Kharin for helpful comments on an earlier draft. 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Support for the Twentieth Century Reanalysis Project dataset is provided by the U.S. Department of Energy, Office of Science Innovative and Novel Computational Impact on Theory and Experiment (DOE INCITE) program, and Office of Biological and Environmental Research (BER), and by the National Oceanic and Atmospheric Administration Climate Program Office. NCEP reanalysis data (R1 and R2) was provided by the NOAA/OAR/ESRL PSD, Boulder, Colorado, from their website (Table 1). CFSR and CCMP data were made available from the Research Data Archive at the National Center for Atmospheric Research, Computational and Information Systems Laboratory. GJM was supported by the UK Natural Environment Research Council through the British Antarctic Survey programme Polar Science for Planet Earth.</t>
  </si>
  <si>
    <t>10.1175/JCLI-D-15-0334.1</t>
  </si>
  <si>
    <t>Green Accepted</t>
  </si>
  <si>
    <t>WOS:000364629500011</t>
  </si>
  <si>
    <t>Schannwell, C; Barrand, NE; Radic, V</t>
  </si>
  <si>
    <t>Schannwell, C.; Barrand, N. E.; Radic, V.</t>
  </si>
  <si>
    <t>Modeling ice dynamic contributions to sea level rise from the Antarctic Peninsula</t>
  </si>
  <si>
    <t>JOURNAL OF GEOPHYSICAL RESEARCH-EARTH SURFACE</t>
  </si>
  <si>
    <t>GROUNDING-LINE MIGRATION; MELTING CONDITIONS; OUTLET GLACIERS; SHEET MODELS; MASS-BALANCE; SHELF; SURFACE; COLLAPSE; FUTURE; WIDESPREAD</t>
  </si>
  <si>
    <t>The future ice dynamical contribution to sea level rise (SLR) from 199 ice shelf nourishing drainage basins of the Antarctic Peninsula Ice Sheet is simulated, using the British Antarctic Survey Antarctic Peninsula Ice Sheet Model. Simulations of the grounded ice sheet include response to ice shelf collapse, estimated by tracking thermal ice shelf viability limits in 14 Intergovernmental Panel on Climate Change global climate models ensemble temperature projections. Grounding line retreat in response to ice shelf collapse is parameterized with a new multivariate linear regression model utilizing a range of glaciological and geometric predictor variables. Multimodel means project SLR up to 9.4 mm sea level equivalent (SLE) by 2200, and up to 19 mm SLE by 2300. Rates of SLR from individual drainage basins throughout the peninsula are similar to 2100, yet diverge between 2100 and 2300 due to individual basin characteristics. Major contributors to SLR are the outlet glaciers feeding southern George VI Ice Shelf, accounting for &gt;75% of total SLR in some model runs. Ice sheet thinning induced by ice-shelf removal is large (up to similar to 500 m), especially in Palmer Land in the southern Antarctic Peninsula, and may propagate as far as 135 kminland. These results emphasize the importance of the ice dynamical contribution to future sea level of the APIS on decadal to centennial timescales.</t>
  </si>
  <si>
    <t>[Schannwell, C.; Barrand, N. E.] Univ Birmingham, Sch Geog Earth &amp; Environm Sci, Birmingham, W Midlands, England; [Schannwell, C.] British Antarctic Survey, NERC, Cambridge, England; [Radic, V.] Univ British Columbia, Dept Earth Ocean &amp; Atmospher Sci, Vancouver, BC V5Z 1M9, Canada</t>
  </si>
  <si>
    <t>University of Birmingham; UK Research &amp; Innovation (UKRI); Natural Environment Research Council (NERC); NERC British Antarctic Survey; University of British Columbia</t>
  </si>
  <si>
    <t>Schannwell, C (corresponding author), Univ Birmingham, Sch Geog Earth &amp; Environm Sci, Birmingham, W Midlands, England.</t>
  </si>
  <si>
    <t>cxs400@bham.ac.uk</t>
  </si>
  <si>
    <t>Radic, Valentina/0000-0002-1185-0751; Schannwell, Clemens/0000-0002-6160-2107; Barrand, Nicholas/0000-0003-4428-1863</t>
  </si>
  <si>
    <t>University of Birmingham; NERC [bas0100034] Funding Source: UKRI; Natural Environment Research Council [bas0100034] Funding Source: researchfish</t>
  </si>
  <si>
    <t>University of Birmingham; NERC(UK Research &amp; Innovation (UKRI)Natural Environment Research Council (NERC)); Natural Environment Research Council(UK Research &amp; Innovation (UKRI)Natural Environment Research Council (NERC))</t>
  </si>
  <si>
    <t>C.S. was supported by a PhD studentship from the University of Birmingham. The computations described in this paper were performed using the University of Birmingham's BlueBEAR HPC service, which provides a High Performance Computing service to the University's research community. See http://www.birmingham.ac.uk/bear for more details. We thank an anonymous reviewer and Ted Scambos for their comments which improved the manuscript.</t>
  </si>
  <si>
    <t>AMER GEOPHYSICAL UNION</t>
  </si>
  <si>
    <t>WASHINGTON</t>
  </si>
  <si>
    <t>2000 FLORIDA AVE NW, WASHINGTON, DC 20009 USA</t>
  </si>
  <si>
    <t>2169-9003</t>
  </si>
  <si>
    <t>2169-9011</t>
  </si>
  <si>
    <t>J GEOPHYS RES-EARTH</t>
  </si>
  <si>
    <t>J. Geophys. Res.-Earth Surf.</t>
  </si>
  <si>
    <t>10.1002/2015JF003667</t>
  </si>
  <si>
    <t>Geosciences, Multidisciplinary</t>
  </si>
  <si>
    <t>Geology</t>
  </si>
  <si>
    <t>DD5EB</t>
  </si>
  <si>
    <t>Green Published, Bronze, Green Accepted</t>
  </si>
  <si>
    <t>WOS:000369944300008</t>
  </si>
  <si>
    <t>Stroh, JN; Panteleev, G; Kirillov, S; Makhotin, M; Shakhova, N</t>
  </si>
  <si>
    <t>Stroh, J. N.; Panteleev, Gleb; Kirillov, Sergey; Makhotin, Mikhail; Shakhova, Natalia</t>
  </si>
  <si>
    <t>Sea-surface temperature and salinity product comparison against external in situ data in the Arctic Ocean</t>
  </si>
  <si>
    <t>JOURNAL OF GEOPHYSICAL RESEARCH-OCEANS</t>
  </si>
  <si>
    <t>VALIDATION; SATELLITE; RETRIEVALS; ATMOSPHERE; WATER</t>
  </si>
  <si>
    <t>Sea-surface temperature and salinity (SST/S) in the Arctic Ocean (AO) are largely governed by sea-ice and continental runoff rather than evaporation and precipitation as in lower latitude oceans, and global satellite analyses and models which incorporate remotely observed SST/S may be inaccurate in the AO due to lack of direct measurements for calibrating satellite data. For this reason, we are motivated to validate several satellite sea-surface temperature (SST) data products and SST/S models by comparing gridded data in the AO with oceanographic records from 2006 to 2013. Statistical analysis of product-minus-observation differences reveals that the satellite SST products considered have a temperature bias magnitude of less than 0.5 degrees C compared to ship-based CTD measurements, and most of these biases are negative in sign. SST/S models also show an overall negative temperature bias, but no common sign or magnitude of salinity bias against CTD data. Ice tethered profiler (ITP) near-surface data span the seasons of several years, and these measurements reflect a sea-ice dominated region where the ocean surface cannot be remotely observed. Against this data, many of the considered models and products show large errors with detectable seasonal differences in SST bias. Possible sources of these errors are discussed, and two adjustments of product SST on the basis of sea-ice concentration are suggested for reducing bias to within less than 0.01 degrees C of ITP near-surface temperatures.</t>
  </si>
  <si>
    <t>[Stroh, J. N.; Panteleev, Gleb; Shakhova, Natalia] Univ Alaska Fairbanks, Int Arctic Res Ctr, Fairbanks, AK 99775 USA; [Panteleev, Gleb; Shakhova, Natalia] Polytech Univ, Inst Nat Resources, Natl Res Tomsk, Tomsk, Russia; [Kirillov, Sergey] Univ Manitoba, Ctr Earth Observat Sci, Winnipeg, MB, Canada; [Makhotin, Mikhail] Arctic &amp; Antarctic Res Inst, St Petersburg, Russia</t>
  </si>
  <si>
    <t>University of Alaska System; University of Alaska Fairbanks; Tomsk Polytechnic University; University of Manitoba; Arctic &amp; Antarctic Research Institute</t>
  </si>
  <si>
    <t>Stroh, JN (corresponding author), Univ Alaska Fairbanks, Int Arctic Res Ctr, Fairbanks, AK 99775 USA.</t>
  </si>
  <si>
    <t>jnstroh@alaska.edu</t>
  </si>
  <si>
    <t>Makhotin, Mikhail/K-8861-2016; Shakhova, Natalia Evgenievna/H-6691-2016; Stroh, J.N./JFJ-3849-2023</t>
  </si>
  <si>
    <t>stroh, j.n./0000-0003-4844-1983</t>
  </si>
  <si>
    <t>NOAA [NA11OAR4310153]; NSF [1107925, 1203740]; Russia government [p220/mega-grant 2013-220-04-157]; Russian Scientific Foundation [15-17-20032]; Office of Polar Programs (OPP); Directorate For Geosciences [1107925, 1203740] Funding Source: National Science Foundation</t>
  </si>
  <si>
    <t>NOAA(National Oceanic Atmospheric Admin (NOAA) - USA); NSF(National Science Foundation (NSF)); Russia government; Russian Scientific Foundation(Russian Science Foundation (RSF)); Office of Polar Programs (OPP); Directorate For Geosciences(National Science Foundation (NSF)NSF - Directorate for Geosciences (GEO))</t>
  </si>
  <si>
    <t>This study was funded by NOAA grant NA11OAR4310153 for the project Arctic Ocean Structure during the Period of the International Polar Year and by NSF grants 1107925 and 1203740. We further thank the support of the Russia government (p220/mega-grant 2013-220-04-157) and the Russian Scientific Foundation (grant no. 15-17-20032). Organizations contributing data to the IPY AO database are owed a debt of thanks. Other data made available by and collected from: the Beaufort Gyre Exploration Program based at the Woods Hole Oceanographic Institution (http://www.whoi.edu/beaufortgyre) in collaboration with researchers from Fisheries and Oceans Canada at the Institute of Ocean Sciences; the latter three coauthors; and the Nansen and Amundsen Basins Observational System (NABOS) program.</t>
  </si>
  <si>
    <t>2169-9275</t>
  </si>
  <si>
    <t>2169-9291</t>
  </si>
  <si>
    <t>J GEOPHYS RES-OCEANS</t>
  </si>
  <si>
    <t>J. Geophys. Res.-Oceans</t>
  </si>
  <si>
    <t>10.1002/2015JC011005</t>
  </si>
  <si>
    <t>Oceanography</t>
  </si>
  <si>
    <t>DA3GZ</t>
  </si>
  <si>
    <t>WOS:000367686500007</t>
  </si>
  <si>
    <t>Frenger, I; Münnich, M; Gruber, N; Knutti, R</t>
  </si>
  <si>
    <t>Frenger, I.; Muennich, M.; Gruber, N.; Knutti, R.</t>
  </si>
  <si>
    <t>Southern Ocean eddy phenomenology</t>
  </si>
  <si>
    <t>ANTARCTIC CIRCUMPOLAR CURRENT; MESOSCALE EDDIES; GLOBAL OCEAN; OVERTURNING CIRCULATION; KINETIC-ENERGY; AGULHAS RINGS; HEAT; TRANSPORT; SEA; VARIABILITY</t>
  </si>
  <si>
    <t>Mesoscale eddies are ubiquitous features in the Southern Ocean, yet their phenomenology is not well quantified. To tackle this task, we use satellite observations of sea level anomalies and sea surface temperature (SST) as well as in situ temperature and salinity measurements from profiling floats. Over the period 1997-2010, we identified over a million mesoscale eddy instances and were able to track about 10(5) of them over 1 month or more. The Antarctic Circumpolar Current (ACC), the boundary current systems, and the regions where they interact are hot spots of eddy presence, representing also the birth places and graveyards of most eddies. These hot spots contrast strongly to areas shallower than about 2000 m, where mesoscale eddies are essentially absent, likely due to topographical steering. Anticyclones tend to dominate the southern subtropical gyres, and cyclones the northern flank of the ACC. Major causes of regional polarity dominance are larger formation numbers and lifespans, with a contribution of differential propagation pathways of long-lived eddies. Areas of dominance of one polarity are generally congruent with the same polarity being longer-lived, bigger, of larger amplitude, and more intense. Eddies extend down to at least 2000 m. In the ACC, eddies show near surface temperature and salinity maxima, whereas eddies in the subtropical areas generally have deeper anomaly maxima, presumably inherited from their origin in the boundary currents. The temperature and salinity signatures of the average eddy suggest that their tracer anomalies are a result of both trapping in the eddy core and stirring.</t>
  </si>
  <si>
    <t>[Frenger, I.; Muennich, M.; Gruber, N.] ETH, Inst Biogeochem &amp; Pollutant Dynam, Environm Phys, Zurich, Switzerland; [Frenger, I.; Gruber, N.] ETH, Ctr Climate Syst Modeling, Zurich, Switzerland; [Knutti, R.] ETH, Inst Atmospher &amp; Climate Sci, Climate Phys, Zurich, Switzerland</t>
  </si>
  <si>
    <t>Swiss Federal Institutes of Technology Domain; ETH Zurich; Swiss Federal Institutes of Technology Domain; ETH Zurich; Swiss Federal Institutes of Technology Domain; ETH Zurich</t>
  </si>
  <si>
    <t>Frenger, I (corresponding author), Princeton Univ, Program Atmospher &amp; Ocean Sci, Princeton, NJ 08544 USA.</t>
  </si>
  <si>
    <t>ifrenger@princeton.edu</t>
  </si>
  <si>
    <t>Gruber, Nicolas/B-7013-2009; Knutti, Reto/B-8763-2008; Frenger, Ivy/B-9023-2017</t>
  </si>
  <si>
    <t>Gruber, Nicolas/0000-0002-2085-2310; Knutti, Reto/0000-0001-8303-6700; Frenger, Ivy/0000-0002-3490-7239</t>
  </si>
  <si>
    <t>NASA Ocean Vector Winds Science Team; Center for Climate Systems Modelling (C2SM) at ETH Zurich; Swiss National Science Foundation [P2EZP2-152133]; Swiss National Science Foundation (SNF) [P2EZP2_152133] Funding Source: Swiss National Science Foundation (SNF)</t>
  </si>
  <si>
    <t>NASA Ocean Vector Winds Science Team(National Aeronautics &amp; Space Administration (NASA)); Center for Climate Systems Modelling (C2SM) at ETH Zurich; Swiss National Science Foundation(Swiss National Science Foundation (SNSF)); Swiss National Science Foundation (SNF)(Swiss National Science Foundation (SNSF))</t>
  </si>
  <si>
    <t>The altimeter products used for this study were produced by Ssalto/Duacs and distributed by Aviso, with support from Cnes (http://www.aviso.oceanobs.com/duacs/). The SST data are produced by Remote Sensing Systems and sponsored by the NASA Ocean Vector Winds Science Team. Data are available at http://www.remss.com. The profiling float data data were collected and made freely available by the International Argo Program and the national programs that contribute to it (http://www.Argo.ucsd.edu, http://Argo.jcommops.org). The Argo Program is part of the Global Ocean Observing System. The eddy data set which was created in this study and used to produce the figures of this article is available from the authors upon request. The Center for Climate Systems Modelling (C2SM) at ETH Zurich and the Swiss National Science Foundation (grant P2EZP2-152133) provided financial support for this project. We thank Bridget Zakrzewski for insights on regional variations of subsurface properties of Southern Ocean eddies, and Stephen Griffies, David Byrne, and Ryan Abernathey for helpful comments.</t>
  </si>
  <si>
    <t>10.1002/2015JC011047</t>
  </si>
  <si>
    <t>WOS:000367686500019</t>
  </si>
  <si>
    <t>Zhang, BC; Yang, SG; Xu, S; Liu, RY; Häggström, I; Zhang, QH; Hu, ZJ; Huang, DH; Hu, HQ</t>
  </si>
  <si>
    <t>Zhang, Bei-Chen; Yang, Sheng-Gao; Xu, Sheng; Liu, Rui-Yuan; Haggstrom, I.; Zhang, Qing-He; Hu, Ze-Jun; Huang, De-Hong; Hu, Hong-Qiao</t>
  </si>
  <si>
    <t>Diurnal variation of winter F region ionosphere for solar minimum at both Zhongshan Station, Antarctica, and Svalbard Station, Arctic</t>
  </si>
  <si>
    <t>JOURNAL OF GEOPHYSICAL RESEARCH-SPACE PHYSICS</t>
  </si>
  <si>
    <t>ELECTRON-TEMPERATURE; EISCAT SVALBARD; CONVECTION; MODEL; PRECIPITATION; PLASMA; DENSITY; FLUX; ION</t>
  </si>
  <si>
    <t>Diurnal variation features of wintertime F-2 peak electron density (NmF2) representative for solar minimum at both Zhongshan station, Antarctica, and Svalbard station are compared and analyzed. Both stations are located around cusp latitude and are almost on the same geomagnetic meridian plane in both hemispheres. For quiet time period, typical NmF2 diurnal variation features at Svalbard station show double peaks with a decrease of NmF2 around magnetic local noon (similar to UT + 3 h); NmF2 diurnal variation at Zhongshan station shows one major peak around magnetic local noon (similar to UT+ 1.75 h), followed by a sharp decrease of NmF2, and a subpeak around 1500 UT. Simulation results of the high-latitude ionospheres in both hemispheres agree well with observations at both stations. It is found that the major difference of NmF2 variation between both stations can be explained by the unique location of each station relative to the sunlit demarcation line during the day. For quiet time period, photoionization from lower latitude contributes to the major peak of NmF2 in the diurnal variation at Zhongshan station, while the interaction between horizontal convection and auroral precipitation is the main cause for NmF2 variation at Svalbard station. For active time period, both stations show the increase of NmF2 due to transportation of higher plasma density from lower latitudes on the dayside with the expansion of the polar cap and the additional ionization from soft-precipitating electrons.</t>
  </si>
  <si>
    <t>[Zhang, Bei-Chen; Yang, Sheng-Gao; Liu, Rui-Yuan; Hu, Ze-Jun; Huang, De-Hong; Hu, Hong-Qiao] Polar Res Inst China, SOA Key Lab Polar Sci, Shanghai, Peoples R China; [Yang, Sheng-Gao] PLA Univ Sci &amp; Technol, Inst Meteorol &amp; Ocean, Nanjing, Jiangsu, Peoples R China; [Xu, Sheng] Zhengzhou Univ Light Ind, Sch Comp &amp; Commun Engn, Zhengzhou, Peoples R China; [Haggstrom, I.] EISCAT Sci Assoc, Kiruna, Sweden; [Zhang, Qing-He] Shandong Univ, Inst Space Sci, Shandong Prov Key Lab Opt Astron &amp; Solar Terr Env, Weihai, Peoples R China</t>
  </si>
  <si>
    <t>Polar Research Institute of China; Zhengzhou University of Light Industry; Shandong University</t>
  </si>
  <si>
    <t>Yang, SG (corresponding author), Polar Res Inst China, SOA Key Lab Polar Sci, Shanghai, Peoples R China.</t>
  </si>
  <si>
    <t>shenggao_yang@163.com</t>
  </si>
  <si>
    <t>Zhang, Qing-He/G-4572-2014</t>
  </si>
  <si>
    <t>Zhang, Qing-He/0000-0003-2429-4050; Haggstrom, Ingemar/0000-0003-1070-6915; Zhang, Beichen/0000-0002-0927-9568</t>
  </si>
  <si>
    <t>National Basic Research Program [2012CB825603]; National Natural Science Foundation of China [41274148, 40505005, 41104090, 41274149, 41431072]; Chinese Polar Environment Comprehensive Investigation and Assessment Program [CHINARE-2014-02-03]; International Collaboration Supporting Project, Chinese Arctic and Antarctic Administration [IC201511]; Pudong Development of Science and Technology Program [Pkj2013-z01]; China (CRIRP); Finland (SA); France (CNRS); Germany (DFG); Japan (STEL); Japan (NIPR); Norway (NFR); Sweden (VR); United Kingdom (STFC)</t>
  </si>
  <si>
    <t>National Basic Research Program(National Basic Research Program of China); National Natural Science Foundation of China(National Natural Science Foundation of China (NSFC)); Chinese Polar Environment Comprehensive Investigation and Assessment Program; International Collaboration Supporting Project, Chinese Arctic and Antarctic Administration; Pudong Development of Science and Technology Program; China (CRIRP); Finland (SA); France (CNRS)(Centre National de la Recherche Scientifique (CNRS)); Germany (DFG)(German Research Foundation (DFG)); Japan (STEL); Japan (NIPR); Norway (NFR)(Research Council of Norway); Sweden (VR)(Swedish Research Council); United Kingdom (STFC)(UK Research &amp; Innovation (UKRI)Science &amp; Technology Facilities Council (STFC))</t>
  </si>
  <si>
    <t>This work was supported by the National Basic Research Program (grant 2012CB825603), National Natural Science Foundation of China (grants 41274148, 40505005, 41104090, 41274149, and 41431072), Chinese Polar Environment Comprehensive Investigation and Assessment Program (CHINARE-2014-02-03), the International Collaboration Supporting Project, Chinese Arctic and Antarctic Administration (IC201511), and the Pudong Development of Science and Technology Program (Pkj2013-z01). We acknowledge the use of ionosonde data from the Chinese Meridian Project. EISCAT is an international association supported by research organizations in China (CRIRP), Finland (SA), France (CNRS, till end of 2006), Germany (DFG), Japan (NIPR and STEL), Norway (NFR), Sweden (VR), and the United Kingdom (STFC). Kp index used in this paper comes from ftp://ftp.ngdc.noaa.gov/STP/GEOMAGNETIC_DATA/INDICES/KP_AP/. F10.7 index is from the website http://celestrak.com/SpaceData/.</t>
  </si>
  <si>
    <t>2169-9380</t>
  </si>
  <si>
    <t>2169-9402</t>
  </si>
  <si>
    <t>J GEOPHYS RES-SPACE</t>
  </si>
  <si>
    <t>J. Geophys. Res-Space Phys.</t>
  </si>
  <si>
    <t>10.1002/2015JA021465</t>
  </si>
  <si>
    <t>Astronomy &amp; Astrophysics</t>
  </si>
  <si>
    <t>DB1EZ</t>
  </si>
  <si>
    <t>WOS:000368252100044</t>
  </si>
  <si>
    <t>Boardman, L; Sorensen, JG; Terblanche, JS</t>
  </si>
  <si>
    <t>Boardman, Leigh; Sorensen, Jesper G.; Terblanche, John S.</t>
  </si>
  <si>
    <t>Physiological and molecular mechanisms associated with cross tolerance between hypoxia and low temperature in Thaumatotibia leucotreta</t>
  </si>
  <si>
    <t>JOURNAL OF INSECT PHYSIOLOGY</t>
  </si>
  <si>
    <t>Controlled atmospheres; Low temperature; Cryoprotectants; Heat shock protein 70</t>
  </si>
  <si>
    <t>CHILL-COMA RECOVERY; HEAT-SHOCK; COLD-TOLERANCE; EUROSTA-SOLIDAGINIS; GALL FLY; ANTARCTIC MIDGE; GENE-EXPRESSION; DROSOPHILA; INSECT; ANOXIA</t>
  </si>
  <si>
    <t>Biochemical adaptations allow insects to withstand exposures to hypoxia and/or hypothermia. Exposure to hypoxia may interact either synergistically or antagonistically with standard low temperature stress responses yet this has not been systematically researched and no clear mechanism has been identified to date. Using larvae of false codling moth Thaumatotibia leucotreta, a pest of southern Africa, we investigated the physiological and molecular responses to hypoxia or temperature stress pre-treatments, followed by a standard low temperature exposure. Survival rates were significantly influenced by pretreatment conditions, although T. leucotreta shows relatively high basal resistance to various stressors (4% variation in larval survival across all pre-treatments). Results showed that mild pre-treatments with chilling and hypoxia increased resistance to low temperatures and that these responses were correlated with increased membrane fluidity (increased UFA:SFA) and/or alterations in heat shock protein 70 (HSP70); while general mechanical stress (shaking) and heat (2 h at 35 degrees C) do not elicit cross tolerance (no change in survival or molecular responses). We therefore found support for some limited cold hardening and cross tolerance responses. Given that combined exposure to hypoxia and low temperature is used to sterilize commodities in post-harvest pest management programs, researchers can now exploit these mechanisms involved in cross tolerance to develop more targeted control methods. (C) 2015 Elsevier Ltd. All rights reserved.</t>
  </si>
  <si>
    <t>[Boardman, Leigh; Terblanche, John S.] Univ Stellenbosch, Ctr Invas Biol, Dept Conservat Ecol &amp; Entomol, ZA-7602 Matieland, South Africa; [Sorensen, Jesper G.] Aarhus Univ, Dept Biosci, Sect Genet Ecol &amp; Evolut, DK-8000 Aarhus C, Denmark</t>
  </si>
  <si>
    <t>Stellenbosch University; Aarhus University</t>
  </si>
  <si>
    <t>Boardman, L (corresponding author), Univ Stellenbosch, Ctr Invas Biol, Dept Conservat Ecol &amp; Entomol, Private Bag X1, ZA-7602 Matieland, South Africa.</t>
  </si>
  <si>
    <t>boardman.leigh@gmail.com</t>
  </si>
  <si>
    <t>Sørensen, Jesper Givskov/J-3190-2013; Terblanche, John/AAB-4457-2020; Boardman, Leigh/I-1901-2019</t>
  </si>
  <si>
    <t>Sørensen, Jesper Givskov/0000-0002-9149-3626; Boardman, Leigh/0000-0002-7311-9913; Terblanche, John/0000-0001-9665-9405</t>
  </si>
  <si>
    <t>Citrus Research International; Hortgro science; NRF-THRIP; National Research Foundation of South Africa [(UID) 71909]; Harry Crossley Foundation; Sapere Aude grant from Danish Council of Independent Research, Natural Sciences</t>
  </si>
  <si>
    <t>Citrus Research International; Hortgro science; NRF-THRIP; National Research Foundation of South Africa(National Research Foundation - South Africa); Harry Crossley Foundation; Sapere Aude grant from Danish Council of Independent Research, Natural Sciences</t>
  </si>
  <si>
    <t>We thank C. Kler, L. Lauridsen, K.L. Engrob for assistance in Denmark; J. Mouton, L. Engelbrecht and Drs Kinnear, Loos, Engelbrecht, Krygsman and Lacerda for providing access to equipment and S. Kang for assistance with protein extractions. This work was supported by Citrus Research International (PI: Tim G. Grout), Hortgro science (PI: John S. Terblanche), NRF-THRIP (PI: P. Addison). This work is based on the research supported in part by the National Research Foundation of South Africa (Grant specific unique reference number (UID) 71909). The Grantholder acknowledges that opinions, findings and conclusions or recommendations expressed in any publication generated by the NRF supported research are that of the author(s), and that the NRF accepts no liability whatsoever in this regard. L.B. was supported by the Harry Crossley Foundation. GC-MS work was facilitated by The Company of Biologists travel fellowship (L.B.) and a Sapere Aude grant from the Danish Council of Independent Research, Natural Sciences (J.G. S.). We are grateful for the constructive comments and input from anonymous reviewers.</t>
  </si>
  <si>
    <t>PERGAMON-ELSEVIER SCIENCE LTD</t>
  </si>
  <si>
    <t>OXFORD</t>
  </si>
  <si>
    <t>THE BOULEVARD, LANGFORD LANE, KIDLINGTON, OXFORD OX5 1GB, ENGLAND</t>
  </si>
  <si>
    <t>0022-1910</t>
  </si>
  <si>
    <t>1879-1611</t>
  </si>
  <si>
    <t>J INSECT PHYSIOL</t>
  </si>
  <si>
    <t>J. Insect Physiol.</t>
  </si>
  <si>
    <t>10.1016/j.jinsphys.2015.09.001</t>
  </si>
  <si>
    <t>Entomology; Physiology; Zoology</t>
  </si>
  <si>
    <t>CW5RJ</t>
  </si>
  <si>
    <t>WOS:000365054000010</t>
  </si>
  <si>
    <t>Meng, HH; Su, T; Huang, YJ; Zhu, H; Zhou, ZK</t>
  </si>
  <si>
    <t>Meng, Hong-Hu; Su, Tao; Huang, Yong-Jiang; Zhu, Hai; Zhou, Zhe-Kun</t>
  </si>
  <si>
    <t>Late Miocene Palaeocarya (Engelhardieae: Juglandaceae) from Southwest China and its biogeographic implications</t>
  </si>
  <si>
    <t>JOURNAL OF SYSTEMATICS AND EVOLUTION</t>
  </si>
  <si>
    <t>biogeography; Engelhardieae; fossil fruit; Juglandaceae; late Miocene; Palaeocarya</t>
  </si>
  <si>
    <t>CHLOROPLAST DNA; NORTHERN-HEMISPHERE; FOSSIL FRUITS; PHYLOGENY; PHYLOGEOGRAPHY; INTEGRATION; EVOLUTION; EOCENE</t>
  </si>
  <si>
    <t>Fossil fruits of Palaeocarya (Juglandaceae) are described from late Miocene sediments of southeastern Yunnan, China. The fruits present a tri-lobed wing consisting of an intact oblong-ovate middle lobe and two lateral lobes. The lobes are apically obovate, and have pinnate venation. The middle lobe is thicker at the base and gradually tapers to the apex. The nutlet, located at the base of the winged fruit, is round and hispid, and is subdivided by a septum into two compartments. Based on extensive morphological comparisons to previously documented fossil fruits, we found that the fossil fruits align most closely with members of the genus Palaeocarya, but have a unique combination of characters. Thus, we describe the fossils as a new species, Palaeocarya hispida sp. nov. This species represents an important range expansion for low-latitude occurrences of Palaeocarya in the late Miocene and therefore substantially improves our understanding of the biogeographic history of the genus. We propose that the wide distribution of Palaeocarya and relatively narrow distributions of close relatives, Engelhardia, Alfaropsis, and Oreomunnea, might be associated with a stepwise cooling and a major ice sheet expansion in the Antarctic and Arctic from the late middle Miocene to early Pliocene. In particular, the climatic oscillations during the Quaternary, such as the last glacial maximum, might have led to a decrease in the geographic distribution of Engelhardieae.</t>
  </si>
  <si>
    <t>[Meng, Hong-Hu; Su, Tao; Zhou, Zhe-Kun] Chinese Acad Sci, Key Lab Trop Forest Ecol, Xishuangbanna Trop Bot Garden, Mengla 666303, Peoples R China; [Huang, Yong-Jiang; Zhu, Hai; Zhou, Zhe-Kun] Chinese Acad Sci, Kunming Inst Bot, Key Lab Plant Divers &amp; Biogeog East Asia, Kunming 650201, Peoples R China; [Meng, Hong-Hu; Zhu, Hai] Univ Chinese Acad Sci, Beijing 100049, Peoples R China</t>
  </si>
  <si>
    <t>Chinese Academy of Sciences; Xishuangbanna Tropical Botanical Garden, CAS; Chinese Academy of Sciences; Kunming Institute of Botany, CAS; Chinese Academy of Sciences; University of Chinese Academy of Sciences, CAS</t>
  </si>
  <si>
    <t>Zhou, ZK (corresponding author), Chinese Acad Sci, Key Lab Trop Forest Ecol, Xishuangbanna Trop Bot Garden, Mengla 666303, Peoples R China.</t>
  </si>
  <si>
    <t>zhouzk@xtbg.ac.cn</t>
  </si>
  <si>
    <t>Su, Tao/T-4411-2019; Meng, Hong-Hu/Y-9861-2019; Huang, Yongjiang/AAJ-8162-2020; Zhou, Zhekun/G-5281-2011</t>
  </si>
  <si>
    <t>Su, Tao/0000-0002-9148-6127; Meng, Hong-Hu/0000-0002-4504-0001; Zhou, Zhekun/0000-0002-0710-2128</t>
  </si>
  <si>
    <t>National Natural Science Foundation of China [41372035]; National Key Basic Research Project (973 Project) [2012CB821901]</t>
  </si>
  <si>
    <t>National Natural Science Foundation of China(National Natural Science Foundation of China (NSFC)); National Key Basic Research Project (973 Project)(National Basic Research Program of China)</t>
  </si>
  <si>
    <t>Dr. Steven R. Manchester (Florida Museum of National History, University of Florida) is gratefully acknowledged for providing literature, constructive suggestions. We thank members from the Paleoecology Group, Xishuangbanna Tropical Botanical Garden, Chinese Academy of Sciences, graduate students from the Faculty of Land Resource Engineering, Kunming University of Science, Technology for help in fossil collections. Funding for this research was provided by the National Natural Science Foundation of China (Grant No. 41372035 to Z.-K. Zhou), the National Key Basic Research Project (973 Project, Grant No. 2012CB821901 to Z.-K. Zhou).</t>
  </si>
  <si>
    <t>1674-4918</t>
  </si>
  <si>
    <t>1759-6831</t>
  </si>
  <si>
    <t>J SYST EVOL</t>
  </si>
  <si>
    <t>J. Syst. Evol.</t>
  </si>
  <si>
    <t>10.1111/jse.12145</t>
  </si>
  <si>
    <t>Plant Sciences</t>
  </si>
  <si>
    <t>CU9OJ</t>
  </si>
  <si>
    <t>WOS:000363873600003</t>
  </si>
  <si>
    <t>Burton-Johnson, A; Riley, TR</t>
  </si>
  <si>
    <t>Burton-Johnson, A.; Riley, T. R.</t>
  </si>
  <si>
    <t>Autochthonous v. accreted terrane development of continental margins: a revised in situ tectonic history of the Antarctic Peninsula</t>
  </si>
  <si>
    <t>JOURNAL OF THE GEOLOGICAL SOCIETY</t>
  </si>
  <si>
    <t>SOUTH SHETLAND ISLANDS; COAST INTRUSIVE SUITE; EASTERN PALMER LAND; MIERS BLUFF FORMATION; ZIRCON U-PB; ALEXANDER ISLAND; GRAHAM LAND; LASSITER COAST; ARC BASIN; PACIFIC MARGIN</t>
  </si>
  <si>
    <t>The allochthonous terrane accretion model previously proposed for the geological development of the Antarctic Peninsula continental margin arc is reviewed in light of recent data and the geology is reinterpreted as having evolved as an in situ continental arc. This is based upon the following factors: (1) the presence of Early Palaeozoic basement and stratigraphic correlation of sequences between the autochthonous and previously proposed allochthonous terranes; (2) isotopic evidence for similar deep crustal structure across the different terranes; (3) ocean island basalt magmas and deep marine sedimentary rocks formed during continental margin extension within the previously proposed accretionary wedge sequence (i.e. not formed against an active oceanic arc); (4) the distribution of magnetic susceptibility measurements and aeromagnetic data locating the palaeo-subduction zone along the west of the Peninsula; (5) a lack of clear palaeomagnetic distinction between the terranes. The following alternative tectonic history is proposed: (1) amalgamation and persistence of Gondwana; (2) subsequent silicic large igneous province magmatism and extension; (3) development and history of Andean subduction until its cessation in the Cenozoic. A number of features in the Antarctic Peninsula correlate with those of other circum-Pacific margins, supporting a global evaluation of allochthonous v. autochthonous margin development to aid our understanding of crustal growth mechanisms.</t>
  </si>
  <si>
    <t>[Burton-Johnson, A.; Riley, T. R.] British Antarctic Survey, Cambridge CB3 0ET, England</t>
  </si>
  <si>
    <t>UK Research &amp; Innovation (UKRI); Natural Environment Research Council (NERC); NERC British Antarctic Survey</t>
  </si>
  <si>
    <t>Burton-Johnson, A (corresponding author), British Antarctic Survey, Madingley Rd, Cambridge CB3 0ET, England.</t>
  </si>
  <si>
    <t>alerto@bas.ac.uk</t>
  </si>
  <si>
    <t>Riley, Teal/0000-0002-3333-5021</t>
  </si>
  <si>
    <t>Natural Environment Research Council; Natural Environment Research Council [bas0100029] Funding Source: researchfish; NERC [bas0100029]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</si>
  <si>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</si>
  <si>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funded by the Natural Environment Research Council. This paper has benefited considerably as a result of the helpful review comments of D. Barbeau, I. Fitzsimmons, I. Millar and A. Vaughan. We would also like to thank F. Ferraccioli and S. Boughey for their assistance.</t>
  </si>
  <si>
    <t>GEOLOGICAL SOC PUBL HOUSE</t>
  </si>
  <si>
    <t>BATH</t>
  </si>
  <si>
    <t>UNIT 7, BRASSMILL ENTERPRISE CENTRE, BRASSMILL LANE, BATH BA1 3JN, AVON, ENGLAND</t>
  </si>
  <si>
    <t>0016-7649</t>
  </si>
  <si>
    <t>2041-479X</t>
  </si>
  <si>
    <t>J GEOL SOC LONDON</t>
  </si>
  <si>
    <t>J. Geol. Soc.</t>
  </si>
  <si>
    <t>10.1144/jgs2014-110</t>
  </si>
  <si>
    <t>CV1BC</t>
  </si>
  <si>
    <t>hybrid, Green Accepted</t>
  </si>
  <si>
    <t>WOS:000363986900012</t>
  </si>
  <si>
    <t>Freese, D; Niehoff, B; Soreide, JE; Sartoris, FJ</t>
  </si>
  <si>
    <t>Freese, Daniela; Niehoff, Barbara; Soreide, Janne E.; Sartoris, Franz Josef</t>
  </si>
  <si>
    <t>Seasonal patterns in extracellular ion concentrations and pH of the Arctic copepod Calanus glacialis</t>
  </si>
  <si>
    <t>LIMNOLOGY AND OCEANOGRAPHY</t>
  </si>
  <si>
    <t>BUOYANCY MECHANISM; CALANOIDES-ACUTUS; NEUTRAL BUOYANCY; MARINE COPEPOD; WAX ESTERS; LIFE-CYCLE; FINMARCHICUS; LIPIDS; LITHIUM; ZOOPLANKTON</t>
  </si>
  <si>
    <t>Arctic shelf zooplankton communities are dominated by the copepod Calanus glacialis. This species feeds in surface waters during spring and summer and accumulates large amounts of lipids. Autumn and winter are spent in dormancy in deeper waters. Lipids are believed to play a major role in regulating buoyancy, however, they cannot explain fine-tuning of the depth distribution. To investigate whether ion exchange processes and acid-base regulation support ontogenetic migration as suggested for Antarctic copepods, we sampled C. glacialis in monthly intervals for 1 yr in a high-Arctic fjord and determined cation concentrations and the extracellular pH (pH(e)) in its hemolymph. During the winter/spring transition, prior to the upward migration of the copepods, Li+ ions were exchanged with cations (Na+, Mg2+, and Ca2+) leading to Li+ concentrations of 197 mmol L-1. This likely decreased the density and promoted upward migration in C. glacialis. Our data thus suggest that Li+ has a biological function in this species. Ion and pH(e) regulation in the hemolymph were not directly correlated, but the pH(e) revealed a seasonal pattern and was low (5.5) in winter and high (7.9) in summer. Low pH(e) during overwintering might be related to metabolic depression and thus, support diapause.</t>
  </si>
  <si>
    <t>[Freese, Daniela; Niehoff, Barbara; Sartoris, Franz Josef] Alfred Wegener Inst, Helmholtz Ctr Polar &amp; Marine Res, D-27570 Bremerhaven, Germany; [Freese, Daniela; Soreide, Janne E.] Univ Ctr Svalbard, N-9171 Longyearbyen, Norway</t>
  </si>
  <si>
    <t>Helmholtz Association; Alfred Wegener Institute, Helmholtz Centre for Polar &amp; Marine Research; University Centre Svalbard (UNIS)</t>
  </si>
  <si>
    <t>Freese, D (corresponding author), Alfred Wegener Inst, Helmholtz Ctr Polar &amp; Marine Res, Handelshafen 12, D-27570 Bremerhaven, Germany.</t>
  </si>
  <si>
    <t>Daniela.Freese@awi.de</t>
  </si>
  <si>
    <t>Soreide, Janne/HNI-3758-2023</t>
  </si>
  <si>
    <t>Sartoris, Franz-Josef/0000-0001-7228-3220; Niehoff, Barbara/0000-0002-7483-9373</t>
  </si>
  <si>
    <t>Research Council of Norway [216537]; Helmholtz Graduate School for Polar and Marine Research (POLMAR) at the AWI [VH-GS-200]; Arctic Field Grant [227555]</t>
  </si>
  <si>
    <t>Research Council of Norway(Research Council of Norway); Helmholtz Graduate School for Polar and Marine Research (POLMAR) at the AWI; Arctic Field Grant</t>
  </si>
  <si>
    <t>We thank the crew and the scientists of the RV Helmer Hanssen, the small motorboat Farm and UNIS logistics and fellow students for their support during the numerous and often challenging field campaigns. We thank two anonymous referees for their valuable comments on our manuscript. This research was part of the project CLEOPATRA II: Climate effects on food quality and trophic transfer in the Arctic marginal ice zone, funded by the Research Council of Norway (Project ID 216537). Daniela Freese was financed by the Helmholtz Graduate School for Polar and Marine Research (POLMAR, Project ID VH-GS-200) at the AWI. Part of the fieldwork was financed by an Arctic Field Grant (Project ID 227555).</t>
  </si>
  <si>
    <t>0024-3590</t>
  </si>
  <si>
    <t>1939-5590</t>
  </si>
  <si>
    <t>LIMNOL OCEANOGR</t>
  </si>
  <si>
    <t>Limnol. Oceanogr.</t>
  </si>
  <si>
    <t>10.1002/lno.10158</t>
  </si>
  <si>
    <t>Limnology; Oceanography</t>
  </si>
  <si>
    <t>Marine &amp; Freshwater Biology; Oceanography</t>
  </si>
  <si>
    <t>CU9TO</t>
  </si>
  <si>
    <t>WOS:000363888400019</t>
  </si>
  <si>
    <t>Hyder, K; Rossberg, AG; Allen, JI; Austen, MC; Barciela, RM; Bannister, HJ; Blackwell, PG; Blanchard, JL; Burrows, MT; Defriez, E; Dorrington, T; Edwards, KP; Garcia-Carreras, B; Heath, MR; Hembury, DJ; Heymans, JJ; Holt, J; Houle, JE; Jennings, S; Mackinson, S; Malcolm, SJ; McPike, R; Mee, L; Mills, DK; Montgomery, C; Pearson, D; Pinnegar, JK; Pollicino, M; Popova, EE; Rae, L; Rogers, SI; Speirs, D; Spence, MA; Thorpe, R; Turner, RK; van der Molen, J; Yool, A; Paterson, DM</t>
  </si>
  <si>
    <t>Hyder, Kieran; Rossberg, Axel G.; Allen, J. Icarus; Austen, Melanie C.; Barciela, Rosa M.; Bannister, Hayley J.; Blackwell, Paul G.; Blanchard, Julia L.; Burrows, Michael T.; Defriez, Emma; Dorrington, Tarquin; Edwards, Karen P.; Garcia-Carreras, Bernardo; Heath, Michael R.; Hembury, Deborah J.; Heymans, Johanna J.; Holt, Jason; Houle, Jennifer E.; Jennings, Simon; Mackinson, Steve; Malcolm, Stephen J.; McPike, Ruaraidh; Mee, Laurence; Mills, David K.; Montgomery, Caron; Pearson, Dean; Pinnegar, John K.; Pollicino, Marilena; Popova, Ekaterina E.; Rae, Louise; Rogers, Stuart I.; Speirs, Douglas; Spence, Michael A.; Thorpe, Robert; Turner, R. Kerry; van der Molen, Johan; Yool, Andrew; Paterson, David M.</t>
  </si>
  <si>
    <t>Making modelling count - increasing the contribution of shelf-seas community and ecosystem models to policy development and management</t>
  </si>
  <si>
    <t>MARINE POLICY</t>
  </si>
  <si>
    <t>Ecosystem models; Marine policy and management; UK environmental assessment, management, and monitoring</t>
  </si>
  <si>
    <t>COD GADUS-MORHUA; NORTH-SEA; MARINE ECOSYSTEMS; CLIMATE-CHANGE; UNCERTAINTY; SIZE; CONSERVATION; ENSEMBLE; SERVICES; LESSONS</t>
  </si>
  <si>
    <t>Marine legislation is becoming more complex and marine ecosystem-based management is specified in national and regional legislative frameworks. Shelf-seas community and ecosystem models (hereafter termed ecosystem models) are central to the delivery of ecosystem-based management, but there is limited uptake and use of model products by decision makers in Europe and the UK in comparison with other countries. In this study, the challenges to the uptake and use of ecosystem models in support of marine environmental management are assessed using the UK capability as an example. The UK has a broad capability in marine ecosystem modelling, with at least 14 different models that support management, but few examples exist of ecosystem modelling that underpin policy or management decisions. To improve understanding of policy and management issues that can be addressed using ecosystem models, a workshop was convened that brought together advisors, assessors, biologists, social scientists, economists, modellers, statisticians, policy makers, and funders. Some policy requirements were identified that can be addressed without further model development including: attribution of environmental change to underlying drivers, integration of models and observations to develop more efficient monitoring programmes, assessment of indicator performance for different management goals, and the costs and benefit of legislation. Multi-model ensembles are being developed in cases where many models exist, but model structures are very diverse making a standardised approach of combining outputs a significant challenge, and there is a need for new methodologies for describing, analysing, and visualising uncertainties. A stronger link to social and economic systems is needed to increase the range of policy-related questions that can be addressed. It is also important to improve communication between policy and modelling communities so that there is a shared understanding of the strengths and limitations of ecosystem models. Crown Copyright (C) 2015 Published by Elsevier Ltd. All rights reserved.</t>
  </si>
  <si>
    <t>[Hyder, Kieran; Rossberg, Axel G.; Garcia-Carreras, Bernardo; Jennings, Simon; Mackinson, Steve; Malcolm, Stephen J.; Mills, David K.; Pinnegar, John K.; Rogers, Stuart I.; Thorpe, Robert; van der Molen, Johan] Ctr Environm Fisheries &amp; Aquaculture Sci, Lowestoft Lab, Lowestoft NR33 0HT, Suffolk, England; [Allen, J. Icarus; Austen, Melanie C.] Plymouth Marine Lab, Plymouth PL1 3DH, Devon, England; [Barciela, Rosa M.] Met Off, Hadley Ctr &amp; Natl Ctr Ocean Forecasting, Exeter EX1 3PB, Devon, England; [Bannister, Hayley J.; Blanchard, Julia L.; Spence, Michael A.] Univ Sheffield, Anim &amp; Plant Sci, Sheffield S10 2TN, S Yorkshire, England; [Blackwell, Paul G.] Univ Sheffield, Sch Math &amp; Stat, Sheffield S3 7RH, S Yorkshire, England; [Blanchard, Julia L.] Univ Tasmania, Inst Marine &amp; Antarctic Studies, Battery Point, Tas 7004, Australia; [Mee, Laurence] Scottish Assoc Marine Sci, Scottish Marine Inst, Oban PA37 1QA, Argyll, Scotland; [Garcia-Carreras, Bernardo] Univ London Imperial Coll Sci Technol &amp; Med, Ascot SL5 7PY, Berks, England; [Dorrington, Tarquin; Montgomery, Caron; Pearson, Dean; Pollicino, Marilena] Dept Environm Food &amp; Rural Affairs, London SW1P 3JR, England; [Edwards, Karen P.] Environm Agcy, Estuarine &amp; Coastal Monitoring &amp; Assessment Serv, Exeter EX2 7LQ, Devon, England; [McPike, Ruaraidh; Speirs, Douglas] Univ Strathclyde, Dept Math &amp; Stat, Glasgow G1 1XH, Lanark, Scotland; [Holt, Jason] Natl Oceanog Ctr, Liverpool L3 5DA, Merseyside, England; [Houle, Jennifer E.] Queens Univ Belfast, Sch Biol Sci, Ctr Med Biol, Belfast BT9 7BL, Antrim, North Ireland; [Popova, Ekaterina E.] Univ Southampton, Natl Oceanog Ctr, Southampton SO14 3ZH, Hants, England; [Rae, Louise] Ctr Environm Fisheries &amp; Aquaculture Sci, Weymouth Lab, Weymouth DT4 8UB, Dorset, England; [Turner, R. Kerry] Univ E Anglia, Sch Environm Sci, Norwich NR4 7TJ, Norfolk, England; [Paterson, David M.] Univ St Andrews, Sch Biol, Scottish Oceans Inst, St Andrews KY16 8LB, Fife, Scotland</t>
  </si>
  <si>
    <t>Centre for Environment Fisheries &amp; Aquaculture Science; Plymouth Marine Laboratory; Met Office - UK; University of Sheffield; University of Sheffield; University of Tasmania; UHI Millennium Institute; Imperial College London; University of Strathclyde; NERC National Oceanography Centre; Queens University Belfast; NERC National Oceanography Centre; University of Southampton; Centre for Environment Fisheries &amp; Aquaculture Science; University of East Anglia; University of St Andrews</t>
  </si>
  <si>
    <t>Hyder, K (corresponding author), Ctr Environm Fisheries &amp; Aquaculture Sci, Lowestoft Lab, Pakefield Rd, Lowestoft NR33 0HT, Suffolk, England.</t>
  </si>
  <si>
    <t>Heymans, Johanna J/H-4848-2012; Rossberg, Axel/G-1179-2010; Speirs, Douglas C/D-7526-2013; Popova, Ekaterina E/B-4520-2012; Burrows, Michael T/D-9844-2013; Pinnegar, John K/C-4400-2012; Austen, Melanie C/GLU-1418-2022; Mills, D/KFT-3273-2024; Yool, Andrew/B-4799-2012; Holt, Jason/B-6323-2012; Heath, Michael R/D-5765-2013; Burrows, Michael/ABF-4844-2020; Blanchard, Julia L/E-4919-2010; Blackwell, Paul/F-2885-2017; Garcia-Carreras, Bernardo/H-3234-2011; Paterson, David/D-5202-2013; Jennings, Simon/F-5085-2012</t>
  </si>
  <si>
    <t>Heymans, Johanna J/0000-0002-7290-8988; Rossberg, Axel/0000-0001-9014-3176; Speirs, Douglas C/0000-0002-4367-1459; Popova, Ekaterina E/0000-0002-2012-708X; Burrows, Michael T/0000-0003-4620-5899; Austen, Melanie C/0000-0001-8133-0498; Yool, Andrew/0000-0002-9879-2776; Burrows, Michael/0000-0003-4620-5899; van der Molen, Johan/0000-0002-6233-479X; Heath, Michael/0000-0001-6602-3107; Garcia-Carreras, Bernardo/0000-0002-0714-300X; Pinnegar, John/0000-0001-5061-9520; Mackinson, Steven/0000-0002-0262-1180; Paterson, David/0000-0003-1174-6476; Hyder, Kieran/0000-0003-1428-5679; Blanchard, Julia/0000-0003-0532-4824; Bannister, Hayley/0000-0002-5565-3899; Houle, Jennifer/0000-0001-8114-0993; Jennings, Simon/0000-0002-2390-7225</t>
  </si>
  <si>
    <t>Scottish Funding Council [HR09011]; Defra project [ME5428]; Cefas Seedcorn [DP348]; Natural Environment Research Council; Department for Environment, Food and Rural Affairs [NE/L003279/1]; MASTS; Beaufort Marine Research Award under the Sea Change Strategy; Strategy for Science Technology and Innovation; Marine Institute; European Commission (OCEAN-CERTAIN) [603773]; GAP2 (EU FP7 project) [266544]; UK Department for Environment, Food and Rural Affairs (Defra) Project Linking Physics to Fisheries Management [MF1228]; Department for Environment, Food and Rural Affairs (Defra) project Integration of fisheries and environmental management [MF1225]; NERC [NE/L003058/1, NE/L003120/1, pml010005, NE/L003279/1, pml010010, pml010006, NE/L003066/1, NE/J015644/1, NE/L00321X/1, NE/J015334/1, NE/J024082/1] Funding Source: UKRI; Natural Environment Research Council [NE/L00321X/1, NE/L003058/1, NE/J015644/1, pml010010, NE/L003279/1, NE/J015334/1, NE/L003066/1, NE/L003120/1, pml010005, pml010006, NE/J024082/1] Funding Source: researchfish</t>
  </si>
  <si>
    <t>Scottish Funding Council; Defra project(Department for Environment, Food &amp; Rural Affairs (DEFRA)); Cefas Seedcorn; Natural Environment Research Council(UK Research &amp; Innovation (UKRI)Natural Environment Research Council (NERC)); Department for Environment, Food and Rural Affairs(Department for Environment, Food &amp; Rural Affairs (DEFRA)); MASTS; Beaufort Marine Research Award under the Sea Change Strategy; Strategy for Science Technology and Innovation; Marine Institute; European Commission (OCEAN-CERTAIN); GAP2 (EU FP7 project)(European Union (EU)); UK Department for Environment, Food and Rural Affairs (Defra) Project Linking Physics to Fisheries Management; Department for Environment, Food and Rural Affairs (Defra) project Integration of fisheries and environmental management; NERC(UK Research &amp; Innovation (UKRI)Natural Environment Research Council (NERC)); Natural Environment Research Council(UK Research &amp; Innovation (UKRI)Natural Environment Research Council (NERC))</t>
  </si>
  <si>
    <t>This initiative was led by Kieran Hyder (Cefas) and David Paterson (University of St Andrews) developed as a theme under the Science Alignment Workgroup of the Marine Science Coordination Committee (MSCC - https://www.gov.uk/government/groups/marine-science-co-ordination-committee) in collaboration with the Marine Alliance for Science and Technology for Scotland (MASTS - http://www.masts.ac.uk/). MASTS is funded by the Scottish Funding Council (Grant reference HR09011) and contributing institutions. Kieran Hyder, Emma Defriez, Bernardo Garcia-Carreras, Ruaraidh McPike, John Pinnegar, Louise Rae, Stuart Rogers, Axel Rossberg and, Johan van der Molen were supported by the Defra project ME5428 (Developing ecosystem modelling capability in the UK) and Cefas Seedcorn funding under DP348. Icarus Allen, Paul Blackwell, Julia Blanchard, Michael Burrows, Johanna Heymans, Michael Heath, Douglas Speirs, and Michael Spence were supported by the Natural Environment Research Council and Department for Environment, Food and Rural Affairs (Grant number NE/L003279/1, Marine Ecosystems Research Programme). David Paterson received funding from MASTS and their support is gratefully acknowledged. Jennifer Houle was supported by a Beaufort Marine Research Award carried out under the Sea Change Strategy and the Strategy for Science Technology and Innovation (2006-2013), with the support of the Marine Institute, funded under the Marine Research Sub-Programme of the Irish National Development Plan 2007-2013. Robert Thorpe received financial aid from the European Commission (OCEAN-CERTAIN, FP7-ENV-2013-6.1-1; no: 603773). Steve Mackinson was supported by GAP2 (EU FP7 project, Grant agreement 266544) and the UK Department for Environment, Food and Rural Affairs (Defra) Project MF1228 Linking Physics to Fisheries Management. Simon Jennings was supported by the Department for Environment, Food and Rural Affairs (Defra) project Integration of fisheries and environmental management (MF1225). A special thanks to Louise Docherty for all her help with organisation of the workshop and to Claire Hedley for providing the underlying picture used in Fig. 1.</t>
  </si>
  <si>
    <t>ELSEVIER SCI LTD</t>
  </si>
  <si>
    <t>THE BOULEVARD, LANGFORD LANE, KIDLINGTON, OXFORD OX5 1GB, OXON, ENGLAND</t>
  </si>
  <si>
    <t>0308-597X</t>
  </si>
  <si>
    <t>1872-9460</t>
  </si>
  <si>
    <t>MAR POLICY</t>
  </si>
  <si>
    <t>Mar. Pol.</t>
  </si>
  <si>
    <t>10.1016/j.marpol.2015.07.015</t>
  </si>
  <si>
    <t>Environmental Studies; International Relations</t>
  </si>
  <si>
    <t>Social Science Citation Index (SSCI)</t>
  </si>
  <si>
    <t>Environmental Sciences &amp; Ecology; International Relations</t>
  </si>
  <si>
    <t>CZ0BE</t>
  </si>
  <si>
    <t>WOS:000366769300033</t>
  </si>
  <si>
    <t>Ohneiser, C; Florindo, F; Stocchi, P; Roberts, AP; DeConto, RM; Pollard, D</t>
  </si>
  <si>
    <t>Ohneiser, Christian; Florindo, Fabio; Stocchi, Paolo; Roberts, Andrew P.; DeConto, Robert M.; Pollard, David</t>
  </si>
  <si>
    <t>Antarctic glacio-eustatic contributions to late Miocene Mediterranean desiccation and reflooding</t>
  </si>
  <si>
    <t>NATURE COMMUNICATIONS</t>
  </si>
  <si>
    <t>MESSINIAN SALINITY CRISIS; POSTGLACIAL SEA-LEVEL; SOUTH ATLANTIC; CHRONOLOGY; BASIN; PROGRESSION; CONSTRAINTS; SEQUENCES; INSIGHTS; HISTORY</t>
  </si>
  <si>
    <t>The Messinian Salinity Crisis (MSC) was a marked late Neogene oceanographic event during which the Mediterranean Sea evaporated. Its causes remain unresolved, with tectonic restrictions to the Atlantic Ocean or glacio-eustatic restriction of flow during sea-level lowstands, or a mixture of the two mechanisms, being proposed. Here we present the first direct geological evidence of Antarctic ice-sheet (AIS) expansion at the MSC onset and use a delta O-18 record to model relative sea-level changes. Antarctic sedimentary successions indicate AIS expansion at 6Ma coincident with major MSC desiccation; relative sea-level modelling indicates a prolonged similar to 50m lowstand at the Strait of Gibraltar, which resulted from AIS expansion and local evaporation of sea water in concert with evaporite precipitation that caused lithospheric deformation. Our results reconcile MSC events and demonstrate that desiccation and refilling were timed by the interplay between glacio-eustatic sea-level variations, glacial isostatic adjustment and mantle deformation in response to changing water and evaporite loads.</t>
  </si>
  <si>
    <t>[Ohneiser, Christian] Univ Otago, Dept Geol, Dunedin 9054, New Zealand; [Florindo, Fabio] Ist Nazl Geofis &amp; Vulcanol, I-00143 Rome, Italy; [Stocchi, Paolo] NIOZ Royal Netherlands Inst Sea Res, Phys Oceanog FYS, NL-1790 AB Den Burg, Texel, Netherlands; [Roberts, Andrew P.] Australian Natl Univ, Res Sch Earth Sci, Canberra, ACT 0200, Australia; [DeConto, Robert M.] Univ Massachusetts, Dept Geosci, Amherst, MA 01003 USA; [Pollard, David] Penn State Univ, Earth &amp; Environm Syst Inst, University Pk, PA 16802 USA</t>
  </si>
  <si>
    <t>University of Otago; Istituto Nazionale Geofisica e Vulcanologia (INGV); Utrecht University; Royal Netherlands Institute for Sea Research (NIOZ); Australian National University; University of Massachusetts System; University of Massachusetts Amherst; Pennsylvania Commonwealth System of Higher Education (PCSHE); Pennsylvania State University; Pennsylvania State University - University Park</t>
  </si>
  <si>
    <t>Ohneiser, C (corresponding author), Univ Otago, Dept Geol, POB 56, Dunedin 9054, New Zealand.</t>
  </si>
  <si>
    <t>christian.ohneiser@otago.ac.nz</t>
  </si>
  <si>
    <t>Ohneiser, Christian/B-5797-2018; Florindo, Fabio/M-1459-2019; Roberts, Andrew P/E-6422-2010; Florindo, Fabio/F-4119-2010; Florindo, Fabio/AAU-2548-2021</t>
  </si>
  <si>
    <t>Florindo, Fabio/0000-0002-6058-9748; Florindo, Fabio/0000-0002-6058-9748; Roberts, Andrew P./0000-0003-0566-8117; Ohneiser, Christian/0000-0002-2781-2522; Stocchi, Paolo/0000-0002-1377-3817</t>
  </si>
  <si>
    <t>UK NERC; Italian Programma Nazionale di Ricerche in Antartide; US NSF; Directorate For Geosciences; Div Atmospheric &amp; Geospace Sciences [1203910] Funding Source: National Science Foundation</t>
  </si>
  <si>
    <t>UK NERC(UK Research &amp; Innovation (UKRI)Natural Environment Research Council (NERC)); Italian Programma Nazionale di Ricerche in Antartide(Ministry of Education, Universities and Research (MIUR)); US NSF(National Science Foundation (NSF)); Directorate For Geosciences; Div Atmospheric &amp; Geospace Sciences(National Science Foundation (NSF)NSF - Directorate for Geosciences (GEO))</t>
  </si>
  <si>
    <t>We are grateful to the IODP Leg 188 shipboard scientific party for support and the ANDRILL MIS Science Team, drillers, curators, Raytheon Polar Services staff and the ANDRILL Science Management Office for their efforts and assistance during the ANDRILL Program. Participation by FF on Leg 188 and ANDRILL was supported by the UK NERC and the Italian Programma Nazionale di Ricerche in Antartide, respectively. This research used samples and data provided by the ODP, which is sponsored by the US NSF and participating countries under management of Joint Oceanographic Institutions, Incorporated. The authors are grateful for the constructive criticism of the anonymous reviewers which improved this manuscript.</t>
  </si>
  <si>
    <t>NATURE PORTFOLIO</t>
  </si>
  <si>
    <t>BERLIN</t>
  </si>
  <si>
    <t>HEIDELBERGER PLATZ 3, BERLIN, 14197, GERMANY</t>
  </si>
  <si>
    <t>2041-1723</t>
  </si>
  <si>
    <t>NAT COMMUN</t>
  </si>
  <si>
    <t>Nat. Commun.</t>
  </si>
  <si>
    <t>10.1038/ncomms9765</t>
  </si>
  <si>
    <t>Multidisciplinary Sciences</t>
  </si>
  <si>
    <t>Science &amp; Technology - Other Topics</t>
  </si>
  <si>
    <t>CY3FP</t>
  </si>
  <si>
    <t>Green Published, gold</t>
  </si>
  <si>
    <t>WOS:000366294400004</t>
  </si>
  <si>
    <t>Telling, J; Boyd, ES; Bone, N; Jones, EL; Tranter, M; MacFarlane, JW; Martin, PG; Wadham, JL; Lamarche-Gagnon, G; Skidmore, ML; Hamilton, TL; Hill, E; Jackson, M; Hodgson, DA</t>
  </si>
  <si>
    <t>Telling, J.; Boyd, E. S.; Bone, N.; Jones, E. L.; Tranter, M.; MacFarlane, J. W.; Martin, P. G.; Wadham, J. L.; Lamarche-Gagnon, G.; Skidmore, M. L.; Hamilton, T. L.; Hill, E.; Jackson, M.; Hodgson, D. A.</t>
  </si>
  <si>
    <t>Rock comminution as a source of hydrogen for subglacial ecosystems</t>
  </si>
  <si>
    <t>NATURE GEOSCIENCE</t>
  </si>
  <si>
    <t>ANTARCTIC ICE-SHEET; BENEATH; GREENLAND; EROSION; WATER; ENVIRONMENTS; DIVERSITY; SEDIMENTS; METHANE; GASES</t>
  </si>
  <si>
    <t>Substantial parts of the beds of glaciers, ice sheets and ice caps are at the pressure melting point(1). The resulting water harbours diverse subglacial microbial ecosystems(2,3) capable of affecting global biogeochemical cycles(4,5). Such subglacial habitats may have acted as refugia during Neoproterozoic glaciations(6). However, it is unclear how life in subglacial environments could be supported during glaciations lasting millions of years because energy from overridden organic carbon would become increasingly depleted(7,8). Here we investigate the potential for abiogenic H-2 produced during rock comminution to provide a continual source of energy to support subglacial life. We collected a range of silicate rocks representative of subglacial environments in Greenland, Canada, Norway and Antarctica and crushed them with a sledgehammer and ball mill to varying surface areas. Under an inert atmosphere in the laboratory, we added water, and measured H-2 production with time. H-2 was produced at 0 degrees C in all silicate-water experiments, probably through the reaction of water with mineral surface silica radicals formed during rock comminution. H-2 production increased with increasing temperature or decreasing silicate rock grain size. Sufficient H-2 was produced to support previously measured rates of methanogenesis under a Greenland glacier. We conclude that abiogenic H-2 generation from glacial bedrock comminution could have supported life and biodiversity in subglacial refugia during past extended global glaciations.</t>
  </si>
  <si>
    <t>[Telling, J.; Bone, N.; Jones, E. L.; Tranter, M.; Wadham, J. L.; Lamarche-Gagnon, G.] Univ Bristol, Sch Geog Sci, Bristol BS8 1SS, Avon, England; [Boyd, E. S.] Montana State Univ, Dept Microbiol &amp; Immunol, Bozeman, MT 59717 USA; [MacFarlane, J. W.; Martin, P. G.] Univ Bristol, Sch Phys, Interface Anal Ctr, Bristol BS8 1TL, Avon, England; [Skidmore, M. L.] Montana State Univ, Dept Earth Sci, Bozeman, MT 59717 USA; [Hamilton, T. L.] Univ Cincinnati, Dept Biol Sci, Cincinnati, OH 45221 USA; [Hill, E.] Carl Zeiss Microscopy Ltd, Nat Resources Lab, Cambridge CB1 3JS, England; [Jackson, M.] Norwegian Water Resources &amp; Energy Directorate, Hydrol Dept, Glacier Snow &amp; Ice Sect, N-0301 Oslo, Norway; [Hodgson, D. A.] British Antarctic Survey, Cambridge CB3 0ET, England</t>
  </si>
  <si>
    <t>University of Bristol; Montana State University System; Montana State University Bozeman; University of Bristol; Montana State University System; Montana State University Bozeman; University System of Ohio; University of Cincinnati; Norwegian Water Resources &amp; Energy Directorate; UK Research &amp; Innovation (UKRI); Natural Environment Research Council (NERC); NERC British Antarctic Survey</t>
  </si>
  <si>
    <t>Telling, J (corresponding author), Univ Bristol, Sch Geog Sci, Univ Rd, Bristol BS8 1SS, Avon, England.</t>
  </si>
  <si>
    <t>jon.telling@bristol.ac.uk</t>
  </si>
  <si>
    <t>Jackson, Miriam/M-1898-2018; Wadham, Jemma L/G-3138-2014; Skidmore, Mark L/I-4317-2018; Telling, Jon/M-7643-2013; Tranter, Martyn/E-3722-2010</t>
  </si>
  <si>
    <t>Jackson, Miriam/0000-0003-3719-6716; Hamilton, Trinity/0000-0002-2282-4655; Tranter, Martyn/0000-0003-2071-3094; Martin, Peter/0000-0003-3395-8656; Jones, Eleanor/0000-0002-5556-7915; Telling, Jon/0000-0002-8180-0979</t>
  </si>
  <si>
    <t>E.U. INTERACT Transnational Access grant; NASA Exobiology and Evolutionary Biology programme [NNX10AT31G]; NASA Astrobiology Institute [NNA15BB02A]; NASA [123884, NNX10AT31G] Funding Source: Federal RePORTER; Engineering and Physical Sciences Research Council [EP/K035746/1] Funding Source: researchfish; Natural Environment Research Council [NE/H023879/1, NE/E004016/1, bas0100030] Funding Source: researchfish; EPSRC [EP/K035746/1] Funding Source: UKRI; NERC [NE/H023879/1, NE/E004016/1, bas0100030] Funding Source: UKRI</t>
  </si>
  <si>
    <t>E.U. INTERACT Transnational Access grant; NASA Exobiology and Evolutionary Biology programme; NASA Astrobiology Institute; NASA(National Aeronautics &amp; Space Administration (NASA));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</si>
  <si>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The authors acknowledge financial support from an E.U. INTERACT Transnational Access grant (to J.T), NASA Exobiology and Evolutionary Biology programme (NNX10AT31G to M.L.S. and E.S.B) and the NASA Astrobiology Institute (NNA15BB02A to E.S.B.).</t>
  </si>
  <si>
    <t>NEW YORK</t>
  </si>
  <si>
    <t>75 VARICK ST, 9TH FLR, NEW YORK, NY 10013-1917 USA</t>
  </si>
  <si>
    <t>1752-0894</t>
  </si>
  <si>
    <t>1752-0908</t>
  </si>
  <si>
    <t>NAT GEOSCI</t>
  </si>
  <si>
    <t>Nat. Geosci.</t>
  </si>
  <si>
    <t>+</t>
  </si>
  <si>
    <t>10.1038/NGEO2533</t>
  </si>
  <si>
    <t>CZ6GU</t>
  </si>
  <si>
    <t>Green Submitted</t>
  </si>
  <si>
    <t>WOS:000367200000017</t>
  </si>
  <si>
    <t>Watson, AJ; Vallis, GK; Nikurashin, M</t>
  </si>
  <si>
    <t>Watson, Andrew J.; Vallis, Geoffrey K.; Nikurashin, Maxim</t>
  </si>
  <si>
    <t>Southern Ocean buoyancy forcing of ocean ventilation and glacial atmospheric CO2</t>
  </si>
  <si>
    <t>MERIDIONAL OVERTURNING CIRCULATION; ANTARCTIC SEA-ICE; CARBONIC-ACID; STRATIFICATION; DISSOCIATION; WESTERLIES; CONSTANTS; SEAWATER; CLOSURE; CYCLE</t>
  </si>
  <si>
    <t>Atmospheric CO2 concentrations over glacial-interglacial cycles closely correspond to Antarctic temperature patterns(1). These are distinct from temperature variations in the mid to northern latitudes(2), so this suggests that the Southern Ocean is pivotal in controlling natural CO2 concentrations(3). Here we assess the sensitivity of atmospheric CO2 concentrations to glacial-interglacial changes in the ocean's meridional overturning circulation using a circulation model(4,5) for upwelling and eddy transport in the Southern Ocean coupled with a simple biogeochemical description. Under glacial conditions, a broader region of surface buoyancy loss results in upwelling farther to the north, relative to interglacials. The northern location of upwelling results in reduced CO2 outgassing and stronger carbon sequestration in the deep ocean: we calculate that the shift to this glacial-style circulation can draw down 30 to 60 ppm of atmospheric CO2. We therefore suggest that the direct effect of temperatures on Southern Ocean buoyancy forcing, and hence the residual overturning circulation, explains much of the strong correlation between Antarctic temperature variations and atmospheric CO2 concentrations over glacial-interglacial cycles.</t>
  </si>
  <si>
    <t>[Watson, Andrew J.] Univ Exeter, Coll Life &amp; Environm Sci, Exeter EX4 4QE, Devon, England; [Vallis, Geoffrey K.] Univ Exeter, Coll Engn Math &amp; Phys, Exeter EX4 4QF, Devon, England; [Nikurashin, Maxim] Univ Tasmania, Inst Marine &amp; Antarctic Studies, Hobart, Tas 7001, Australia; [Nikurashin, Maxim] ARC Ctr Excellence Climate Syst Sci, Sydney, NSW 2052, Australia</t>
  </si>
  <si>
    <t>University of Exeter; University of Exeter; University of Tasmania; ARC Centre of Excellence for Climate System Science</t>
  </si>
  <si>
    <t>Watson, AJ (corresponding author), Univ Exeter, Coll Life &amp; Environm Sci, Laver Bldg,North Pk Rd, Exeter EX4 4QE, Devon, England.</t>
  </si>
  <si>
    <t>andrew.watson@exeter.ac.uk</t>
  </si>
  <si>
    <t>Nikurashin, Maxim/P-4018-2019</t>
  </si>
  <si>
    <t>Nikurashin, Maxim/0000-0002-5714-8343; Watson, Andrew/0000-0002-9654-8147</t>
  </si>
  <si>
    <t>Royal Society; Royal Society (Wolfson Foundation); Marie Curie fellowship; NSF; Natural Environment Research Council [NE/E005985/2, NE/K002473/1] Funding Source: researchfish; NERC [NE/E005985/2, NE/K002473/1] Funding Source: UKRI; Directorate For Geosciences; Division Of Ocean Sciences [1259794] Funding Source: National Science Foundation</t>
  </si>
  <si>
    <t>Royal Society(Royal Society); Royal Society (Wolfson Foundation)(Royal Society); Marie Curie fellowship(European Union (EU)); NSF(National Science Foundation (NSF));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t>
  </si>
  <si>
    <t>We thank J. R. Toggweiler and K. Speer for their constructive reviews. A.J.W. thanks the Royal Society for support under its Research Professorship scheme. G.K.V. acknowledges support from the Royal Society (Wolfson Foundation), a Marie Curie fellowship, and the NSF.</t>
  </si>
  <si>
    <t>10.1038/NGEO2538</t>
  </si>
  <si>
    <t>WOS:000367200000020</t>
  </si>
  <si>
    <t>Cavicchioli, R</t>
  </si>
  <si>
    <t>Cavicchioli, Ricardo</t>
  </si>
  <si>
    <t>Microbial ecology of Antarctic aquatic systems</t>
  </si>
  <si>
    <t>NATURE REVIEWS MICROBIOLOGY</t>
  </si>
  <si>
    <t>Review</t>
  </si>
  <si>
    <t>SUBGLACIAL LAKE VOSTOK; SOUTHERN-OCEAN; VESTFOLD HILLS; SEA-ICE; SUMMER BACTERIOPLANKTON; METAGENOMIC ANALYSIS; MEROMICTIC LAKES; ANNUAL CYCLE; RNA VIRUSES; POLAR NIGHT</t>
  </si>
  <si>
    <t>The Earth's biosphere is dominated by cold environments, and the cold biosphere is dominated by microorganisms. Microorganisms in cold Southern Ocean waters are recognized for having crucial roles in global biogeochernical cycles, including carbon sequestration, whereas microorganisms in other Antarctic aquatic biomes are not as well understood. In this Review, I consider what has been learned about Antarctic aquatic microbial ecology from 'omic' studies. I assess the factors that shape the biogeography of Antarctic microorganisms, reflect on some of the unusual biogeochemicat cycles that they are associated with and discuss the important roles that viruses have in controlling ecosystem function.</t>
  </si>
  <si>
    <t>Univ New S Wales, Sch Biotechnol &amp; Biomol Sci, Sydney, NSW 2052, Australia</t>
  </si>
  <si>
    <t>University of New South Wales Sydney</t>
  </si>
  <si>
    <t>Cavicchioli, R (corresponding author), Univ New S Wales, Sch Biotechnol &amp; Biomol Sci, Sydney, NSW 2052, Australia.</t>
  </si>
  <si>
    <t>r.cavicchioli@unsw.edu.au</t>
  </si>
  <si>
    <t>Cavicchioli, Ricardo/D-4341-2013</t>
  </si>
  <si>
    <t>Cavicchioli, Ricardo/0000-0001-8989-6402</t>
  </si>
  <si>
    <t>Australian Research Council; Australian Antarctic Science Program; Gordon and Betty Moore Foundation for DNA sequencing at the J. Craig Venter Institute; US Department of Energy for DNA sequencing at the Joint Genome Institute</t>
  </si>
  <si>
    <t>Australian Research Council(Australian Research Council); Australian Antarctic Science Program; Gordon and Betty Moore Foundation for DNA sequencing at the J. Craig Venter Institute; US Department of Energy for DNA sequencing at the Joint Genome Institute(United States Department of Energy (DOE))</t>
  </si>
  <si>
    <t>The author is indebted to J. Berengut and D. Smith who crafted figures, A. Hull, M. Milne, H. Dugan and J. Mikucki for providing images of Antarctic lakes, the Landsat Image Mosaic of Antarctica (LIMA) project for making satellite images available, D. Velazquez for discussions about Antarctic viruses, and T. Kolesnikow and T. J. Williams for insightful comments on manuscript drafts. The author's Antarctic research has been supported by the Australian Research Council, the Australian Antarctic Science Program, the Gordon and Betty Moore Foundation for DNA sequencing at the J. Craig Venter Institute and the US Department of Energy for DNA sequencing at the Joint Genome Institute.</t>
  </si>
  <si>
    <t>1740-1526</t>
  </si>
  <si>
    <t>1740-1534</t>
  </si>
  <si>
    <t>NAT REV MICROBIOL</t>
  </si>
  <si>
    <t>Nat. Rev. Microbiol.</t>
  </si>
  <si>
    <t>10.1038/nrmicro3549</t>
  </si>
  <si>
    <t>CV9QE</t>
  </si>
  <si>
    <t>WOS:000364620900007</t>
  </si>
  <si>
    <t>Munday, DR; Zhai, X</t>
  </si>
  <si>
    <t>Munday, D. R.; Zhai, X.</t>
  </si>
  <si>
    <t>Sensitivity of Southern Ocean circulation to wind stress changes: Role of relative wind stress</t>
  </si>
  <si>
    <t>OCEAN MODELLING</t>
  </si>
  <si>
    <t>Ocean modelling; Relative wind stress; Wind Forcing; Eddy saturation; Eddy compensation</t>
  </si>
  <si>
    <t>CO2 SINK; TRANSPORT; EDDIES; ENERGY; MODEL; SATURATION; DEPENDENCE; INPUT; FLUX</t>
  </si>
  <si>
    <t>The influence of different wind stress bulk formulae On the response of the Southern Ocean circulation to wind stress changes is investigated using an idealised channel model. Surface/mixed layer properties are found to be sensitive to the use of the relative wind stress formulation, where the wind stress depends on the difference between the ocean and atmosphere velocities. Previous work has highlighted the surface eddy damping effect of this formulation, which we find leads to increased circumpolar transport. Nevertheless the transport due to thermal wind shear does lose sensitivity to wind stress changes at sufficiently high wind stress. In contrast, the sensitivity of the meridional overturning circulation is broadly the same regardless of the bulk formula used due to the adiabatic nature of the relative wind stress damping. This is a consequence of the steepening of isopycnals offsetting the reduction in eddy diffusivity in theft contribution to the eddy bolus overturning, as predicted using a residual mean framework. (C) 2015 Elsevier Ltd. All rights reserved.</t>
  </si>
  <si>
    <t>[Munday, D. R.] British Antarctic Survey, Cambridge CB3 0ET, England; [Munday, D. R.] Univ Oxford, Dept Phys, Atmospher Ocean &amp; Planetary Phys, Oxford OX1 3PU, England; [Zhai, X.] Univ E Anglia, Sch Environm Sci, Ctr Ocean &amp; Atmospher Sci, Norwich NR4 7TJ, Norfolk, England; [Zhai, X.] Nanjing Univ Informat Sci &amp; Technol, Sch Marine Sci, Nanjing, Jiangsu, Peoples R China</t>
  </si>
  <si>
    <t>UK Research &amp; Innovation (UKRI); Natural Environment Research Council (NERC); NERC British Antarctic Survey; University of Oxford; University of East Anglia; Nanjing University of Information Science &amp; Technology</t>
  </si>
  <si>
    <t>Munday, DR (corresponding author), British Antarctic Survey, Madingley Rd, Cambridge CB3 0ET, England.</t>
  </si>
  <si>
    <t>danday@bas.ac.ulc; xiaoming.zhai@uea.ac.uk</t>
  </si>
  <si>
    <t>Munday, David/Y-7052-2019; Munday, David R/R-1986-2016</t>
  </si>
  <si>
    <t>Munday, David R/0000-0003-1920-708X</t>
  </si>
  <si>
    <t>British Antarctic Survey Polar Science for Planet Earth Programme; UK Natural Environment Research Council; NERC [bas0100033] Funding Source: UKRI; Natural Environment Research Council [bas0100033] Funding Source: researchfish</t>
  </si>
  <si>
    <t>British Antarctic Survey Polar Science for Planet Earth Programme;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</si>
  <si>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DRM was supported by the British Antarctic Survey Polar Science for Planet Earth Programme. Much of this work took place whilst DRM was a PDRA in the Department of Physics at the University of Oxford and was supported by the UK Natural Environment Research Council. This work used the ARCHER UK National Supercomputing Service (http://www.archerac.uk). Model output is available from DRM upon request. The authors gratefully acknowledge the contributions of two anonymous reviewers whose comments improved the presentation and content of the paper.</t>
  </si>
  <si>
    <t>1463-5003</t>
  </si>
  <si>
    <t>1463-5011</t>
  </si>
  <si>
    <t>OCEAN MODEL</t>
  </si>
  <si>
    <t>Ocean Model.</t>
  </si>
  <si>
    <t>10.1016/j.ocemod.2015.08.004</t>
  </si>
  <si>
    <t>Meteorology &amp; Atmospheric Sciences; Oceanography</t>
  </si>
  <si>
    <t>CU9HR</t>
  </si>
  <si>
    <t>WOS:000363856000002</t>
  </si>
  <si>
    <t>Russell, DJF; McClintock, BT; Matthiopoulos, J; Thompson, PM; Thompson, D; Hammond, PS; Jones, EL; MacKenzie, ML; Moss, S; McConnell, BJ</t>
  </si>
  <si>
    <t>Russell, Deborah J. F.; McClintock, Brett T.; Matthiopoulos, Jason; Thompson, Paul M.; Thompson, Dave; Hammond, Phil S.; Jones, Esther L.; MacKenzie, Monique L.; Moss, Simon; McConnell, Bernie J.</t>
  </si>
  <si>
    <t>Intrinsic and extrinsic drivers of activity budgets in sympatric grey and harbour seals</t>
  </si>
  <si>
    <t>OIKOS</t>
  </si>
  <si>
    <t>AMMODYTES-MARINUS RAITT; ANTARCTIC FUR SEALS; HALICHOERUS-GRYPUS; SATELLITE TELEMETRY; PHOCA-VITULINA; NORTH-SEA; HAUL-OUT; FORAGING BEHAVIOR; ACTIVITY PATTERNS; AERIAL COUNTS</t>
  </si>
  <si>
    <t>Investigation of activity budgets in relation to seasonal, intrinsic (age, sex) and extrinsic (time of day, spatial) covariates enables an understanding of how such covariates shape behavioural strategies. However, conducting such investigations in the wild is challenging, because of the required large sample size of individuals across the annual cycle, and difficulties in categorising behavioural states and analysing the resulting individual-referenced and serially correlated data. In this study, from telemetry tags deployed on 63 grey seals Halichoerus grypus and 126 harbour seals Phoca vitulina we used behavioural data, and movement data within a Bayesian state-space model (SSM), to define population-level activity budgets around Britain. Using generalised estimating equations (GEEs) we then examined how time spent in four states (resting on land (hauled out), resting at sea, foraging and travelling) was influenced by seasonal, intrinsic and extrinsic covariates. We present and discuss the following key findings. 1) We found no evidence that regional variation in foraging effort was linked to regional population trajectories in harbour seals. 2) Grey seals demonstrated sex-specific seasonal differences in their activity budgets, independent from those related to reproductive costs. 3) In these sympatric species there was evidence of temporal separation in time hauled out, but not in time foraging. 4) In both species, time spent resting at sea was separated into inshore (associated with tidal haul out availability) and offshore areas. Time spent resting at sea and on land was interchangeable to some extent, suggesting a degree of overlap in their functionality. This may result in a relaxation of the constraints associated with a central place foraging strategy. More generally, we demonstrate how a large dataset, incorporating differing tag parameters, can be analysed to define activity budgets and subsequently address important ecological questions.</t>
  </si>
  <si>
    <t>[Russell, Deborah J. F.; Thompson, Dave; Hammond, Phil S.; Jones, Esther L.; Moss, Simon; McConnell, Bernie J.] Univ St Andrews, Sea Mammal Res Unit, St Andrews KY16 8LB, Fife, Scotland; [Russell, Deborah J. F.; MacKenzie, Monique L.] Univ St Andrews, Ctr Res Ecol &amp; Environm Modelling, St Andrews KY16 8LB, Fife, Scotland; [McClintock, Brett T.] NOAA, Natl Marine Fisheries Serv, Alaska Fisheries Sci Ctr, Natl Marine Mammal Lab, Seattle, WA 98115 USA; [Matthiopoulos, Jason] Univ Glasgow, Inst Biodivers Anim Hlth &amp; Comparat Med, Glasgow G12 8QQ, Lanark, Scotland; [Thompson, Paul M.] Univ Aberdeen, Inst Biol &amp; Environm Sci, Lighthouse Field Stn, Cromarty IV118YJ, Scotland</t>
  </si>
  <si>
    <t>University of St Andrews; University of St Andrews; National Oceanic Atmospheric Admin (NOAA) - USA; University of Glasgow; University of Aberdeen</t>
  </si>
  <si>
    <t>Russell, DJF (corresponding author), Univ St Andrews, Sea Mammal Res Unit, St Andrews KY16 8LB, Fife, Scotland.</t>
  </si>
  <si>
    <t>dr60@st-and.ac.uk</t>
  </si>
  <si>
    <t>Thompson, Paul/B-6742-2009; Russell, Debbie J.F./AAA-6487-2021; Jones, Emily Lena/AAM-1818-2021; Matthiopoulos, Jason/N-9808-2013; McConnell, Bernie/G-6553-2019</t>
  </si>
  <si>
    <t>Russell, Debbie J.F./0000-0002-1969-102X; Jones, Emily Lena/0000-0002-9927-7469; Matthiopoulos, Jason/0000-0003-3639-8172; Hammond, Philip/0000-0002-2381-8302; Thompson, David/0000-0003-1546-2876; McConnell, Bernie/0000-0001-7575-5270; Jones, Esther/0000-0002-4409-5860</t>
  </si>
  <si>
    <t>UK Department of Energy and Climate Change (DECC), Offshore Energy Strategic Environmental Assessment programme; Scottish Government, Marine Mammal Scientific Support Research Programme [MMSS/001/11]; DECC; Natural Environment Research Council; Scottish Government; Marine Scotland Science; European Commission; Natural Environment Research Council [smru10001] Funding Source: researchfish</t>
  </si>
  <si>
    <t>UK Department of Energy and Climate Change (DECC), Offshore Energy Strategic Environmental Assessment programme; Scottish Government, Marine Mammal Scientific Support Research Programme; DECC; Natural Environment Research Council(UK Research &amp; Innovation (UKRI)Natural Environment Research Council (NERC)); Scottish Government; Marine Scotland Science; European Commission(European Union (EU)European Commission Joint Research Centre); Natural Environment Research Council(UK Research &amp; Innovation (UKRI)Natural Environment Research Council (NERC))</t>
  </si>
  <si>
    <t>D. J. F. Russell was funded by the UK Department of Energy and Climate Change (DECC) as part of their Offshore Energy Strategic Environmental Assessment programme and by Scottish Government as part of their Marine Mammal Scientific Support Research Programme (MMSS/001/11). We thank various people at the Univ. of St Andrews for fieldwork and helpful discussions including M. Bivins, A. Hall, M. Lonergan, P. Lovell and W. Patterson. The telemetry tags and their deployment were funded by DECC, the Natural Environment Research Council, Scottish Government, Marine Scotland Science and The European Commission. The findings and conclusions in the paper are those of the author(s) and do not necessarily represent the views of the National Marine Fisheries Service, NOAA. Any use of trade, product or firm names does not imply an endorsement by the US Government.</t>
  </si>
  <si>
    <t>0030-1299</t>
  </si>
  <si>
    <t>1600-0706</t>
  </si>
  <si>
    <t>Oikos</t>
  </si>
  <si>
    <t>10.1111/oik.01810</t>
  </si>
  <si>
    <t>Ecology</t>
  </si>
  <si>
    <t>Environmental Sciences &amp; Ecology</t>
  </si>
  <si>
    <t>CU9LV</t>
  </si>
  <si>
    <t>WOS:000363866900006</t>
  </si>
  <si>
    <t>Bova, SC; Herbert, T; Rosenthal, Y; Kalansky, J; Altabet, M; Chazen, C; Mojarro, A; Zech, J</t>
  </si>
  <si>
    <t>Bova, Samantha C.; Herbert, Timothy; Rosenthal, Yair; Kalansky, Julie; Altabet, Mark; Chazen, Caitlin; Mojarro, Angel; Zech, Jana</t>
  </si>
  <si>
    <t>Links between eastern equatorial Pacific stratification and atmospheric CO2 rise during the last deglaciation</t>
  </si>
  <si>
    <t>PALEOCEANOGRAPHY</t>
  </si>
  <si>
    <t>SEA-SURFACE TEMPERATURE; OXYGEN-ISOTOPE RECORDS; SOUTHERN-OCEAN; TROPICAL PACIFIC; ANTARCTIC MODE; GLACIAL MAXIMUM; NORTH-ATLANTIC; CLIMATE-CHANGE; CIRCULATION; WATER</t>
  </si>
  <si>
    <t>It is difficult to untangle the mixed influences of high-and low-latitude climate forcing in the eastern equatorial Pacific (EEP). Here we test the hypothesis that the Southern Ocean drove change in the EEP via subsurface intermediate waters during the last deglaciation. We use the delta O-18 signature of benthic foraminifera to reconstruct water density changes during the last 25 kyr at three intermediate water depths (370 m, 600 m, and 1000 m) in the EEP. Carbonate delta O-18 records a combined signature of temperature and salinity and is therefore more closely related to density than temperature or salinity alone. We find that benthic foraminiferal delta O-18 values decreased first in the subsurface, simultaneously with rising temperatures over Antarctica, and propagated up to the surface within similar to 3 kyr. The early subsurface response initiated a rapid decrease in density stratification over the upper water column as indicated by reduced delta O-18 gradients between surface and intermediate depths. Stratification of the upper water column remained low through the termination, with stratification minima reached during Heinrich Stadial 1 and the Younger Dryas (YD), synchronous with the two-part deglacial rise in atmospheric CO2. Centennial-scale shifts toward heavier delta O-18 signatures at 370 and 600m during the YD indicate short-lived shifts in the Subantarctic Mode Water/Antarctic Intermediate Water boundary to shallower intermediate depths. We suggest that decreased density gradients during the deglaciation accelerated vertical mixing across the EEP, and potentially the entire South Pacific subtropical gyre, which enhanced CO2 delivery from depth to the surface ocean and atmosphere.</t>
  </si>
  <si>
    <t>[Bova, Samantha C.; Herbert, Timothy; Chazen, Caitlin; Mojarro, Angel; Zech, Jana] Brown Univ, Dept Earth Environm &amp; Planetary Sci, Providence, RI 02912 USA; [Rosenthal, Yair; Kalansky, Julie] Rutgers State Univ, Dept Marine Sci &amp; Earth &amp; Planetary Sci, New Brunswick, NJ 08903 USA; [Kalansky, Julie] Univ Calif San Diego, Scripps Inst Oceanog, La Jolla, CA 92093 USA; [Altabet, Mark] Univ Massachusetts, Sch Marine Sci &amp; Technol, New Bedford, MA USA</t>
  </si>
  <si>
    <t>Brown University; Rutgers University System; Rutgers University New Brunswick; University of California System; University of California San Diego; Scripps Institution of Oceanography; University of Massachusetts System</t>
  </si>
  <si>
    <t>Bova, SC (corresponding author), Brown Univ, Dept Earth Environm &amp; Planetary Sci, Providence, RI 02912 USA.</t>
  </si>
  <si>
    <t>samantha_bova@brown.edu</t>
  </si>
  <si>
    <t>Mojarro, Angel/0000-0003-4547-4747; Bova, Samantha/0000-0002-5064-8775</t>
  </si>
  <si>
    <t>NSF OCE grant [1003387]; Directorate For Geosciences; Division Of Ocean Sciences [1003387] Funding Source: National Science Foundation</t>
  </si>
  <si>
    <t>NSF OCE grant(National Science Foundation (NSF)); Directorate For Geosciences; Division Of Ocean Sciences(National Science Foundation (NSF)NSF - Directorate for Geosciences (GEO))</t>
  </si>
  <si>
    <t>We thank three anonymous reviewers for helpful comments that greatly improved this manuscript. Support for this work was provided by funds from NSF OCE grant 1003387. Data are archived at the NOAA National Climatic Data Center (http://www.ncdc.noaa.gov/data-access/paleoclimatology-data/datasets).</t>
  </si>
  <si>
    <t>0883-8305</t>
  </si>
  <si>
    <t>1944-9186</t>
  </si>
  <si>
    <t>Paleoceanography</t>
  </si>
  <si>
    <t>10.1002/2015PA002816</t>
  </si>
  <si>
    <t>Geosciences, Multidisciplinary; Oceanography; Paleontology</t>
  </si>
  <si>
    <t>Geology; Oceanography; Paleontology</t>
  </si>
  <si>
    <t>DC0LO</t>
  </si>
  <si>
    <t>WOS:000368908900001</t>
  </si>
  <si>
    <t>Lear, CH; Coxall, HK; Foster, GL; Lunt, DJ; Mawbey, EM; Rosenthal, Y; Sosdian, SM; Thomas, E; Wilson, PA</t>
  </si>
  <si>
    <t>Lear, Caroline H.; Coxall, Helen K.; Foster, Gavin L.; Lunt, Daniel J.; Mawbey, Elaine M.; Rosenthal, Yair; Sosdian, Sindia M.; Thomas, Ellen; Wilson, Paul A.</t>
  </si>
  <si>
    <t>Neogene ice volume and ocean temperatures: Insights from infaunal foraminiferal Mg/Ca paleothermometry</t>
  </si>
  <si>
    <t>ATMOSPHERIC CARBON-DIOXIDE; BOTTOM WATER TEMPERATURE; BENTHIC FORAMINIFERA; DEEP-SEA; STABLE-ISOTOPE; SOUTHERN-OCEAN; NORTH-ATLANTIC; ORIDORSALIS-UMBONATUS; CALCITE COMPENSATION; MANGANESE CARBONATE</t>
  </si>
  <si>
    <t>Antarctic continental-scale glaciation is generally assumed to have initiated at the Eocene-Oligocene Transition, yet its subsequent evolution is poorly constrained. We reconstruct changes in bottom water temperature and global ice volume from 0 to 17 Ma using delta O-18 in conjunction with Mg/Ca records of the infaunal benthic foraminifer, O. umbonatus from Ocean Drilling Program (ODP) Site 806 (equatorial Pacific; similar to 2500m). Considering uncertainties in core top calibrations and sensitivity to seawater Mg/Ca (Mg/Ca)(sw), we produce a range of Mg/Ca-temperature-Mg/Ca-sw calibrations. Our favored exponential temperature calibration is Mg/Ca = 0.66 +/- 0.08 x Mg/Ca-sw(0.27 +/- 0.06) x e((0.114 +/- 0.02 x BWT)) and our favored linear temperature calibration is Mg/Ca = (1.21 +/- 0.04 + 0.12 +/- 0.004 x BWT (bottom water temperature)) x (Mg/Ca-sw -0.003 +/- 0.02) (stated errors are 2 s.e.). The equations are obtained by comparing O. umbonatus Mg/Ca for a Paleocene-Eocene section from Ocean Drilling Program (ODP) Site 690 (Weddell Sea) to delta O-18 temperatures, calculated assuming ice-free conditions during this peak warmth period of the Cenozoic. This procedure suggests negligible effect of Mg/Ca-sw on the Mg distribution coefficient (D-Mg). Application of the new equations to the Site 806 record leads to the suggestion that global ice volume was greater than today after the Middle Miocene Climate Transition (similar to 14Ma). ODP Site 806 bottom waters cooled and freshened as the Pacific zonal sea surface temperature gradient increased, and climate cooled through the Pliocene, prior to the Plio-Pleistocene glaciation of the Northern Hemisphere. The records indicate a decoupling of deep water temperatures and global ice volume, demonstrating the importance of thresholds in the evolution of the Antarctic ice sheet.</t>
  </si>
  <si>
    <t>[Lear, Caroline H.; Mawbey, Elaine M.; Sosdian, Sindia M.] Cardiff Univ, Sch Earth &amp; Ocean Sci, Cardiff CF10 3AX, S Glam, Wales; [Coxall, Helen K.] Stockholm Univ, Dept Geol Sci, S-10691 Stockholm, Sweden; [Foster, Gavin L.; Wilson, Paul A.] Univ Southampton, Natl Oceanog Ctr Southampton, Southampton, Hants, England; [Lunt, Daniel J.] Univ Bristol, Sch Geog Sci, Bristol, Avon, England; [Rosenthal, Yair] Rutgers State Univ, Inst Marine &amp; Coastal Sci, New Brunswick, NJ 08903 USA; [Rosenthal, Yair] Rutgers State Univ, Dept Geol Sci, New Brunswick, NJ 08903 USA; [Thomas, Ellen] Yale Univ, Dept Geol &amp; Geophys, New Haven, CT USA</t>
  </si>
  <si>
    <t>Cardiff University; Stockholm University; NERC National Oceanography Centre; University of Southampton; University of Bristol; Rutgers University System; Rutgers University New Brunswick; Rutgers University System; Rutgers University New Brunswick; Yale University</t>
  </si>
  <si>
    <t>Lear, CH (corresponding author), Cardiff Univ, Sch Earth &amp; Ocean Sci, Cardiff CF10 3AX, S Glam, Wales.</t>
  </si>
  <si>
    <t>learc@cardiff.ac.uk</t>
  </si>
  <si>
    <t>Thomas, Ellen/JVO-1734-2024; Foster, Gavin/CAF-4654-2022; Foster, Gavin/W-5968-2019; Lear, Caroline H/D-2582-2009; Lunt, Daniel/G-9451-2011</t>
  </si>
  <si>
    <t>Thomas, Ellen/0000-0002-7141-9904; Foster, Gavin/0000-0003-3688-9668; Coxall, Helen/0000-0002-2843-2898; Wilson, Paul/0000-0001-6425-8906; Lunt, Daniel/0000-0003-3585-6928</t>
  </si>
  <si>
    <t>NERC [NE/D000041/1, NE/I006427/1, NE/I006176/1, NE/F016603/1]; Natural Environment Research Council [NE/I006176/1, NE/D000041/1, NE/I006427/1] Funding Source: researchfish; NERC [NE/I006427/1, NE/I006176/1]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</si>
  <si>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</si>
  <si>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Data from ODP Sites 806 and 690 can be found in Tables S1 and S2 of the supporting information. We thank Huw Boulton, Alexandra Nederbragt, and Anabel Morte-Rodenas for laboratory assistance. We thank Jim Zachos and an anonymous reviewer for their insightful comments, and Heiko Palike for efficient editorial handling. This research used samples provided by the Integrated Ocean Drilling Program (IODP) and was supported by NERC grants NE/D000041/1 and NE/I006427/1 (C.H.L.), NE/I006176/1 (G.L.F. and C.H.L.), and NERC studentship NE/F016603/1 (E.M.M.).</t>
  </si>
  <si>
    <t>10.1002/2015PA002833</t>
  </si>
  <si>
    <t>hybrid, Green Accepted, Green Published</t>
  </si>
  <si>
    <t>WOS:000368908900003</t>
  </si>
  <si>
    <t>Ferry, AJ; Crosta, X; Quilty, PG; Fink, D; Howard, W; Armand, LK</t>
  </si>
  <si>
    <t>Ferry, Alexander J.; Crosta, Xavier; Quilty, Patrick G.; Fink, David; Howard, William; Armand, Leanne K.</t>
  </si>
  <si>
    <t>First records of winter sea ice concentration in the southwest Pacific sector of the Southern Ocean</t>
  </si>
  <si>
    <t>HOLOCENE CLIMATE VARIABILITY; LAST GLACIAL MAXIMUM; SURFACE-TEMPERATURE; INDIAN SECTOR; DIATOMS; MARINE; CORE; RECONSTRUCTION; CALIBRATION; WESTERLIES</t>
  </si>
  <si>
    <t>We use a Generalized Additive Model (GAM) to provide the first winter sea ice concentration record from two cores located within the southwest Pacific sector of the Southern Ocean. To compliment the application of GAM, a time series analysis on satellite records of sea ice concentration data was used to extend the standard 13.25 year time series used for paleoceanography. After comparing GAM sea ice estimates with previously published paleo sea ice data we then focus on a new paleo winter sea ice record for marine sediment core E27-23 (59 degrees 37.1'S, 155 degrees 14.3'E), allowing us to provide a more comprehensive view of winter sea ice dynamics for the southwest Pacific Ocean. The paleo winter sea ice concentration estimates provide the first suggestion that winter sea ice within the southwestern Pacific might have expanded during the Antarctic Cold Reversal. Throughout the Holocene, core E27-23 documents millennial scale variability in paleo winter sea ice coverage within the southwest Pacific. Holocene winter sea ice expansion may have resulted from the Laurentide Ice Sheet deglaciation, increased intensity of the westerly winds, as well as a northern migration of the Subtropical and/or Sub-Antarctic Fronts. Brief consideration is given to the development of a paleo summer sea ice proxy. We conclude that there is no evidence that summer sea ice ever existed at core sites SO136-111 and E27-23 over the last 220 and 52,000 years, respectively.</t>
  </si>
  <si>
    <t>[Ferry, Alexander J.; Armand, Leanne K.] Macquarie Univ, Climate Futures, Dept Biol Sci, Sydney, NSW 2109, Australia; [Crosta, Xavier] Univ Bordeaux, UMR CNRS EPOC 5805, Pessac, France; [Quilty, Patrick G.] Univ Tasmania, Sch Earth Sci, Hobart, Tas, Australia; [Fink, David] Australian Nucl Sci &amp; Technol Org, Inst Environm Res, Menai, NSW 2234, Australia; [Howard, William] Univ Melbourne, Sch Earth Sci, Melbourne, Vic, Australia</t>
  </si>
  <si>
    <t>Macquarie University; Universite de Bordeaux; Centre National de la Recherche Scientifique (CNRS); CNRS - National Institute for Earth Sciences &amp; Astronomy (INSU); University of Tasmania; Australian Nuclear Science &amp; Technology Organisation; University of Melbourne; Melbourne Bioinformatics</t>
  </si>
  <si>
    <t>Armand, LK (corresponding author), Macquarie Univ, Climate Futures, Dept Biol Sci, Sydney, NSW 2109, Australia.</t>
  </si>
  <si>
    <t>leanne.armand@mq.edu.au</t>
  </si>
  <si>
    <t>Armand, Leanne K/C-9004-2009; fink, David/A-9518-2012</t>
  </si>
  <si>
    <t>fink, David/0000-0001-7156-4602; Armand, Leanne/0000-0003-3995-308X</t>
  </si>
  <si>
    <t>Australian Government; ASAC [2534]; AINSE [2572]; University of Tasmania's School of Earth Sciences; Australian Government's Cooperative Research Centers Program through the Antarctic Climate and Ecosystems Cooperative Research Centre (ACE CRC)</t>
  </si>
  <si>
    <t>Australian Government(Australian Government); ASAC; AINSE; University of Tasmania's School of Earth Sciences; Australian Government's Cooperative Research Centers Program through the Antarctic Climate and Ecosystems Cooperative Research Centre (ACE CRC)(Australian GovernmentDepartment of Industry, Innovation and ScienceCooperative Research Centres (CRC) Programme)</t>
  </si>
  <si>
    <t>All of the data provided within Appendices A through to F are available via the Australian Antarctic Division metadata records (10.4225/15/546C10AD26A7D). This research was funded by the Australian Government through the provision of an Australian Postgraduate Award granted to Alexander Ferry. We are also grateful for the input and assistance from R. Hyndman in the application of ARIMA using the R package forecast. The work on core E27-23 was originally undertaken through the Antarctic Cooperative Research Centre's Palaeoenvironments Program and was completed via support from ASAC grant 2534 to PQ and LA, AINSE Grant 2572 to PQ and WH, and additional support from the University of Tasmania's School of Earth Sciences and the Australian Government's Cooperative Research Centers Program through the Antarctic Climate and Ecosystems Cooperative Research Centre (ACE CRC). Technical support from L. Robertson and D. Roberts at the University of Tasmania is acknowledged. Lloyd Burckle (LDEO) originally provided radiocarbon dates for three intervals in the core through the laboratory of J. Lynch-Stieglitz (LDEO). T. Janecek, M. Curran, and S. Nielsen (former curators of the Florida State University Antarctic Core Repository) assisted us with sampling requests for E27-23. We thank M. Gagan, H. Scott-Gagan, and J. Cali for the use of the mass spectrometer at ANU. We are thankful for the assistance of S. Rintoul and S. Sokolov of CSIRO Marine and Atmospheric Research with oceanography, R. Massom of ACE CRC with sea ice cover, and R. Anderson of Lamont Doherty Earth Observatory for palaeoceanographic discussions.</t>
  </si>
  <si>
    <t>10.1002/2014PA002764</t>
  </si>
  <si>
    <t>Green Accepted, Green Published, Bronze</t>
  </si>
  <si>
    <t>WOS:000368908900008</t>
  </si>
  <si>
    <t>Solovova, IP; Kogarko, LN; Averin, AA</t>
  </si>
  <si>
    <t>Solovova, I. P.; Kogarko, L. N.; Averin, A. A.</t>
  </si>
  <si>
    <t>Conditions of Sulfide Formation in the Metasomatized Mantle beneath East Antarctica</t>
  </si>
  <si>
    <t>PETROLOGY</t>
  </si>
  <si>
    <t>MONOSULFIDE SOLID-SOLUTION; CO2-RICH FLUID INCLUSIONS; PLATINUM-GROUP ELEMENTS; PERIDOTITE XENOLITHS; ISOTOPIC COMPOSITION; LITHOSPHERIC MANTLE; FRACTIONAL CRYSTALLIZATION; PARTITION-COEFFICIENTS; MAGMATIC SULFIDE; MELT INCLUSIONS</t>
  </si>
  <si>
    <t>Garnet-spinel lherzolites from Antarctica and peridotites from Mongolia were fluid saturated, which is indicated by the presence of fluid inclusions in their minerals. Flows of reactive fluids caused extensive metasomatic alteration of mantle materials. The cryometric and Raman spectroscopic investigation of the Antarctic xenoliths showed that their fluid was a complex mixture of CO2, N-2, H2S, and H2O with a density of up to 1.23 g/cm(3). The entrapment of fluids was accompanied by the formation of clusters of numerous sulfide inclusions. The compositions of these inclusions correspond to a Ni-rich sulfide melt and a monosul-fide solid solution. The partition coefficient of Ni between them (DNi mss/melt) ranges from 0.99 to 3.23, which suggests that the two-phase sulfide assemblages in the partly decrepitated inclusions equilibrated at 920-1060 degrees C. In order to refine the initial P-T conditions of the development of the Antarctic peridotites, the results of our investigation were evaluated in the light of experimental data on (1) the stability field of the two-phase assemblage mss + sulfide melt, (2) the solidus of peridotite + 0.9CO(2) + 0.1 H2O, and (3) isochores of 0.8CO(2) + 0.2N(2) fluid. The obtained parameters are close to 1270-1280 degrees C and 2.2 GPa and lie near the Sp-Gar boundary. The temperature of the existence of sulfide melt at a pressure of 2.2 GPa must be near 1300 degrees C and corresponds to the boundary between the occurrence of carbon as CO2 fluid and carbonate (carbonate melt).</t>
  </si>
  <si>
    <t>[Solovova, I. P.] Russian Acad Sci, Inst Geol Ore Deposits Petrog Mineral &amp; Geochem I, Staromonetnyi Per 35, Moscow 119017, Russia; [Kogarko, L. N.] Russian Acad Sci, Vernadsky Inst Geochem &amp; Analyt Chem, Moscow 119991, Russia; [Averin, A. A.] Frumkin Inst Phys Chem &amp; Electrochem, Moscow 119071, Russia</t>
  </si>
  <si>
    <t>Russian Academy of Sciences; Institute of Geology of Ore Deposits, Petrography, Mineralogy &amp; Geochemistry; Russian Academy of Sciences; Vernadsky Institute of Geochemistry &amp; Analytical Chemistry; Russian Academy of Sciences; Frumkin Institute of Physical Chemistry &amp; Electrochemistry</t>
  </si>
  <si>
    <t>Solovova, IP (corresponding author), Russian Acad Sci, Inst Geol Ore Deposits Petrog Mineral &amp; Geochem I, Staromonetnyi Per 35, Moscow 119017, Russia.</t>
  </si>
  <si>
    <t>solovova@igem.ru</t>
  </si>
  <si>
    <t>Kogarko, Lia N/P-6337-2016; Averin, Alexey/T-8203-2018</t>
  </si>
  <si>
    <t>Averin, Alexey/0000-0003-2895-8539; Kogarko, Lia/0000-0001-6306-9038</t>
  </si>
  <si>
    <t>Russian Foundation for Basic Research; Russian President's grant</t>
  </si>
  <si>
    <t>Russian Foundation for Basic Research(Russian Foundation for Basic Research (RFBR)Spanish Government); Russian President's grant</t>
  </si>
  <si>
    <t>This study was financially supported by the Russian Foundation for Basic Research and Russian President's grant.</t>
  </si>
  <si>
    <t>PLEIADES PUBLISHING INC</t>
  </si>
  <si>
    <t>MOSCOW</t>
  </si>
  <si>
    <t>PLEIADES PUBLISHING INC, MOSCOW, 00000, RUSSIA</t>
  </si>
  <si>
    <t>0869-5911</t>
  </si>
  <si>
    <t>1556-2085</t>
  </si>
  <si>
    <t>PETROLOGY+</t>
  </si>
  <si>
    <t>Petrology</t>
  </si>
  <si>
    <t>10.1134/S0869591115060053</t>
  </si>
  <si>
    <t>Geochemistry &amp; Geophysics; Mineralogy</t>
  </si>
  <si>
    <t>V46OC</t>
  </si>
  <si>
    <t>WOS:000209892500001</t>
  </si>
  <si>
    <t>Klügel, T; Höppner, K; Falk, R; Kühmstedt, E; Plötz, C; Reinhold, A; Rülke, A; Wojdziak, R; Balss, U; Diedrich, E; Eineder, M; Henniger, H; Metzig, R; Steigenberger, P; Gisinger, C; Schuh, H; Böhm, J; Ojha, R; Kadler, M; Humbert, A; Braun, M; Sun, J</t>
  </si>
  <si>
    <t>Kluegel, Thomas; Hoeppner, Kathrin; Falk, Reinhard; Kuehmstedt, Elke; Ploetz, Christian; Reinhold, Andreas; Ruelke, Axel; Wojdziak, Reiner; Balss, Ulrich; Diedrich, Erhard; Eineder, Michael; Henniger, Hennes; Metzig, Robert; Steigenberger, Peter; Gisinger, Christoph; Schuh, Harald; Boehm, Johannes; Ojha, Roopesh; Kadler, Matthias; Humbert, Angelika; Braun, Matthias; Sun, Jing</t>
  </si>
  <si>
    <t>Earth and space observation at the German Antarctic Receiving Station O'Higgins</t>
  </si>
  <si>
    <t>POLAR RECORD</t>
  </si>
  <si>
    <t>CELESTIAL REFERENCE FRAME; LEVEL RANGING ACCURACY; WILKINS ICE SHELF; TERRASAR-X; VLBI; GEODESY</t>
  </si>
  <si>
    <t>The German Antarctic Receiving Station (GARS) O'Higgins at the northern tip of the Antarctic Peninsula is a dual purpose facility for earth observation and has existed for more than 20 years. It serves as a satellite ground station for payload data downlink and telecommanding of remote sensing satellites as well as a geodetic observatory for global reference systems and global change. Both applications use the same 9 m diameter radio antenna. Major outcomes of this usage are summarised in this paper. The satellite ground station O'Higgins (OHG) is part of the global ground station network of the German Remote Sensing Data Centre (DFD) operated by the German Aerospace Centre (DLR). It was established in 1991 to provide remote sensing data downlink support within the missions of the European Remote Sensing Satellites ERS-1 and ERS-2. These missions provided valuable insights into the changes of the Antarctic ice shield. Especially after the failure of the on-board data recorder, OHG became an essential downlink station for ERS-2 real-time data transmission. Since 2010, OHG is manned during the entire year, specifically to support the TanDEM-X mission. OHG is a main dump station for payload data, monitoring and telecommanding of the German TerraSAR-X and TanDEM-X satellites. For space geodesy and astrometry the radio antenna O'Higgins significantly improves coverage over the southern hemisphere and plays an essential role within the global Very Long Baseline Interferometry (VLBI) network. In particular the determination of the Earth Orientation Parameters (EOP) and the sky coverage of the International Celestial Reference Frame (ICRF) benefit from the location at a high southern latitude. Further, the resolution of VLBI images of active galactic nuclei (AGN), cosmic radio sources defining the ICRF, improves significantly when O'Higgins is included in the network. The various geodetic instrumentation and the long time series at O'Higgins allow a reliable determination of crustal motions. VLBI station velocities, continuous GNSS measurements and campaignwise absolute gravity measurements consistently document a vertical rate of about 5 mm/a. This crustal uplift is interpreted as an elastic rebound due to ice loss as a consequence of the ice shelf disintegration in the Prince Gustav Channel in the late 1990s. The outstanding location on the Antarctic continent and its year-around operation make GARS O'Higgins in future increasingly attractive for polar orbiting satellite missions and a vitally important station for the global VLBI network. Future plans call for the development of an observatory for environmentally relevant research. That means that the portfolio of the station will be expanded including the expansion of the infrastructure and the construction and operation of new scientific instruments suitable for long-term measurements and satellite ground truthing.</t>
  </si>
  <si>
    <t>[Kluegel, Thomas; Falk, Reinhard; Kuehmstedt, Elke; Ploetz, Christian; Reinhold, Andreas; Ruelke, Axel; Wojdziak, Reiner] Fed Agcy Cartog &amp; Geodesy, D-60598 Frankfurt, Germany; [Hoeppner, Kathrin; Balss, Ulrich; Diedrich, Erhard; Eineder, Michael; Henniger, Hennes; Metzig, Robert; Steigenberger, Peter] German Aerosp Ctr, D-82234 Wessling, Germany; [Gisinger, Christoph] Tech Univ Munich, Inst Astron &amp; Phys Geodasie, D-80290 Munich, Germany; [Schuh, Harald] Deutsch GeoForschungsZentrum, D-14473 Potsdam, Germany; [Boehm, Johannes] Vienna Univ Technol, Dept Geodesy &amp; Geoinformat, A-1040 Vienna, Austria; [Ojha, Roopesh] NASA, Greenbelt, MD 20771 USA; [Kadler, Matthias] Univ Wurzburg, Inst Theoret Phys &amp; Astrophys, D-97074 Wurzburg, Germany; [Humbert, Angelika] Alfred Wegener Inst Polar &amp; Marine Res, D-27570 Bremerhaven, Germany; [Braun, Matthias] Univ Erlangen Nurnberg, Inst Geog, D-91023 Erlangen, Germany; [Sun, Jing] Shanghai Astron Observ, Shanghai 200030, Peoples R China</t>
  </si>
  <si>
    <t>Helmholtz Association; German Aerospace Centre (DLR); Technical University of Munich; Helmholtz Association; Helmholtz-Center Potsdam GFZ German Research Center for Geosciences; Technische Universitat Wien; National Aeronautics &amp; Space Administration (NASA); University of Wurzburg; Helmholtz Association; Alfred Wegener Institute, Helmholtz Centre for Polar &amp; Marine Research; University of Erlangen Nuremberg; Chinese Academy of Sciences; Shanghai Astronomical Observatory, CAS</t>
  </si>
  <si>
    <t>Klügel, T (corresponding author), Fed Agcy Cartog &amp; Geodesy, Richard Strauss Allee 11, D-60598 Frankfurt, Germany.</t>
  </si>
  <si>
    <t>kluegel@fs.wettzell.de</t>
  </si>
  <si>
    <t>Steigenberger, Peter/AAA-6862-2019; Braun, Matthias H/S-4693-2016; Böhm, Johannes/O-1866-2019; Braun, Matthias/A-4968-2009; Böhm, Johannes/H-9161-2013</t>
  </si>
  <si>
    <t>Steigenberger, Peter/0000-0003-1905-6699; Böhm, Johannes/0000-0002-1208-5473; Braun, Matthias/0000-0001-5169-1567; Böhm, Johannes/0000-0002-1208-5473; Humbert, Angelika/0000-0002-0244-8760</t>
  </si>
  <si>
    <t>CAMBRIDGE UNIV PRESS</t>
  </si>
  <si>
    <t>32 AVENUE OF THE AMERICAS, NEW YORK, NY 10013-2473 USA</t>
  </si>
  <si>
    <t>0032-2474</t>
  </si>
  <si>
    <t>1475-3057</t>
  </si>
  <si>
    <t>POLAR REC</t>
  </si>
  <si>
    <t>POLAR REC.</t>
  </si>
  <si>
    <t>10.1017/S0032247414000540</t>
  </si>
  <si>
    <t>Ecology; Environmental Sciences</t>
  </si>
  <si>
    <t>CT7XB</t>
  </si>
  <si>
    <t>WOS:000363027200002</t>
  </si>
  <si>
    <t>Rack, U; Atkin, A</t>
  </si>
  <si>
    <t>Rack, Ursula; Atkin, Andrew</t>
  </si>
  <si>
    <t>SCAR open science conference 2014. Report on the session 'Connecting the past-present-future: studies and methods in history for Antarctic research and science'</t>
  </si>
  <si>
    <t>Editorial Material</t>
  </si>
  <si>
    <t>[Rack, Ursula; Atkin, Andrew] Univ Canterbury, Gateway Antarctica, Christchurch 8140, New Zealand</t>
  </si>
  <si>
    <t>University of Canterbury</t>
  </si>
  <si>
    <t>Rack, U (corresponding author), Univ Canterbury, Gateway Antarctica, Private Bag 4800, Christchurch 8140, New Zealand.</t>
  </si>
  <si>
    <t>ursula.rack@canterbury.ac.nz</t>
  </si>
  <si>
    <t>10.1017/S0032247414000941</t>
  </si>
  <si>
    <t>WOS:000363027200011</t>
  </si>
  <si>
    <t>Sahade, R; Lagger, C; Torre, L; Momo, F; Monien, P; Schloss, I; Barnes, DKA; Servetto, N; Tarantelli, S; Tatián, M; Zamboni, N; Abele, D</t>
  </si>
  <si>
    <t>Sahade, Ricardo; Lagger, Cristian; Torre, Luciana; Momo, Fernando; Monien, Patrick; Schloss, Irene; Barnes, David K. A.; Servetto, Natalia; Tarantelli, Soledad; Tatian, Marcos; Zamboni, Nadia; Abele, Doris</t>
  </si>
  <si>
    <t>Climate change and glacier retreat drive shifts in an Antarctic benthic ecosystem</t>
  </si>
  <si>
    <t>SCIENCE ADVANCES</t>
  </si>
  <si>
    <t>KING GEORGE ISLAND; PHYSICAL DISTURBANCE; POTTER COVE; PENINSULA; COMPETITION; SHELF; WEST; SEDIMENTATION; BIODIVERSITY; COMMUNITIES</t>
  </si>
  <si>
    <t>The Antarctic Peninsula (AP) is one of the three places on Earth that registered the most intense warming in the last 50 years, almost five times the global mean. This warming has strongly affected the cryosphere, causing the largest ice-shelf collapses ever observed and the retreat of 87% of glaciers. Ecosystem responses, although increasingly predicted, have been mainly reported for pelagic systems. However, and despite most Antarctic species being benthic, responses in the Antarctic benthos have been detected in only a few species, and major effects at assemblage level are unknown. This is probably due to the scarcity of baselines against which to assess change. We performed repeat surveys of coastal benthos in 1994, 1998, and 2010, analyzing community structure and environmental variables at King George Island, Antarctica. We report a marked shift in an Antarctic benthic community that can be linked to ongoing climate change. However, rather than temperature as the primary factor, we highlight the resulting increased sediment runoff, triggered by glacier retreat, as the potential causal factor. The sudden shift from a filter feeders-ascidian domination to a mixed assemblage suggests that thresholds (for example, of tolerable sedimentation) and alternative equilibrium states, depending on the reversibility of the changes, could be possible traits of this ecosystem. Sedimentation processes will be increasing under the current scenario of glacier retreat, and attention needs to be paid to its effects along the AP.</t>
  </si>
  <si>
    <t>[Sahade, Ricardo; Lagger, Cristian; Torre, Luciana; Servetto, Natalia; Tarantelli, Soledad; Tatian, Marcos; Zamboni, Nadia] UNC, Inst Diversidad &amp; Ecol Anim, CONICET, Fac Ciencias Exactas Fis &amp; Nat, Ave Velez Sarsfield 299, RA-5000 Cordoba, Argentina; [Momo, Fernando] Univ Nacl Gen Sarmiento, Inst Ciencias, Los Polvorines, Buenos Aires, Argentina; [Momo, Fernando] Univ Nacl Lujan, Inst Ecol &amp; Desarrollo Sustentable, RA-6700 Lujan, Argentina; [Monien, Patrick] Inst Chem &amp; Biol Marine Environm, D-26129 Oldenburg, Germany; [Monien, Patrick] Univ Bremen, Dept Geosci, D-28359 Bremen, Germany; [Schloss, Irene] Inst Antartico Argentino, Buenos Aires, DF, Argentina; [Barnes, David K. A.] British Antarctic Survey, Nat Environm Res Council, Cambridge CB3 0ET, England; [Abele, Doris] Alfred Wegener Inst Polar &amp; Marine Res, D-27568 Bremerhaven, Germany</t>
  </si>
  <si>
    <t>Consejo Nacional de Investigaciones Cientificas y Tecnicas (CONICET); National University of Cordoba; Universidad Nacional de Lujan; University of Bremen; Instituto Antartico Argentino; UK Research &amp; Innovation (UKRI); Natural Environment Research Council (NERC); NERC British Antarctic Survey; Helmholtz Association; Alfred Wegener Institute, Helmholtz Centre for Polar &amp; Marine Research</t>
  </si>
  <si>
    <t>Sahade, R (corresponding author), UNC, Inst Diversidad &amp; Ecol Anim, CONICET, Fac Ciencias Exactas Fis &amp; Nat, Ave Velez Sarsfield 299, RA-5000 Cordoba, Argentina.</t>
  </si>
  <si>
    <t>rsahade@efn.uncor.edu</t>
  </si>
  <si>
    <t>Momo, Fernando R/E-3426-2012; Schloss, Irene R./U-5411-2018; Zamboni, Nadia/D-2521-2019; Monien, Patrick/K-8338-2017</t>
  </si>
  <si>
    <t>Momo, Fernando R/0000-0003-0710-1149; Schloss, Irene R./0000-0002-5917-8925; Servetto, Natalia/0000-0002-3713-9116; Monien, Patrick/0000-0002-4000-5362; Abele, Doris/0000-0002-5766-5017; Tatian, Marcos/0000-0002-9092-9184; Torre, Luciana/0000-0002-2090-1258; Sahade, Ricardo/0000-0001-5650-8135</t>
  </si>
  <si>
    <t>Instituto Antartico Argentino; Alfred Wegener Institut; CONICET; FONCyT (Fondo para la Investigacion Cientifica y Tecnologica); SECyT-UNC (Secretaria de Ciencia y Tecnologia-UNC); DFG (Deutsche Forschungsgemeinschaft); EU (European Union) [119, 36323]; DFG [BR 775/25-1]; IMCOAST (Impact of climate induced glacial melting on marine coastal systems in the Western Antarctic peninsula region); ECLIPSE (Effects of Climate change in Polar Shallow benthic Ecosystems); IMCONet [FP7 IRSES] [319718]; NERC [bas0100036] Funding Source: UKRI; Natural Environment Research Council [bas0100036] Funding Source: researchfish</t>
  </si>
  <si>
    <t>Instituto Antartico Argentino; Alfred Wegener Institut; CONICET(Consejo Nacional de Investigaciones Cientificas y Tecnicas (CONICET)); FONCyT (Fondo para la Investigacion Cientifica y Tecnologica)(FONCyT); SECyT-UNC (Secretaria de Ciencia y Tecnologia-UNC); DFG (Deutsche Forschungsgemeinschaft)(German Research Foundation (DFG)); EU (European Union)(European Union (EU)); DFG(German Research Foundation (DFG)); IMCOAST (Impact of climate induced glacial melting on marine coastal systems in the Western Antarctic peninsula region); ECLIPSE (Effects of Climate change in Polar Shallow benthic Ecosystems); IMCONet [FP7 IRSES]; NERC(UK Research &amp; Innovation (UKRI)Natural Environment Research Council (NERC)); Natural Environment Research Council(UK Research &amp; Innovation (UKRI)Natural Environment Research Council (NERC))</t>
  </si>
  <si>
    <t>Logistic and financial support was provided by Instituto Antartico Argentino, Alfred Wegener Institut, CONICET, FONCyT (Fondo para la Investigacion Cientifica y Tecnologica), SECyT-UNC (Secretaria de Ciencia y Tecnologia-UNC), DFG (Deutsche Forschungsgemeinschaft), and EU (European Union) via grants PICTO-DNA No 119 and 36323, DFG project no. BR 775/25-1, IMCOAST (Impact of climate induced glacial melting on marine coastal systems in the Western Antarctic peninsula region), ECLIPSE (Effects of Climate change in Polar Shallow benthic Ecosystems), and IMCONet [FP7 IRSES (International Research Staff Exchange Scheme), action no. 319718].</t>
  </si>
  <si>
    <t>AMER ASSOC ADVANCEMENT SCIENCE</t>
  </si>
  <si>
    <t>1200 NEW YORK AVE, NW, WASHINGTON, DC 20005 USA</t>
  </si>
  <si>
    <t>2375-2548</t>
  </si>
  <si>
    <t>SCI ADV</t>
  </si>
  <si>
    <t>Sci. Adv.</t>
  </si>
  <si>
    <t>e1500050</t>
  </si>
  <si>
    <t>10.1126/sciadv.1500050</t>
  </si>
  <si>
    <t>V0V6C</t>
  </si>
  <si>
    <t>Green Published, Green Submitted, gold, Green Accepted</t>
  </si>
  <si>
    <t>WOS:000216599300011</t>
  </si>
  <si>
    <t>Ponce, D; Brinkman, DL; Luna-Ramírez, K; Wright, CE; Dorantes-Aranda, JJ</t>
  </si>
  <si>
    <t>Ponce, Dalia; Brinkman, Diane L.; Luna-Ramirez, Karen; Wright, Christine E.; Dorantes-Aranda, Juan Jose</t>
  </si>
  <si>
    <t>Comparative study of the toxic effects of Chrysaora quinquecirrha (Cnidaria: Scyphozoa) and Chironex fleckeri (Cnidaria: Cubozoa) venoms using cell-based assays</t>
  </si>
  <si>
    <t>TOXICON</t>
  </si>
  <si>
    <t>Jellyfish; Venom; Chrysaora quinquecirrha; Chironex fleckeri; Cell line; CfTX</t>
  </si>
  <si>
    <t>AUSTRALIAN BOX JELLYFISH; SEA NETTLE TOXIN; WAR PHYSALIA-PHYSALIS; NEMATOCYST VENOM; STOMOLOPHUS-MELEAGRIS; PARTIAL-PURIFICATION; CYANEA-CAPILLATA; FISHING TENTACLE; PROTEIN TOXIN; HABU-KURAGE</t>
  </si>
  <si>
    <t>The venoms of jellyfish cause toxic effects in diverse biological systems that can trigger local and systemic reactions. In this study, the cytotoxic and cytolytic effects of Chrysaora quinquecirrha and Chironex flecked venoms were assessed and compared using three in vitro assays. Venoms from both species were cytotoxic to fish gill cells and rat cardiomyocytes, and cytolytic in sheep erythrocytes. Both venoms decreased cell viability in a concentration-dependent manner; however, the greatest difference in venom potencies was observed in the fish gill cell line, wherein C. fleckeri was 12.2- (P = 0.0005) and 35.7-fold (P &lt; 0.0001) more potently cytotoxic than C. quinquecirrha venom with 30 min and 120 min cell exposure periods, respectively. Gill cells and rat cardiomyocytes exposed to venoms showed morphological changes characterised by cell shrinkage, clumping and detachment. The cytotoxic effects of venoms may be caused by a group of toxic proteins that have been previously identified in C fleckeri and other cubozoan jellyfish species. In this study, proteins homologous to CfTX-1 and CfFX-2 toxins from C. fleckeri and CqTX-A toxin from Chironex yamaguchii were identified in C quinquecirrha venom using tandem mass spectrometry. The presence and relative abundance of these proteins may explain the differences in venom potency between cubozoan and scyphozoan jellyfish and may reflect their importance in the action of venoms. (C) 2015 Elsevier Ltd. All rights reserved.</t>
  </si>
  <si>
    <t>[Ponce, Dalia; Luna-Ramirez, Karen; Wright, Christine E.] Univ Melbourne, Dept Pharmacol &amp; Therapeut, Australian Venom Res Unit, Melbourne, Vic 3010, Australia; [Ponce, Dalia; Wright, Christine E.] Univ Melbourne, Dept Pharmacol &amp; Therapeut, Cardiovasc Therapeut Unit, Melbourne, Vic 3010, Australia; [Brinkman, Diane L.] Australian Inst Marine Sci, Townsville Mail Ctr, Townsville, Qld 4810, Australia; [Dorantes-Aranda, Juan Jose] Univ Tasmania, Inst Marine &amp; Antarctic Studies, Hobart, Tas 7001, Australia</t>
  </si>
  <si>
    <t>Melbourne Genomics Health Alliance; University of Melbourne; Melbourne Genomics Health Alliance; University of Melbourne; Australian Institute of Marine Science; University of Tasmania</t>
  </si>
  <si>
    <t>Dorantes-Aranda, JJ (corresponding author), Univ Tasmania, Inst Marine &amp; Antarctic Studies, Private Bag 129, Hobart, Tas 7001, Australia.</t>
  </si>
  <si>
    <t>d.poncegarcia@student.unimelb.edu.au; brinkman@aims.gov.au; Karen.luna@ime.fraunhofer.de; cewright@unimelb.edu.au; Juan.DorantesAranda@utas.edu.au</t>
  </si>
  <si>
    <t>Dorantes-Aranda, Juan Jose/J-7737-2014; Wright, Christine/B-2509-2012; Brinkman, Diane/A-1084-2010</t>
  </si>
  <si>
    <t>Ponce Garcia, Dalia Patricia/0000-0003-1907-5128; Dorantes-Aranda, Juan J./0000-0003-1513-6501; Wright, Christine/0000-0002-3339-040X; Brinkman, Diane/0000-0002-6954-7667; Luna-Ramirez, Karen/0000-0002-1485-2576</t>
  </si>
  <si>
    <t>Melbourne International Fee Remission Scholarship (MIFRS); Melbourne International Research Scholarship (MIRS) from the University of Melbourne; National Council of Science and Technology from Mexico (CONACyT); Struan Sutherland Trust; Australian Research Council [DP130102859]</t>
  </si>
  <si>
    <t>Melbourne International Fee Remission Scholarship (MIFRS); Melbourne International Research Scholarship (MIRS) from the University of Melbourne; National Council of Science and Technology from Mexico (CONACyT)(Consejo Nacional de Ciencia y Tecnologia (CONACyT)); Struan Sutherland Trust; Australian Research Council(Australian Research Council)</t>
  </si>
  <si>
    <t>This work was supported by the Melbourne International Fee Remission Scholarship (MIFRS) and Melbourne International Research Scholarship (MIRS) from the University of Melbourne and by the Scholarship for Postgraduate Studies from the National Council of Science and Technology from Mexico (CONACyT) awarded to D. P. We thank The Struan Sutherland Trust funding to the Australian Venom Research Unit (AVRU) for supporting K. L-R. and D. P. The authors also thank the Australian Research Council, grant DP130102859, for funding J.J.D-A. We-thank Senior Aquarist Sharyl Crossley from the Tennessee Aquarium for her kind assistance in sampling and processing of C. quinquecirrha jellyfish specimens. The authors also acknowledge Dr. Ken Winkel from AVRU (University of Melbourne) for his comments to the manuscript and Dr Jon Mangum from the Laboratory of Proteomics and Calcium (University of Melbourne) for his help in sample processing, protein identifications and comments to improve the manuscript. We also thank David Ian Stapleton from The Florey Institute of Neuroscience and Mental Health for sample processing and protein identifications at Bio21 Institute (University of Melbourne).</t>
  </si>
  <si>
    <t>0041-0101</t>
  </si>
  <si>
    <t>Toxicon</t>
  </si>
  <si>
    <t>10.1016/j.toxicon.2015.09.014</t>
  </si>
  <si>
    <t>Pharmacology &amp; Pharmacy; Toxicology</t>
  </si>
  <si>
    <t>CV4QU</t>
  </si>
  <si>
    <t>WOS:000364252400008</t>
  </si>
  <si>
    <t>Sundar, R; Venkatesan, R; Arulmuthiah, M; Vedachalam, N; Atmanand, MA</t>
  </si>
  <si>
    <t>Sundar, R.; Venkatesan, R.; Arulmuthiah, M.; Vedachalam, N.; Atmanand, M. A.</t>
  </si>
  <si>
    <t>Development and performance assessment of a hybrid telemetry system for Indian tsunami buoy system</t>
  </si>
  <si>
    <t>UNDERWATER TECHNOLOGY</t>
  </si>
  <si>
    <t>INSAT; Inmarsat; proof test interval; safety reliability; tsunami; Safety Integrity Level</t>
  </si>
  <si>
    <t>This paper describes a novel technique developed and demonstrated in an Indian tsunami buoy, for real-time data transmission from a moored surface buoy, using Indian National Satellite (INSAT) system and Inmarsat telemetry. Based on the identified safety reliability (SR) performances, the highly reliable Inmarsat telemetry link is configured to transmit the water level data during the tsunami mode. The INSAT telemetry with an SR of Safety Integrity Level 1 (SIL1) is configured for transmitting normal mode data and to maintain the SR of the Inmarsat telemetry link. To comply with the required SR performance, the buoy located Inmarsat transmitter is powered every 1hr to get the buoy position, and once in every 24hrs it sends the data to check the overall link in SIL4. Their proof test intervals are set at 1hr and 24hrs respectively. The response of the cost-effective hybrid system to a seismic event in 2014 gives the confidence on the hybrid telemetry system's reliable support to the Indian tsunami buoy system.</t>
  </si>
  <si>
    <t>[Sundar, R.; Venkatesan, R.; Arulmuthiah, M.; Vedachalam, N.; Atmanand, M. A.] Natl Inst Ocean Technol, Madras, Tamil Nadu, India</t>
  </si>
  <si>
    <t>Ministry of Earth Sciences (MoES) - India; National Institute of Ocean Technology (NIOT)</t>
  </si>
  <si>
    <t>Sundar, R (corresponding author), Natl Inst Ocean Technol, Madras, Tamil Nadu, India.</t>
  </si>
  <si>
    <t>rsundar@niot.res.in</t>
  </si>
  <si>
    <t>M A, Atmanand/A-1610-2016</t>
  </si>
  <si>
    <t>Ramasamy, Venkatesan/0000-0001-7386-1539</t>
  </si>
  <si>
    <t>Ministry of Earth Sciences, Government of India</t>
  </si>
  <si>
    <t>Ministry of Earth Sciences, Government of India(Ministry of Earth Science (MoES), Government of India)</t>
  </si>
  <si>
    <t>We thank the Ministry of Earth Sciences, Government of India, for funding this project and the members of the National Expert Committee for evolving this program. We are grateful to Dr Jeyamani, Adviser, and the staff of INCOIS Hyderabad, for the establishment of the INSAT reception setup at INCOIS. We are also grateful to the directors of National Centre for Antarctic and Ocean Research (NCAOR), Goa and INCOIS Hyderabad for providing all the facilities and logistic support. We also thank the staff of the OOS group, Vessel Management Cell of the NIOT and the ship staff, for their excellent help and support on-board.</t>
  </si>
  <si>
    <t>SOC UNDERWATER TECHNOLOGY</t>
  </si>
  <si>
    <t>80 COLEMAN ST, LONDON EC2R 5BJ, ENGLAND</t>
  </si>
  <si>
    <t>1756-0543</t>
  </si>
  <si>
    <t>1756-0551</t>
  </si>
  <si>
    <t>UNDERWATER TECHNOL</t>
  </si>
  <si>
    <t>Underw. Technol.</t>
  </si>
  <si>
    <t>10.3723/ut.33.105</t>
  </si>
  <si>
    <t>Engineering, Ocean</t>
  </si>
  <si>
    <t>Emerging Sources Citation Index (ESCI)</t>
  </si>
  <si>
    <t>Engineering</t>
  </si>
  <si>
    <t>VD8JW</t>
  </si>
  <si>
    <t>WOS:000437652000005</t>
  </si>
  <si>
    <t>Venkatesan, R; Vedachalam, N; Murugesh, P; Kaliyaperumal, P; Kalaivanan, CK; Gnanadhas, T; Atmanand, MA</t>
  </si>
  <si>
    <t>Venkatesan, R.; Vedachalam, N.; Murugesh, P.; Kaliyaperumal, P.; Kalaivanan, C. K.; Gnanadhas, T.; Atmanand, M. A.</t>
  </si>
  <si>
    <t>Reliability analysis and integrity management of instrumented buoy moorings for monitoring the Indian Seas</t>
  </si>
  <si>
    <t>instrumented buoy; mooring; reliability; tsunami; meteorology; oceanography</t>
  </si>
  <si>
    <t>A reliable mooring is the key requirement for offshore buoys involved in meteorological and tsunami monitoring missions. Mooring failure can lead to a loss of time-critical data which could have a serious impact on societal protection while, in addition, resulting in costly repair and reinstallation. Based on mooring component failures reported by the offshore industry, a structural reliability analysis was carried out on the mooring architecture for the instrumented data buoys used for monitoring Indian Seas. The results are compared with the field failure data obtained from annually-maintained operational moorings of the National Institute of Ocean Technology which have a cumulative in-place mooring duration of approximately 0.76 million hours over a five-year period. The estimated mean time between failure (MTBF) was between 6.3 and 11.1 years, against the achieved field performance of 6.1 years with an average annual mooring availability of 99.7% with a seven-day mean time to repair (MTTR) period. The operating mooring integrity monitoring and corrective action system with a monitoring interval of three hours ensures that the moorings meet the required International Electrotechnical Commission (IEC) 61508 IL4 standards. The efforts undertaken in improving the mooring reliability and availability, based on lessons learnt from field failures and to meet Det Norske Veritas (DNV) position mooring standards, are also detailed. The analysis gives confidence on the reliability of the mooring system support for India's ocean observation programme.</t>
  </si>
  <si>
    <t>[Venkatesan, R.; Vedachalam, N.; Murugesh, P.; Kaliyaperumal, P.; Kalaivanan, C. K.; Gnanadhas, T.; Atmanand, M. A.] Natl Inst Ocean Technol, Madras, Tamil Nadu, India</t>
  </si>
  <si>
    <t>Vedachalam, N (corresponding author), Natl Inst Ocean Technol, Madras, Tamil Nadu, India.</t>
  </si>
  <si>
    <t>veda1973@gmail.com</t>
  </si>
  <si>
    <t>Ministry of Earth Sciences, government of India; Indian National Centre for Ocean Information Services (INCOIS) Indian Early Tsunami Warning System (IETWS)</t>
  </si>
  <si>
    <t>Ministry of Earth Sciences, government of India(Ministry of Earth Science (MoES), Government of India); Indian National Centre for Ocean Information Services (INCOIS) Indian Early Tsunami Warning System (IETWS)</t>
  </si>
  <si>
    <t>The authors thank the Ministry of Earth Sciences, government of India and Indian National Centre for Ocean Information Services (INCOIS) Indian Early Tsunami Warning System (IETWS) for funding this project. The authors are indebted to the Directors of the National Centre for Antarctic and Ocean Research (NCAOR), Goa for providing all the facilities and logistic support. The authors also thank the staff of Ocean Observation System (OOS) group, Vessel Management Cell of the NIOT and ship staff for their excellent help and support onboard.</t>
  </si>
  <si>
    <t>10.3723/ut.33.115</t>
  </si>
  <si>
    <t>WOS:000437652000006</t>
  </si>
  <si>
    <t>Bannister, D; King, J</t>
  </si>
  <si>
    <t>Bannister, Daniel; King, John</t>
  </si>
  <si>
    <t>Fohn winds on South Georgia and their impact on regional climate</t>
  </si>
  <si>
    <t>WEATHER</t>
  </si>
  <si>
    <t>fohn; glacial melt; WRF; climate change; Southern Ocean; orography</t>
  </si>
  <si>
    <t>Average summer temperatures over South Georgia have risen by 1 degrees C along with an increase in the rate of glacial retreat since the 1920s. Glaciers on the northeast of the island are retreating faster than those on the southwest side. These asymmetrical changes are thought to be linked with the fohn effect. To explore the link between fohn and the climate of South Georgia, we show results from a climatological analysis using Automatic Weather Station observations and high-resolution simulations of fohn events with the Weather Research and Forecasting model. We find that fohn events significantly contribute to the asymmetry of South Georgia's regional climate.</t>
  </si>
  <si>
    <t>[Bannister, Daniel; King, John] British Antarctic Survey, Cambridge, England</t>
  </si>
  <si>
    <t>Bannister, D (corresponding author), British Antarctic Survey, Cambridge, England.</t>
  </si>
  <si>
    <t>danban70@bas.ac.uk</t>
  </si>
  <si>
    <t>Bannister, Daniel/0000-0002-2982-3751</t>
  </si>
  <si>
    <t>NERC [bas0100023] Funding Source: UKRI; Natural Environment Research Council [bas0100023, 1119744] Funding Source: researchfish</t>
  </si>
  <si>
    <t>NERC(UK Research &amp; Innovation (UKRI)Natural Environment Research Council (NERC)); Natural Environment Research Council(UK Research &amp; Innovation (UKRI)Natural Environment Research Council (NERC))</t>
  </si>
  <si>
    <t>0043-1656</t>
  </si>
  <si>
    <t>1477-8696</t>
  </si>
  <si>
    <t>Weather</t>
  </si>
  <si>
    <t>10.1002/wea.2548</t>
  </si>
  <si>
    <t>CU9YB</t>
  </si>
  <si>
    <t>Green Submitted, Green Accepted, Bronze</t>
  </si>
  <si>
    <t>WOS:000363901900009</t>
  </si>
  <si>
    <t>Miao, X; Xie, HJ; Ackley, SF; Perovich, DK; Ke, CQ</t>
  </si>
  <si>
    <t>Miao, Xin; Xie, Hongjie; Ackley, Stephen F.; Perovich, Donald K.; Ke, Changqing</t>
  </si>
  <si>
    <t>Object-based detection of Arctic sea ice and melt ponds using high spatial resolution aerial photographs</t>
  </si>
  <si>
    <t>COLD REGIONS SCIENCE AND TECHNOLOGY</t>
  </si>
  <si>
    <t>Sea ice; Melt pond; Object-based classification; High spatial resolution imagery</t>
  </si>
  <si>
    <t>SURFACE CONDITIONS; SUMMER; CLASSIFICATION; COMPACTNESS; ALBEDO; SHAPE; SAR</t>
  </si>
  <si>
    <t>High resolution aerial photographs used to detect and classify sea ice features can provide accurate physical parameters to refine, validate, and improve climate models. However, manually delineating sea ice and melt ponds is time-consuming and labor-intensive. In this study, an object-based classification algorithm is developed to automatically extract sea ice and melt ponds efficiently from 163 aerial photographs taken during the Chinese National Arctic Research Expedition in summer 2010 (CHINARE 2010) in the Arctic Pacific Sector. The photographs are selected from 599 cloud-free photographs based on their image quality and representativeness in the marginal ice zone (MIZ). The algorithm includes three major steps: (1) the image segmentation groups the neighboring pixels into objects according to the similarity of spectral and textural information; (2) the random forest ensemble classifier distinguishes four general classes: water, general submerged ice (GSI, including melt ponds and submerged ice along ice edges), shadow, and ice/snow; and (3) the polygon neighbor analysis further separates melt ponds and submerged ice from the GSI according to their spatial relationships. The overall classification accuracy for the four general classes is 95.5% based on 178 ground reference objects. Furthermore, the producer's accuracy of 90.8% and user's accuracy of 91.8% are achieved for melt pond detection through 98 independent reference objects. For the 163 photos examined, a total of 19,438 melt ponds larger than 1 m(2) are detected, with a pond density of 867.2 km(-2), mean pond size of 32.6 +/- 0.03 m(2), and mean pond fraction of 0.06 +/- 0.006; a total of 42,468 ice floes are detected, with the mean floe size of 173.3 +/- 0.1 m(2) (majority in 1-30 m(2)) and mean ice concentration of 46.1 +/- 0.5% (ranging from 18.6-98.6%). These results matched well with ship-based visual observations in the MIZ in the same area and time. The method presented in the paper can be applied to data sets of high spatial resolution Arctic sea ice photographs for deriving detailed sea ice concentration, floe size, and melt pond distributions over wider regions, and extracting sea ice physical parameters and their corresponding changes between years. (C) 2015 Elsevier B.V. All rights reserved.</t>
  </si>
  <si>
    <t>[Miao, Xin] Missouri State Univ, Dept Geog Geol &amp; Planning, Springfield, MO 65897 USA; [Miao, Xin; Xie, Hongjie; Ackley, Stephen F.] Univ Texas San Antonio, Dept Geol Sci, San Antonio, TX 78249 USA; [Perovich, Donald K.] Erdc, CRREL, Hanover, NH 03755 USA; [Perovich, Donald K.] Dartmouth Coll, Thayer Sch Engn, Hanover, NH 03755 USA; [Ke, Changqing] Nanjing Univ, Sch Geog &amp; Oceanog Sci, Nanjing 210093, Jiangsu, Peoples R China</t>
  </si>
  <si>
    <t>Missouri State University; University of Texas System; University of Texas at San Antonio (UTSA); United States Department of Defense; United States Army; U.S. Army Corps of Engineers; U.S. Army Engineer Research &amp; Development Center (ERDC); Cold Regions Research &amp; Engineering Laboratory (CRREL); Dartmouth College; Nanjing University</t>
  </si>
  <si>
    <t>Miao, X (corresponding author), Missouri State Univ, Dept Geog Geol &amp; Planning, Springfield, MO 65897 USA.</t>
  </si>
  <si>
    <t>xinmiao@missouristate.edu; Hongjie.Xie@utsa.edu; Stephen.Ackley@utsa.edu; Donald.K.Perovich@erdc.dren.mil; kecq@nju.edu.cn</t>
  </si>
  <si>
    <t>Xie, Hongjie/B-5845-2009</t>
  </si>
  <si>
    <t>Xie, Hongjie/0000-0003-3516-1210; Miao, Xin/0000-0001-8732-9105</t>
  </si>
  <si>
    <t>ONR Sea State and Boundary Layer Physics of the Emerging Arctic DRI project [N000141310435]; Office of Naval Research</t>
  </si>
  <si>
    <t>ONR Sea State and Boundary Layer Physics of the Emerging Arctic DRI project; Office of Naval Research(Office of Naval Research)</t>
  </si>
  <si>
    <t>Authors H. Xie and C. Ke want to thank the Chinese Arctic and Antarctic Administration for the opportunity to participate in the 2010 Chinese Arctic Expedition and colleagues Ruibo Lei, Wenfeng Huang and many others for collecting those aerial photos. Support for S.F. Ackley was provided by the ONR Sea State and Boundary Layer Physics of the Emerging Arctic DRI project, Wave-Ice and Air-Ice-Ocean Interaction During the Chukchi Sea Ice Edge Advance (award no. N000141310435). Support for D.K. Perovich was provided by the Office of Naval Research.</t>
  </si>
  <si>
    <t>ELSEVIER</t>
  </si>
  <si>
    <t>AMSTERDAM</t>
  </si>
  <si>
    <t>RADARWEG 29, 1043 NX AMSTERDAM, NETHERLANDS</t>
  </si>
  <si>
    <t>0165-232X</t>
  </si>
  <si>
    <t>1872-7441</t>
  </si>
  <si>
    <t>COLD REG SCI TECHNOL</t>
  </si>
  <si>
    <t>Cold Reg. Sci. Tech.</t>
  </si>
  <si>
    <t>10.1016/j.coldregions.2015.06.014</t>
  </si>
  <si>
    <t>Engineering, Environmental; Engineering, Civil; Geosciences, Multidisciplinary</t>
  </si>
  <si>
    <t>Engineering; Geology</t>
  </si>
  <si>
    <t>CS9AQ</t>
  </si>
  <si>
    <t>WOS:000362381900019</t>
  </si>
  <si>
    <t>Boyd, C; Castillo, R; Hunt, GL; Punt, AE; VanBlaricom, GR; Weimerskirch, H; Bertrand, S</t>
  </si>
  <si>
    <t>Boyd, Charlotte; Castillo, Ramiro; Hunt, George L., Jr.; Punt, Andre E.; VanBlaricom, Glenn R.; Weimerskirch, Henri; Bertrand, Sophie</t>
  </si>
  <si>
    <t>Predictive modelling of habitat selection by marine predators with respect to the abundance and depth distribution of pelagic prey</t>
  </si>
  <si>
    <t>central place foragers; foraging ecology; habitat use; Humboldt Current System; predator-prey interactions; spatial distribution</t>
  </si>
  <si>
    <t>HUMBOLDT CURRENT SYSTEM; ANTARCTIC FUR SEALS; FORAGING ECOLOGY; CALIFORNIA CURRENT; GUANAY CORMORANT; DIVING BEHAVIOR; SPATIAL SCALES; BERING-SEA; SEABIRDS; FISH</t>
  </si>
  <si>
    <t>Understanding the ecological processes that underpin species distribution patterns is a fundamental goal in spatial ecology. However, developing predictive models of habitat use is challenging for species that forage in marine environments, as both predators and prey are often highly mobile and difficult to monitor. Consequently, few studies have developed resource selection functions for marine predators based directly on the abundance and distribution of their prey. We analysed contemporaneous data on the diving locations of two seabird species, the shallow-diving Peruvian Booby (Sula variegata) and deeper diving Guanay Cormorant (Phalacrocorax bougainvilliorum), and the abundance and depth distribution of their main prey, Peruvian anchoveta (Engraulis ringens). Based on this unique data set, we developed resource selection functions to test the hypothesis that the probability of seabird diving behaviour at a given location is a function of the relative abundance of prey in the upper water column. For both species, we show that the probability of diving behaviour is mostly explained by the distribution of prey at shallow depths. While the probability of diving behaviour increases sharply with prey abundance at relatively low levels of abundance, support for including abundance in addition to the depth distribution of prey is weak, suggesting that prey abundance was not a major factor determining the location of diving behaviour during the study period. The study thus highlights the importance of the depth distribution of prey for two species of seabird with different diving capabilities. The results complement previous research that points towards the importance of oceanographic processes that enhance the accessibility of prey to seabirds. The implications are that locations where prey is predictably found at accessible depths may be more important for surface foragers, such as seabirds, than locations where prey is predictably abundant. Analysis of the relative importance of abundance and accessibility is essential for the design and evaluation of effective management responses to reduced prey availability for seabirds and other top predators in marine systems.</t>
  </si>
  <si>
    <t>[Boyd, Charlotte; Hunt, George L., Jr.; Punt, Andre E.; VanBlaricom, Glenn R.] Univ Washington, Sch Aquat &amp; Fishery Sci, Seattle, WA 98195 USA; [Castillo, Ramiro] Inst Mar Peru, Lima, Peru; [VanBlaricom, Glenn R.] US Geol Survey, Washington Cooperat Fish &amp; Wildlife Res Unit, Seattle, WA USA; [Weimerskirch, Henri] Ctr Etud Biol Chize, Villiers En Bois, France; [Bertrand, Sophie] Inst Rech Dev, Sete, France</t>
  </si>
  <si>
    <t>University of Washington; University of Washington Seattle; Instituto del Mar del Peru; United States Department of the Interior; United States Geological Survey; Institut de Recherche pour le Developpement (IRD)</t>
  </si>
  <si>
    <t>Boyd, C (corresponding author), Univ Washington, Sch Aquat &amp; Fishery Sci, Seattle, WA 98195 USA.</t>
  </si>
  <si>
    <t>boydchar@u.washington.edu</t>
  </si>
  <si>
    <t>Weimerskirch, Henri/F-5562-2013; Weimerskirch, Henri/K-7306-2019; Hunt, George/V-9423-2019; Lanco, Sophie/F-4161-2012</t>
  </si>
  <si>
    <t>Weimerskirch, Henri/0000-0002-0457-586X; Lanco, Sophie/0000-0003-1976-3799; Hunt, George/0000-0001-8709-2697</t>
  </si>
  <si>
    <t>10.1111/1365-2656.12409</t>
  </si>
  <si>
    <t>Bronze, Green Published</t>
  </si>
  <si>
    <t>WOS:000362741000013</t>
  </si>
  <si>
    <t>Dowling, NA; Dichmont, CM; Haddon, M; Smith, DC; Smith, ADM; Sainsbury, K</t>
  </si>
  <si>
    <t>Dowling, N. A.; Dichmont, C. M.; Haddon, M.; Smith, D. C.; Smith, A. D. M.; Sainsbury, K.</t>
  </si>
  <si>
    <t>Guidelines for developing formal harvest strategies for data-poor species and fisheries</t>
  </si>
  <si>
    <t>FISHERIES RESEARCH</t>
  </si>
  <si>
    <t>Harvest strategy; Management strategy; Management procedure; Data-poor fisheries; Data-poor species; Data-poor assessments</t>
  </si>
  <si>
    <t>DATA-LIMITED FISHERIES; SUSTAINABLE FISHERIES; GLOBAL FISHERIES; MANAGEMENT TOOLS; CONTROL RULES; CATCH LIMITS; AUSTRALIA; OBJECTIVES; IMPLEMENTATION; EXPERIENCE</t>
  </si>
  <si>
    <t>There has been extensive literature discussion regarding data-poor assessments, but considerably less on harvest strategies for data-poor fisheries. There is also a large body of work around harvest strategy development for data-rich fisheries. However, there has been little discussion or specific guidance regarding the process of developing and implementing formal harvest strategies for data-poor fisheries. We outline such a process, illustrated using case studies of data-poor Australian Commonwealth fisheries. The process comprises: (1) compile and review available information; (2) identify possibly indicators; (3) identify reference points for key indicators; (4) select an appropriate harvest strategy and decision rules; (5) if possible, formally evaluate whether the harvest strategy options are likely to achieve the management objectives; and (6) implementation. While this approach is similar to that for data-rich cases, there is less statistical or estimation detail within each step. Even with minimal capacity, the guidelines outlined here, backed by even the simplest form of management strategy evaluation, provide an approach that should enable harvest strategies to be proposed and associated monitoring to be implemented. Monitoring requirements may be explicitly built into harvest strategies via trigger reference points and control rules related to data-collection. While prior formal evaluation provides the best basis for testing the efficacy of a harvest strategy, there remains disparity between the corresponding required capacity and what many agencies and institutions worldwide are capable of providing. Thus, the extent to which harvest strategies may be effectively evaluated and implemented remains an unresolved challenge for data-poor fisheries, but one whose resolution is predicated, at least in the first instance, on adequate monitoring. Crown Copyright (C) 2014 Published by Elsevier B.V. All rights reserved.</t>
  </si>
  <si>
    <t>[Dowling, N. A.; Haddon, M.; Smith, D. C.; Smith, A. D. M.] CSIRO Oceans &amp; Atmosphere Flagship, Hobart, Tas 7001, Australia; [Dichmont, C. M.] CSIRO Oceans &amp; Atmosphere Flagship, Brisbane, Qld 4001, Australia; [Sainsbury, K.] Univ Tasmania, Inst Marine &amp; Antarctic Studies, Battery Point, Tas 7004, Australia</t>
  </si>
  <si>
    <t>Commonwealth Scientific &amp; Industrial Research Organisation (CSIRO); Commonwealth Scientific &amp; Industrial Research Organisation (CSIRO); University of Tasmania</t>
  </si>
  <si>
    <t>Dowling, NA (corresponding author), CSIRO Oceans &amp; Atmosphere Flagship, Hobart, Tas 7001, Australia.</t>
  </si>
  <si>
    <t>natalie.dowling@csiro.au; cathy.dichmont@csiro.au; malcolm.haddon@csiro.au; david.c.smith@csiro.au; tony.d.smith@csiro.au; ksainsbury@netspace.net.au</t>
  </si>
  <si>
    <t>Haddon, Malcolm/0000-0001-6971-7585</t>
  </si>
  <si>
    <t>Australian Fisheries Management Authority; Food and Agriculture Organization of the United Nations [PR 45832]; CSIRO Wealth from Oceans</t>
  </si>
  <si>
    <t>Australian Fisheries Management Authority; Food and Agriculture Organization of the United Nations; CSIRO Wealth from Oceans</t>
  </si>
  <si>
    <t>We sincerely thank Alec MacCall and an anonymous reviewer, who provided invaluable feedback on an earlier version of the manuscript. Andre Punt is thanked for significant editorial assistance that led to a greatly improved manuscript. The Australian Fisheries Management Authority, and Gabriella Bianchi from FAO, also provided support. This work was funded by the Food and Agriculture Organization of the United Nations (PR 45832) and by CSIRO Wealth from Oceans.</t>
  </si>
  <si>
    <t>ELSEVIER SCIENCE BV</t>
  </si>
  <si>
    <t>PO BOX 211, 1000 AE AMSTERDAM, NETHERLANDS</t>
  </si>
  <si>
    <t>0165-7836</t>
  </si>
  <si>
    <t>1872-6763</t>
  </si>
  <si>
    <t>FISH RES</t>
  </si>
  <si>
    <t>Fish Res.</t>
  </si>
  <si>
    <t>SI</t>
  </si>
  <si>
    <t>10.1016/j.fishres.2014.09.013</t>
  </si>
  <si>
    <t>Fisheries</t>
  </si>
  <si>
    <t>CR3TZ</t>
  </si>
  <si>
    <t>WOS:000361257300014</t>
  </si>
  <si>
    <t>Empirical harvest strategies for data-poor fisheries: A review of the literature</t>
  </si>
  <si>
    <t>Data-poor fisheries; Data-poor harvest strategies; Empirical harvest strategies; Empirical decision rules; Harvest strategy framework; Literature review</t>
  </si>
  <si>
    <t>DATA-LIMITED FISHERIES; MARINE PROTECTED AREAS; FISHING EFFECTS SAFE; REFERENCE POINTS; SUSTAINABILITY ASSESSMENT; MANAGEMENT STRATEGIES; CONTROL RULES; ECOSYSTEM APPROACH; EVALUATING METHODS; CATCH LIMITS</t>
  </si>
  <si>
    <t>Harvest strategy approaches based around empirical indicators and/or control rules are beginning to be accepted in a growing range of data- and capacity-poor fisheries. While there is an increasing body of work around developing empirical indicators and control rules in data-poor contexts, this has typically been done on a case-specific basis. There remains a need for general guidance on formulating control rules that link empirical indicators with suitable management responses. Additionally, in the data-poor context, most literature has focused on empirical indicators and assessments, with less focus on decision rules and the incorporation of indicators and assessments in a harvest strategy framework. This review considers a range of harvest strategy options, focusing on empirical indicators and decision rules available for data-poor species and fisheries. These clearly illustrate that a paucity of information is not a reason to avoid developing harvest strategies, and that a range of pragmatic approaches are available regardless of the available data, life-history of the target species, nature of fishing operations, or the available research capacity. There is considerable scope for further work in this field, but arguably there is a comprehensive repository of approaches and decision rules that, when combined with the guidelines, form a solid foundation and toolkit for all but the most data-poor species and fisheries. Crown Copyright (C) 2014 Published by Elsevier B.V. All rights reserved.</t>
  </si>
  <si>
    <t>[Dowling, N. A.; Haddon, M.; Smith, D. C.; Smith, A. D. M.] CSIRO Oceans &amp; Atmosphere Flagship, Hobart, Tas 7001, Australia; [Dichmont, C. M.] CSIRO Oceans &amp; Atmosphere Flagship, Brisbane, Qld 4102, Australia; [Sainsbury, K.] Univ Tasmania, Inst Marine &amp; Antarctic Studies, Battery Point, Tas 7004, Australia</t>
  </si>
  <si>
    <t>Food and Agriculture Organization of the United Nations [PR 45832]; CSIRO Wealth from Oceans; Australian Fisheries Management Authority</t>
  </si>
  <si>
    <t>Food and Agriculture Organization of the United Nations; CSIRO Wealth from Oceans; Australian Fisheries Management Authority</t>
  </si>
  <si>
    <t>This work was funded by the Food and Agriculture Organization of the United Nations (PR 45832) and by CSIRO Wealth from Oceans. The Australian Fisheries Management Authority, and Gabriella Bianchi from FAO, are thanked for their support. We also thank two anonymous reviewers whose comments greatly improved the manuscript.</t>
  </si>
  <si>
    <t>10.1016/j.fishres.2014.11.005</t>
  </si>
  <si>
    <t>WOS:000361257300015</t>
  </si>
  <si>
    <t>Veit, H; Preusser, F; Trauerstein, M</t>
  </si>
  <si>
    <t>Veit, Heinz; Preusser, Frank; Trauerstein, Mareike</t>
  </si>
  <si>
    <t>The Southern Westerlies in Central Chile during the two last glacial cycles as documented by coastal aeolian sand deposits and intercalating palaeosols</t>
  </si>
  <si>
    <t>CATENA</t>
  </si>
  <si>
    <t>Quaternary; Southern Westerly Winds; Chile; Dunes; Paleosols; Luminescence dating</t>
  </si>
  <si>
    <t>CENTRAL ATACAMA DESERT; SALAR-DE-ATACAMA; NORTHERN CHILE; LATE PLEISTOCENE; HEMISPHERE WESTERLIES; CLIMATE VARIABILITY; BOLIVIAN ALTIPLANO; ATMOSPHERIC CO2; POLLEN RECORD; TAGUA-TAGUA</t>
  </si>
  <si>
    <t>Changes in the position and intensity of the Southern Westerly Winds (SWW) and related causal processes during the Quaternary are controversial and not well understood. Here, we present a record from continental Central Chile, based on coastal aeolian sand and dunes with intercalated palaeosols, reaching back 190 ka in time. Sixteen samples for luminescence dating and additional samples for geochemical procedures were analysed from three locations in the Norte Chico (La Serena, Los Vilos, Las Ventanas). Besides the recent Bw-horizons, four palaeosols (Btb1, Btb2, Btb3, Btb4) are identified. They formed in periods with stable surface conditions and a relatively dense vegetation cover, whereas sand accumulation reflects increased aeolian activity under dry conditions and, in parts, glacial sea level lowering. Three of these soils are well bracketed by luminescence data to &lt;14 ka (Bw), 59-47 ka (Btb4) and 135-125 ka (Btb2). The formation of Btb1 and Btb3 tentatively occurred at 190-160 ka and 107-95 ka. Btb-horizons are interpreted to reflect wetter conditions than modern ones (Bw-horizons). Since the only way to bring wetter conditions to the coastal area of the Norte Chico are the SWW, the documented changes should reflect changes in paleo atmospheric circulation. The more humid periods appear to show a periodicity, dominated by the obliquity cycle. Increased Antarctic sea-ice during austral winter combined with a weak South Pacific Anticyclone at subtropical latitudes, seem to have favoured winter incursions of humid air masses from the Westerlies. (C) 2014 Elsevier B.V. All rights reserved.</t>
  </si>
  <si>
    <t>[Veit, Heinz; Trauerstein, Mareike] Univ Bern, Inst Geog, CH-3012 Bern, Switzerland; [Preusser, Frank] Stockholm Univ, Dept Phys Geog &amp; Quaternary Geol, S-10691 Stockholm, Sweden</t>
  </si>
  <si>
    <t>University of Bern; Stockholm University</t>
  </si>
  <si>
    <t>Veit, H (corresponding author), Univ Bern, Inst Geog, Hallerstr 12, CH-3012 Bern, Switzerland.</t>
  </si>
  <si>
    <t>veit@giub.unibe.ch; frank.preusser@natgeo.su.se; mareike.trauerstein@giub.unibe.ch</t>
  </si>
  <si>
    <t>Preusser, Frank/0000-0002-5654-1346</t>
  </si>
  <si>
    <t>Geographical Institute of Bern</t>
  </si>
  <si>
    <t>Funding was provided by the Geographical Institute of Bern. Gamma spectrometric measurements were carried out by Sonke Szidat, Department of Chemistry &amp; Biochemistry, University of Bern, which is kindly acknowledged here. We thank Sally Lowick for her support with regard to carrying out the luminescence measurements at the Institute of Geological Sciences, University of Bern. Dylan Ward, Jason Rech and an unnamed reviewer helped to improve the paper considerably.</t>
  </si>
  <si>
    <t>0341-8162</t>
  </si>
  <si>
    <t>1872-6887</t>
  </si>
  <si>
    <t>Catena</t>
  </si>
  <si>
    <t>10.1016/j.catena.2014.11.002</t>
  </si>
  <si>
    <t>Geosciences, Multidisciplinary; Soil Science; Water Resources</t>
  </si>
  <si>
    <t>Geology; Agriculture; Water Resources</t>
  </si>
  <si>
    <t>CQ8OX</t>
  </si>
  <si>
    <t>WOS:000360869100004</t>
  </si>
  <si>
    <t>Dunlop, KM; Ruxton, GD; Scott, EM; Bailey, DM</t>
  </si>
  <si>
    <t>Dunlop, K. M.; Ruxton, G. D.; Scott, E. M.; Bailey, D. M.</t>
  </si>
  <si>
    <t>Absolute abundance estimates from shallow water baited underwater camera surveys; a stochastic modelling approach tested against field data</t>
  </si>
  <si>
    <t>JOURNAL OF EXPERIMENTAL MARINE BIOLOGY AND ECOLOGY</t>
  </si>
  <si>
    <t>Baited underwater cameras; Modelling; Fish and invertebrate surveys; Underwater visual census</t>
  </si>
  <si>
    <t>SEA DEMERSAL FISHES; DEEP-SEA; NORTHEAST ATLANTIC; VIDEO STATIONS; GRENADIER FISH; TIDAL CURRENTS; IN-SITU; BEHAVIOR; ASSEMBLAGES; PERFORMANCE</t>
  </si>
  <si>
    <t>Baited underwater cameras are becoming a popular tool to monitor fish and invertebrate populations within protected and inshore environments where trawl surveys are unsuitable. Modelling the arrival times of deep-sea grenadiers using an inverse square relationship has enabled abundance estimates, comparable to those from bottom trawl surveys, to be gathered from deep-sea baited camera surveys. Baited underwater camera systems in the shallow water environments are however, currently limited to relative comparisons of assemblages based on simple metrics such as Max(N) (maximum number of fish seen at any one time). This study describes a stochastic simulation approach used to model the behaviour of fish and invertebrates around a BUC system to enable absolute abundance estimates to be generated from arrival patterns. Species-specific models were developed for the tropical reef fishes the black tip grouper (Epinephelus fasciatus) and moray eel (Gymnothorax spp.) and the Antarctic scavengers: the asteroid (Odontaster yalidus) and the nemertean worm (Parbolasia corrugatus). A sensitivity analysis explored the impact of input parameters on the arrival patterns (MaxN, time to the arrival of the first individual and the time to reach MaxN) for each species generated by the model. Sensitivity analysis showed a particularly strong link between MaxN and abundance indicating that this model could be used to generate absolute abundances from existing or future MaxN data. It in effect allows the slope of the MaxN vs. abundance relationship to be estimated. Arrival patterns generated by each model were used to estimate population abundance for the focal species and these estimates were compared to data from underwater visual census transects. Using a Bland-Altman analysis, baited underwater camera data processed using this model were shown to generate absolute abundance estimates that were comparable to underwater visual census data. (C) 2015 Elsevier B.V. All rights reserved.</t>
  </si>
  <si>
    <t>[Dunlop, K. M.; Bailey, D. M.] Univ Glasgow, Inst Biodivers Anim Hlth &amp; Comparat Med, Glasgow G12 8QQ, Lanark, Scotland; [Ruxton, G. D.] Univ St Andrews, Sch Biol, St Andrews KY16 9TH, Fife, Scotland; [Scott, E. M.] Univ Glasgow, Sch Math &amp; Stat, Glasgow G12 8QQ, Lanark, Scotland</t>
  </si>
  <si>
    <t>University of Glasgow; University of St Andrews; University of Glasgow</t>
  </si>
  <si>
    <t>Dunlop, KM (corresponding author), Monterey Bay Aquarium Res Inst, 7700 Sandholdt Rd, Moss Landing, CA 95039 USA.</t>
  </si>
  <si>
    <t>kdunlop@mbari.org</t>
  </si>
  <si>
    <t>Bailey, David/A-6240-2008</t>
  </si>
  <si>
    <t>Bailey, David/0000-0002-0824-8823; Dunlop, Katherine/0000-0002-2397-1841; Ruxton, Graeme/0000-0001-8943-6609</t>
  </si>
  <si>
    <t>University of Glasgow Faculty Scholarship; Natural Environmental Research Council; British Antarctic Survey [CGS-77]; ASSEMBLE infrastructure access grant; Division Of Mathematical Sciences; Direct For Mathematical &amp; Physical Scien [1107046] Funding Source: National Science Foundation</t>
  </si>
  <si>
    <t>University of Glasgow Faculty Scholarship; Natural Environmental Research Council(UK Research &amp; Innovation (UKRI)Natural Environment Research Council (NERC)); British Antarctic Survey; ASSEMBLE infrastructure access grant; Division Of Mathematical Sciences; Direct For Mathematical &amp; Physical Scien(National Science Foundation (NSF)NSF - Directorate for Mathematical &amp; Physical Sciences (MPS))</t>
  </si>
  <si>
    <t>This research was supported by a University of Glasgow Faculty Scholarship to KMD, a Collaborative Gearing Scheme grant from the Natural Environmental Research Council and the British Antarctic Survey (CGS-77) and an ASSEMBLE infrastructure access grant to DMB. The authors would like to thank the staff of the Inter-University Institute of Marine Sciences (IUI), Eilat, in particular Asaph Rivlin, Oded Ben-Shaprut and Simon Berkowitz, and the diving and boating teams at Rothera Research Station, Western Antarctic Peninsula, in particular Dr David Barnes and Ashley Cordingley. Permits were received from the Israel Nature and Parks Agency and the authors thank both organisations for allowing us to conduct this work. [ST]</t>
  </si>
  <si>
    <t>0022-0981</t>
  </si>
  <si>
    <t>1879-1697</t>
  </si>
  <si>
    <t>J EXP MAR BIOL ECOL</t>
  </si>
  <si>
    <t>J. Exp. Mar. Biol. Ecol.</t>
  </si>
  <si>
    <t>10.1016/j.jembe.2015.07.010</t>
  </si>
  <si>
    <t>Ecology; Marine &amp; Freshwater Biology</t>
  </si>
  <si>
    <t>Environmental Sciences &amp; Ecology; Marine &amp; Freshwater Biology</t>
  </si>
  <si>
    <t>CQ8RB</t>
  </si>
  <si>
    <t>WOS:000360875000014</t>
  </si>
  <si>
    <t>Gramling, C</t>
  </si>
  <si>
    <t>Gramling, Carolyn</t>
  </si>
  <si>
    <t>POLAR SCIENCE Mysterious Antarctic lake will remain out of reach</t>
  </si>
  <si>
    <t>SCIENCE</t>
  </si>
  <si>
    <t>News Item</t>
  </si>
  <si>
    <t>0036-8075</t>
  </si>
  <si>
    <t>1095-9203</t>
  </si>
  <si>
    <t>Science</t>
  </si>
  <si>
    <t>OCT 30</t>
  </si>
  <si>
    <t>10.1126/science.350.6260.494</t>
  </si>
  <si>
    <t>CU6RG</t>
  </si>
  <si>
    <t>WOS:000363660000013</t>
  </si>
  <si>
    <t>Toffoli, A; Bennetts, LG; Meylan, MH; Cavaliere, C; Alberello, A; Elsnab, J; Monty, JP</t>
  </si>
  <si>
    <t>Toffoli, A.; Bennetts, L. G.; Meylan, M. H.; Cavaliere, C.; Alberello, A.; Elsnab, J.; Monty, J. P.</t>
  </si>
  <si>
    <t>Sea ice floes dissipate the energy of steep ocean waves</t>
  </si>
  <si>
    <t>GEOPHYSICAL RESEARCH LETTERS</t>
  </si>
  <si>
    <t>ocean waves; sea ice</t>
  </si>
  <si>
    <t>IN-SITU MEASUREMENTS; ATTENUATION; DRIFT; TRANSECTS; HEIGHTS; SWELL; ZONE</t>
  </si>
  <si>
    <t>A laboratory experimental model of an incident ocean wave interacting with an ice floe is used to validate the canonical, solitary floe version of contemporary theoretical models of wave attenuation in the ice-covered ocean. Amplitudes of waves transmitted by the floe are presented as functions of incident wave steepness for different incident wavelengths. The model is shown to predict the transmitted amplitudes accurately for low incident steepness but to overpredict the amplitudes by an increasing amount, as the incident wave becomes steeper. The proportion of incident wave energy dissipated by the floe in the experiments is shown to correlate with the agreement between the theoretical model and the experimental data, thus implying that wave-floe interactions increasingly dissipate wave energy as the incident wave becomes steeper.</t>
  </si>
  <si>
    <t>[Toffoli, A.; Alberello, A.] Swinburne Univ Technol, Ctr Ocean Engn Sci &amp; Technol, Hawthorn, Vic 3122, Australia; [Bennetts, L. G.] Univ Adelaide, Sch Math Sci, Adelaide, SA, Australia; [Meylan, M. H.; Cavaliere, C.] Univ Newcastle, Sch Math &amp; Phys Sci, Callaghan, NSW 2308, Australia; [Elsnab, J.; Monty, J. P.] Univ Melbourne, Dept Mech Engn, Melbourne, Vic, Australia</t>
  </si>
  <si>
    <t>Swinburne University of Technology; University of Adelaide; University of Newcastle; University of Melbourne; Melbourne Bioinformatics</t>
  </si>
  <si>
    <t>Toffoli, A (corresponding author), Swinburne Univ Technol, Ctr Ocean Engn Sci &amp; Technol, Hawthorn, Vic 3122, Australia.</t>
  </si>
  <si>
    <t>toffoli.alessandro@gmail.com</t>
  </si>
  <si>
    <t>Meylan, Michael/A-7341-2010; Bennetts, Luke/N-1448-2019</t>
  </si>
  <si>
    <t>Meylan, Michael/0000-0002-3164-1367; Bennetts, Luke/0000-0001-9386-7882; MONTY, JASON/0000-0003-4433-2640; Toffoli, Alessandro/0000-0003-3112-6856; Alberello, Alberto/0000-0001-7957-4012; ELSNAB, JOHN/0000-0002-2150-0501</t>
  </si>
  <si>
    <t>Australian Research Council [DE130101571, FT120100409]; Australian Antarctic Science Program [4123]; U.S. Office of Naval Research [N00014-13-1-0290]; Australian Research Council [FT120100409] Funding Source: Australian Research Council</t>
  </si>
  <si>
    <t>Australian Research Council(Australian Research Council); Australian Antarctic Science Program; U.S. Office of Naval Research(Office of Naval Research); Australian Research Council(Australian Research Council)</t>
  </si>
  <si>
    <t>The Universities of Melbourne and Newcastle funded the experiments. The Australian Research Council funds an early-career fellowship for L.G.B. (DE130101571) and a midcareer fellowship for J.P.M. (FT120100409). The Australian Antarctic Science Program provides support for L.G.B. (project 4123). M.H.M. acknowledges support from the U.S. Office of Naval Research (project N00014-13-1-0290). The experimental data used for this study may be obtained from the corresponding author (email: toffoli.alessandro@gmail.com).</t>
  </si>
  <si>
    <t>0094-8276</t>
  </si>
  <si>
    <t>1944-8007</t>
  </si>
  <si>
    <t>GEOPHYS RES LETT</t>
  </si>
  <si>
    <t>Geophys. Res. Lett.</t>
  </si>
  <si>
    <t>OCT 28</t>
  </si>
  <si>
    <t>10.1002/2015GL065937</t>
  </si>
  <si>
    <t>CW1WL</t>
  </si>
  <si>
    <t>hybrid, Green Published, Green Submitted</t>
  </si>
  <si>
    <t>WOS:000364782500036</t>
  </si>
  <si>
    <t>Weimerskirch, H; Tarroux, A; Chastel, O; Delord, K; Cherel, Y; Descamps, S</t>
  </si>
  <si>
    <t>Weimerskirch, H.; Tarroux, A.; Chastel, O.; Delord, K.; Cherel, Y.; Descamps, S.</t>
  </si>
  <si>
    <t>Population-specific wintering distributions of adult south polar skuas over three oceans</t>
  </si>
  <si>
    <t>MARINE ECOLOGY PROGRESS SERIES</t>
  </si>
  <si>
    <t>Catharacta maccormicki; Geolocators; Migration; Population-specific strategies; Stable isotopes</t>
  </si>
  <si>
    <t>FUKUSHIMA-DERIVED RADIONUCLIDES; SHEARWATERS PUFFINUS-GRISEUS; TRANS-EQUATORIAL MIGRATION; TERNS STERNA-PARADISAEA; ACTIVITY PATTERNS; PACIFIC-OCEAN; SEABIRDS; TRACKING; MOVEMENTS; ISOTOPES</t>
  </si>
  <si>
    <t>Migratory routes and the areas used during winter have probably been selected to maximize fitness by providing favorable environmental conditions outside the breeding season. In polar environments, because of the extreme winter weather, most breeding species migrate to encounter better conditions in areas that can differ between and also within species. Using geo location sensors, we found that south polar skuas Catharacta maccormicki from 2 distant populations breeding on the Antarctic continent along the Atlantic and Indian Oceans migrate northward to winter in tropical Indian Ocean and in temperate North Pacific waters, respectively. Most individuals from each population winter in different environmental conditions, with water temperatures ranging from 16 to 29 degrees C. Nevertheless, they have very similar activity patterns, spending more than 80% of their time on the water, and their feather delta N-15 values suggest that they probably feed at similar trophic levels during the molt. During overwintering, the overall and constant low activity level may be partly imposed by molting constraints, but it also suggests that trophic conditions are good for skuas. The wintering areas of the species correspond to sectors of high concentrations of breeding or wintering tropical, Northern, and Southern Hemisphere seabird species that are likely to be kleptoparasitized by skuas. A certain degree of individual variation exists within each population, which induces a spatial overlap in the wintering grounds of distant breeding populations. These results have potential important consequences in terms of fitness, genetic divergence, and susceptibility to climate change and marine pollution.</t>
  </si>
  <si>
    <t>[Weimerskirch, H.; Chastel, O.; Delord, K.; Cherel, Y.] Univ La Rochelle, Ctr Etud Biol Chize, UMR CNRS 7372, F-79360 Villiers En Bois, France; [Tarroux, A.; Descamps, S.] Norwegian Polar Res Inst, Fram Ctr, N-9296 Tromso, Norway</t>
  </si>
  <si>
    <t>La Rochelle Universite; Norwegian Polar Institute</t>
  </si>
  <si>
    <t>Weimerskirch, H (corresponding author), Univ La Rochelle, Ctr Etud Biol Chize, UMR CNRS 7372, F-79360 Villiers En Bois, France.</t>
  </si>
  <si>
    <t>henri.weimerskirch@cebc.cnrs.fr</t>
  </si>
  <si>
    <t>Weimerskirch, Henri/K-7306-2019; Tarroux, Arnaud/AAE-5173-2021; Weimerskirch, Henri/F-5562-2013</t>
  </si>
  <si>
    <t>Weimerskirch, Henri/0000-0002-0457-586X; Tarroux, Arnaud/0000-0001-8306-6694;</t>
  </si>
  <si>
    <t>IPEV [109]; Prince Albert II de Monaco Foundation; ANR Polar Top Program; Norwegian Research Council (Norwegian Antarctic Research Expedition program)</t>
  </si>
  <si>
    <t>IPEV; Prince Albert II de Monaco Foundation; ANR Polar Top Program(Agence Nationale de la Recherche (ANR)); Norwegian Research Council (Norwegian Antarctic Research Expedition program)</t>
  </si>
  <si>
    <t>We thank the many field workers in volved in the field studies in Terre Adelie and Svar thamaren, in particular R.A Philipps, T. Nordstad, S. Haaland, E. Soininen, J. Sward, and G. Mabille. We also thank M. Brault-Favrou for the preparation of feather samples and G. Guillou for running stable isotope analysis. The Ethics Committee of IPEV and Comite Environnement Polaire approved the field procedures for Terre Adelie. The Norwegian Animal Research Authority (NARA/FDU) approved the work on SPS at Svarthamaren. The study at Terre Adelie was supported by IPEV (program no. 109), with additional funding from the Prince Albert II de Monaco Foundation and The ANR Polar Top Program. The study at Svartha-maren was funded by the Norwegian Research Council (Norwegian Antarctic Research Expedition program). We thank 3 anonymous referees for extensive comments on an earlier version of the manuscript.</t>
  </si>
  <si>
    <t>INTER-RESEARCH</t>
  </si>
  <si>
    <t>OLDENDORF LUHE</t>
  </si>
  <si>
    <t>NORDBUNTE 23, D-21385 OLDENDORF LUHE, GERMANY</t>
  </si>
  <si>
    <t>0171-8630</t>
  </si>
  <si>
    <t>1616-1599</t>
  </si>
  <si>
    <t>MAR ECOL PROG SER</t>
  </si>
  <si>
    <t>Mar. Ecol.-Prog. Ser.</t>
  </si>
  <si>
    <t>10.3354/meps11465</t>
  </si>
  <si>
    <t>Ecology; Marine &amp; Freshwater Biology; Oceanography</t>
  </si>
  <si>
    <t>Environmental Sciences &amp; Ecology; Marine &amp; Freshwater Biology; Oceanography</t>
  </si>
  <si>
    <t>CV2MI</t>
  </si>
  <si>
    <t>WOS:000364090400018</t>
  </si>
  <si>
    <t>Lowther, AD; Ahonen, H; Hofmeyr, G; Oosthuizen, WC; De Bruyn, PJN; Lydersen, C; Kovacs, KM</t>
  </si>
  <si>
    <t>Lowther, Andrew D.; Ahonen, Heidi; Hofmeyr, Greg; Oosthuizen, W. Chris; De Bruyn, P. J. Nico; Lydersen, Christian; Kovacs, Kit M.</t>
  </si>
  <si>
    <t>Reliability of VHF telemetry data for measuring attendance patterns of marine predators: a comparison with time depth recorder data</t>
  </si>
  <si>
    <t>Otariid; Ecosystem monitoring; CCAMLR; Telemetry; Diving; Attendance patterns</t>
  </si>
  <si>
    <t>ANTARCTIC FUR SEALS; BEHAVIOR</t>
  </si>
  <si>
    <t>Very high frequency (VHF) radiotelemetry data has been used for over 30 yr to monitor the behavior patterns of otariid seals. These data have been used in a wide variety of ways, from characterizing the reproductive and foraging ecology of these species to inferring ecosystem changes based on variation in attendance patterns. Yet the accuracy of VHF data has never been appropriately evaluated. Our study compares VHF data collected on 16 lactating Antarctic fur seals to assess onshore attendance with concurrently collected time depth recorder (TDR) data used as the 'true' measurement of time spent onshore. Within the retrieved datasets, 25% of the VHF data could not be interpreted with any reliability. Additionally, there were significant differences in the number and duration of attendance bouts between the 2 instrument types, with VHF data overestimating attendance bout duration by approximately 8.9 h on average. Importantly, the magnitude and direction of errors between VHF and TDR measurements were not systematic, suggesting that VHF data is an inappropriate method for collecting attendance data. Modelling the raw VHF data in a state-space framework elicited mean attendance durations that were indistinguishable from TDR-derived measurements, suggesting this approach may provide a means to re-examine historic VHF data. Moreover, given the evolution of electronic tags in terms of sophistication, miniaturization, longevity and decreasing cost over the last 30 yr, TDRs are a more appropriate means of collecting attendance data on centrally foraging marine mammals such as otariids.</t>
  </si>
  <si>
    <t>[Lowther, Andrew D.; Ahonen, Heidi; Lydersen, Christian; Kovacs, Kit M.] Norwegian Polar Res Inst, Fram Ctr, N-9296 Tromso, Norway; [Hofmeyr, Greg] Port Elizabeth Museum Bayworld, ZA-6013 Port Elizabeth, South Africa; [Hofmeyr, Greg] Nelson Mandela Metropolitan Univ, Dept Zool, ZA-6031 Port Elizabeth, South Africa; [Oosthuizen, W. Chris; De Bruyn, P. J. Nico] Univ Pretoria, Mammal Res Inst, Dept Zool &amp; Entomol, ZA-0028 Pretoria, South Africa</t>
  </si>
  <si>
    <t>Norwegian Polar Institute; Nelson Mandela University; University of Pretoria</t>
  </si>
  <si>
    <t>Lowther, AD (corresponding author), Norwegian Polar Res Inst, Fram Ctr, N-9296 Tromso, Norway.</t>
  </si>
  <si>
    <t>andrew.lowther@npolar.no</t>
  </si>
  <si>
    <t>Lowther, Andrew/T-2511-2019; de Bruyn, P. J. Nico/E-4176-2010; Oosthuizen, W. Chris/I-2947-2016; Hofmeyr, G. J. Greg/AAV-3286-2020</t>
  </si>
  <si>
    <t>Lowther, Andrew/0000-0003-4294-3157; de Bruyn, P. J. Nico/0000-0002-9114-9569; Oosthuizen, W. Chris/0000-0003-2905-6297; Hofmeyr, G. J. Greg/0000-0003-0283-6058</t>
  </si>
  <si>
    <t>Norwegian Antarctic Research Expedition (NARE) program - Norwegian Research Council</t>
  </si>
  <si>
    <t>This study was funded by the Norwegian Antarctic Research Expedition (NARE) program awarded by the Norwegian Research Council. We thank the South African National Antarctic Program (SANAP) for providing logistical support in reaching Bouvet. We thank Rudi Menkveld for his help in the field and culinary support. Finally, we thank the 3 anonymous reviewers whose incorporated suggestions improved the manuscript.</t>
  </si>
  <si>
    <t>10.3354/meps11504</t>
  </si>
  <si>
    <t>Green Submitted, Bronze</t>
  </si>
  <si>
    <t>WOS:000364090400020</t>
  </si>
  <si>
    <t>Ali, F; Wharton, DA</t>
  </si>
  <si>
    <t>Ali, Farman; Wharton, David A.</t>
  </si>
  <si>
    <t>Infective Juveniles of the Entomopathogenic Nematode, Steinernema feltiae Produce Cryoprotectants in Response to Freezing and Cold Acclimation</t>
  </si>
  <si>
    <t>PLOS ONE</t>
  </si>
  <si>
    <t>PANAGROLAIMUS-DAVIDI; ANTARCTIC-NEMATODE; CAENORHABDITIS-ELEGANS; TREHALOSE ACCUMULATION; OSMOTIC DEHYDRATION; WATER-LOSS; TOLERANCE; METABOLISM; SURVIVAL; DESICCATION</t>
  </si>
  <si>
    <t>Steinernema feltiae is a moderately freeze-tolerant entomopathogenic nematode which survives intracellular freezing. We have detected by gas chromatography that infective juveniles of S. feltiae produce cryoprotectants in response to cold acclimation and to freezing. Since the survival of this nematode varies with temperature, we analyzed their cryoprotectant profiles under different acclimation and freezing regimes. The principal cryoprotectants detected were trehalose and glycerol with glucose being the minor component. The amount of cryoprotectants varied with the temperature and duration of exposure. Trehalose was accumulated in higher concentrations when nematodes were acclimated at 5 degrees C for two weeks whereas glycerol level decreased from that of the non-acclimated controls. Nematodes were seeded with a small ice crystal and held at -1 degrees C, a regime that does not produce freezing of the nematodes but their bodies lose water to the surrounding ice (cryoprotective dehydration). This increased the levels of both trehalose and glycerol, with glycerol reaching a higher concentration than trehalose. Nematodes frozen at -3 degrees C, a regime that produces freezing of the nematodes and results in intracellular ice formation, had elevated glycerol levels while trehalose levels did not change. Steinernema feltiae thus has two strategies of cryoprotectant accumulation: one is an acclimation response to low temperature when the body fluids are in a cooled or supercooled state and the infective juveniles produce trehalose before freezing. During this process a portion of the glycerol is converted to trehalose. The second strategy is a rapid response to freezing which induces the production of glycerol but trehalose levels do not change. These low molecular weight compounds are surmised to act as cryoprotectants for this species and to play an important role in its freezing tolerance.</t>
  </si>
  <si>
    <t>[Ali, Farman; Wharton, David A.] Univ Otago, Dept Zool, Dunedin, New Zealand</t>
  </si>
  <si>
    <t>University of Otago</t>
  </si>
  <si>
    <t>Ali, F (corresponding author), Abdul Wali Khan Univ Mardan, Dept Agr, Mardan, Pakistan.</t>
  </si>
  <si>
    <t>drfarman@gmail.com</t>
  </si>
  <si>
    <t>Ali, Farman/GVT-3127-2022</t>
  </si>
  <si>
    <t>Wharton, David/0000-0001-6369-4984</t>
  </si>
  <si>
    <t>Postgraduate Otago University Scholarship</t>
  </si>
  <si>
    <t>The Lead author acknowledges the support of Postgraduate Otago University Scholarship. The funder had no role in study design, data collection and analysis, decision to publish, or preparation of the manuscript.</t>
  </si>
  <si>
    <t>PUBLIC LIBRARY SCIENCE</t>
  </si>
  <si>
    <t>SAN FRANCISCO</t>
  </si>
  <si>
    <t>1160 BATTERY STREET, STE 100, SAN FRANCISCO, CA 94111 USA</t>
  </si>
  <si>
    <t>1932-6203</t>
  </si>
  <si>
    <t>PLoS One</t>
  </si>
  <si>
    <t>e0141810</t>
  </si>
  <si>
    <t>10.1371/journal.pone.0141810</t>
  </si>
  <si>
    <t>CV0DL</t>
  </si>
  <si>
    <t>Green Published, gold, Green Submitted</t>
  </si>
  <si>
    <t>WOS:000363918100135</t>
  </si>
  <si>
    <t>Bougamont, M; Christoffersen, P; Price, SF; Fricker, HA; Tulaczyk, S; Carter, SP</t>
  </si>
  <si>
    <t>Bougamont, M.; Christoffersen, P.; Price, S. F.; Fricker, H. A.; Tulaczyk, S.; Carter, S. P.</t>
  </si>
  <si>
    <t>Reactivation of Kamb Ice Stream tributaries triggers century-scale reorganization of Siple Coast ice flow in West Antarctica</t>
  </si>
  <si>
    <t>ice flow modeling; basal processes; subglacial hydrology; West Antarctic ice sheet; mass balance; thermodynamics</t>
  </si>
  <si>
    <t>SUBGLACIAL LAKE WHILLANS; GROUNDING-LINE; SHEET DYNAMICS; STAGNATION; BENEATH; RADAR; ROSS; VARIABILITY; BALANCE; MARGIN</t>
  </si>
  <si>
    <t>Ongoing, centennial-scale flow variability within the Ross ice streams of West Antarctica suggests that the present-day positive mass balance in this region may reverse in the future. Here we use a three-dimensional ice sheet model to simulate ice flow in this region over 250years. The flow responds to changing basal properties, as a subglacial till layer interacts with water transported in an active subglacial hydrological system. We show that a persistent weak bed beneath the tributaries of the dormant Kamb Ice Stream is a source of internal ice flow instability, which reorganizes all ice streams in this region, leading to a reduced (positive) mass balance within decades and a net loss of ice within two centuries. This hitherto unaccounted for flow variability could raise sea level by 5mm this century. Better constraints on future sea level change from this region will require improved estimates of geothermal heat flux and subglacial water transport.</t>
  </si>
  <si>
    <t>[Bougamont, M.; Christoffersen, P.] Univ Cambridge, Scott Polar Res Inst, Cambridge CB2 1ER, England; [Price, S. F.] Los Alamos Natl Lab, Fluid Dynam &amp; Solid Mech Grp, Los Alamos, NM USA; [Fricker, H. A.; Carter, S. P.] Univ Calif San Diego, Scripps Inst Oceanog, La Jolla, CA 92093 USA; [Tulaczyk, S.] Univ Calif Santa Cruz, Dept Earth &amp; Planetary Sci, Santa Cruz, CA 95064 USA</t>
  </si>
  <si>
    <t>University of Cambridge; United States Department of Energy (DOE); Los Alamos National Laboratory; University of California System; University of California San Diego; Scripps Institution of Oceanography; University of California System; University of California Santa Cruz</t>
  </si>
  <si>
    <t>Bougamont, M (corresponding author), Univ Cambridge, Scott Polar Res Inst, Cambridge CB2 1ER, England.</t>
  </si>
  <si>
    <t>mb627@cam.ac.uk</t>
  </si>
  <si>
    <t>Christoffersen, Poul/W-3708-2019; Tulaczyk, Slawek/O-7375-2018; Price, Stephen/E-1568-2013</t>
  </si>
  <si>
    <t>Christoffersen, Poul/0000-0003-2643-8724; Tulaczyk, Slawek/0000-0002-9711-4332; Bougamont, Marion Heidi/0000-0001-7196-4171; Fricker, Helen Amanda/0000-0002-0921-1432; Price, Stephen/0000-0001-6878-2553</t>
  </si>
  <si>
    <t>Isaac Newton trust; Cecil H., and Ida M. Green Foundation; Natural Environment Research Council [NE/E005950/1, NE/J005800/1]; U.S. Department of Energy Office of Science, Biological and Environmental Research program; National Science Foundation [0338295, ANT-0838885 (Fricker)]; Cryospheric Sciences program of NASA; NERC [NE/J005800/1, NE/J005754/1, NE/E005950/1] Funding Source: UKRI; Natural Environment Research Council [NE/J005800/1, NE/E005950/1, NE/J005754/1] Funding Source: researchfish</t>
  </si>
  <si>
    <t>Isaac Newton trust; Cecil H., and Ida M. Green Foundation; Natural Environment Research Council(UK Research &amp; Innovation (UKRI)Natural Environment Research Council (NERC)); U.S. Department of Energy Office of Science, Biological and Environmental Research program(United States Department of Energy (DOE)); National Science Foundation(National Science Foundation (NSF)); Cryospheric Sciences program of NASA; NERC(UK Research &amp; Innovation (UKRI)Natural Environment Research Council (NERC)); Natural Environment Research Council(UK Research &amp; Innovation (UKRI)Natural Environment Research Council (NERC))</t>
  </si>
  <si>
    <t>This work was carried out with support from the Isaac Newton trust, Cecil H., and Ida M. Green Foundation and Natural Environment Research Council (grants NE/E005950/1 and NE/J005800/1). S.F.P. was supported by the U.S. Department of Energy Office of Science, Biological and Environmental Research program. S.T. acknowledges support from National Science Foundation (grant #0338295). S.P.C. was supported by funding from the Cryospheric Sciences program of NASA, and H.A.F. was supported by funding from NSF (grant ANT-0838885 (Fricker)). The source code for the results presented can be obtained by contacting the corresponding author directly.</t>
  </si>
  <si>
    <t>10.1002/2015GL065782</t>
  </si>
  <si>
    <t>Green Published, Bronze, Green Submitted</t>
  </si>
  <si>
    <t>WOS:000364782500027</t>
  </si>
  <si>
    <t>Vollmer, MK; Rigby, M; Laube, JC; Henne, S; Rhee, TS; Gooch, LJ; Wenger, A; Young, D; Steele, LP; Langenfelds, RL; Brenninkmeijer, CAM; Wang, JL; Ou-Yang, CF; Wyss, SA; Hill, M; Oram, DE; Krummel, PB; Schoenenberger, F; Zellweger, C; Fraser, PJ; Sturges, WT; O'Doherty, S; Reimann, S</t>
  </si>
  <si>
    <t>Vollmer, Martin K.; Rigby, Matt; Laube, Johannes C.; Henne, Stephan; Rhee, Tae Siek; Gooch, Lauren J.; Wenger, Angelina; Young, Dickon; Steele, L. Paul; Langenfelds, Ray L.; Brenninkmeijer, Carl A. M.; Wang, Jia-Lin; Ou-Yang, Chang-Feng; Wyss, Simon A.; Hill, Matthias; Oram, David E.; Krummel, Paul B.; Schoenenberger, Fabian; Zellweger, Christoph; Fraser, Paul J.; Sturges, William T.; O'Doherty, Simon; Reimann, Stefan</t>
  </si>
  <si>
    <t>Abrupt reversal in emissions and atmospheric abundance of HCFC-133a (CF3CH2Cl)</t>
  </si>
  <si>
    <t>INFRARED-ABSORPTION SPECTRA; GLOBAL EMISSIONS; 1ST OBSERVATIONS; IN-SITU; TRENDS; HALOCARBONS; OZONE</t>
  </si>
  <si>
    <t>Hydrochlorofluorocarbon HCFC-133a (CF3CH2Cl) is an anthropogenic compound whose consumption for emissive use is restricted under the Montreal Protocol. A recent study showed rapidly increasing atmospheric abundances and emissions. We report that, following this rise, the atmospheric abundance and emissions have declined sharply in the past three years. We find a Northern Hemisphere HCFC-133a increase from 0.13 ppt (dry-air mole fraction in parts per trillion) in 2000 to 0.50ppt in 2012-mid-2013 followed by an abrupt drop to similar to 0.44 ppt by early 2015. Global emissions derived from these observations peaked at 3.1kt in 2011, followed by a rapid decline of similar to 0.5 ktyr(-2) to reach 1.5 ktyr(-1) in 2014. Sporadic HCFC-133a pollution events are detected in Europe from our high-resolution HCFC-133a records at three European stations, and in Asia from samples collected in Taiwan. European emissions are estimated to be &lt;0.1 ktyr(-1) although emission hot spots were identified in France.</t>
  </si>
  <si>
    <t>[Vollmer, Martin K.; Henne, Stephan; Wyss, Simon A.; Hill, Matthias; Schoenenberger, Fabian; Zellweger, Christoph; Reimann, Stefan] Swiss Fed Labs Mat Sci &amp; Technol, Lab Air Pollut &amp; Environm Technol, Empa, Dubendorf, Switzerland; [Rigby, Matt; Wenger, Angelina; Young, Dickon; O'Doherty, Simon] Univ Bristol, Sch Chem, Bristol, Avon, England; [Laube, Johannes C.; Gooch, Lauren J.; Oram, David E.; Sturges, William T.] Univ E Anglia, Sch Environm Sci, Ctr Ocean &amp; Atmospher Sci, Norwich NR4 7TJ, Norfolk, England; [Rhee, Tae Siek] KIOST, Korea Polar Res Inst, Inchon, South Korea; [Steele, L. Paul; Langenfelds, Ray L.; Krummel, Paul B.; Fraser, Paul J.] CSIRO Oceans &amp; Atmosphere, Aspendale, Vic, Australia; [Brenninkmeijer, Carl A. M.] Max Planck Inst Chem, Air Chem Div, D-55128 Mainz, Germany; [Wang, Jia-Lin] Natl Cent Univ, Dept Chem, Zhongli, Taiwan; [Ou-Yang, Chang-Feng] Natl Cent Univ, Dept Atmospher Sci, Zhongli, Taiwan</t>
  </si>
  <si>
    <t>Swiss Federal Institutes of Technology Domain; Swiss Federal Laboratories for Materials Science &amp; Technology (EMPA); University of Bristol; University of East Anglia; Korea Polar Research Institute (KOPRI); Korea Institute of Ocean Science &amp; Technology (KIOST); Commonwealth Scientific &amp; Industrial Research Organisation (CSIRO); Max Planck Society; National Central University; National Central University</t>
  </si>
  <si>
    <t>Vollmer, MK (corresponding author), Swiss Fed Labs Mat Sci &amp; Technol, Lab Air Pollut &amp; Environm Technol, Empa, Dubendorf, Switzerland.</t>
  </si>
  <si>
    <t>martin.vollmer@empa.ch</t>
  </si>
  <si>
    <t>Fraser, Paul J. B./D-1755-2012; Laube, Johannes C/P-6772-2017; Ou-Yang, Chang-Feng/R-2271-2016; Krummel, Paul B/A-4293-2013; Young, Dickon/AFO-7065-2022; Steele, Paul/B-3185-2009; Henne, Stephan/A-3467-2009; Brenninkmeijer, Carl/B-6860-2013; Reimann, Stefan/A-2327-2009; Rigby, Matthew/A-5555-2012; Langenfelds, Ray/B-5381-2012</t>
  </si>
  <si>
    <t>Krummel, Paul B/0000-0002-4884-3678; Young, Dickon/0000-0002-6723-3138; Reimann, Stefan/0000-0002-9885-7138; Rigby, Matthew/0000-0002-2020-9253; Zellweger, Christoph/0000-0002-0519-0689; Langenfelds, Ray/0000-0003-4890-2049</t>
  </si>
  <si>
    <t>Swiss Federal Office for the Environment (FOEN) within the project HALCLIM; International Foundation High Altitude Research Stations Jungfraujoch and Gornergrat (HFSJG); Department of Energy and Climate Change (DECC, UK) [GA0201]; Australian Bureau of Meteorology; CSIRO; Swiss State Secretariat for Education and Research and Innovation (SERI); National Research Foundation of Korea for the Korean-Swiss Science and Technology Cooperation Program; UK NERC [NE/J016012]; National Centre for Atmospheric Science (NCAS); Taiwan Ministry of Science and Technology; UK Natural Environment Research Council (NERC) [NE/1021365/1, NE/1021918/1]; Korean Polar Research Programs [PE13410, PP15101]; Award NERC IOF [NE/J016012/1]; NERC Studentship; Natural Environment Research Council [1210143, NE/I021918/1, NE/J016012/1, ncas10006, NE/I021365/1, NE/F021194/1, NER/T/S/2000/01040, NE/L013088/1] Funding Source: researchfish; NERC [NE/F021194/1, NE/L013088/1, NE/J016012/1, ncas10006, NE/I021918/1, NE/I021365/1] Funding Source: UKRI</t>
  </si>
  <si>
    <t>Swiss Federal Office for the Environment (FOEN) within the project HALCLIM; International Foundation High Altitude Research Stations Jungfraujoch and Gornergrat (HFSJG); Department of Energy and Climate Change (DECC, UK); Australian Bureau of Meteorology; CSIRO(Commonwealth Scientific &amp; Industrial Research Organisation (CSIRO)); Swiss State Secretariat for Education and Research and Innovation (SERI); National Research Foundation of Korea for the Korean-Swiss Science and Technology Cooperation Program; UK NERC(UK Research &amp; Innovation (UKRI)Natural Environment Research Council (NERC)); National Centre for Atmospheric Science (NCAS); Taiwan Ministry of Science and Technology; UK Natural Environment Research Council (NERC)(UK Research &amp; Innovation (UKRI)Natural Environment Research Council (NERC)); Korean Polar Research Programs; Award NERC IOF; NERC Studentship(UK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</si>
  <si>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station personnel at Jungfraujoch (the Fischer and Otz families), Mace Head (Gerard Spain), and Cape Grim (particularly Jeremy Ward and Nigel Somerville) for their continuous logistical support for the Medusa-GCMS operations; the many contributors involved in providing flask samples, in particular, the staff of the National Central University (Taiwan), and the CARIBIC team; Mack McFarland and Mario Nappa (DuPont) for clarifications on HFC production; Guus Velders (National Institute for Public Health and the Environment, RIVM) for providing unpublished HFC consumption data; and the AGAGE team for continuous technical and scientific support. This project is conducted under the auspices of the European FP7 Infrastructure Project Integrated Non-CO2 Greenhouse gas Observing System (InGOS), and the European Metrology Research Programme ENV52 project Metrology for high-impact greenhouse gases, HIGHGAS. Funding is also provided for the measurements at Jungfraujoch by the Swiss Federal Office for the Environment (FOEN) within the project HALCLIM; and by the International Foundation High Altitude Research Stations Jungfraujoch and Gornergrat (HFSJG). Operation of in situ measurements at the Mace Head research station is supported by the Department of Energy and Climate Change (DECC, UK); contract GA0201 to the University of Bristol. The Cape Grim research station is funded and managed by the Australian Bureau of Meteorology with the science program jointly managed and funded by CSIRO and the Bureau of Meteorology. Support for the Antarctic work comes from the Swiss State Secretariat for Education and Research and Innovation (SERI) and the National Research Foundation of Korea for the Korean-Swiss Science and Technology Cooperation Program. The UEA measurements were funded by UK NERC(grant NE/J016012) and the National Centre for Atmospheric Science (NCAS). The Taiwan Ministry of Science and Technology supported the work in Taiwan. M.R. and J.C.L. are supported by Advanced Research Fellowships from the UK Natural Environment Research Council (NERC)(NE/1021365/1 and NE/1021918/1, respectively). T.S.R. is supported by the Korean Polar Research Programs PE13410 and PP15101. UEA work was also supported by Award NERC IOF award NE/J016012/1 and a NERC Studentship to L.G. Data used in this study are available from the supporting information and the corresponding author.</t>
  </si>
  <si>
    <t>10.1002/2015GL065846</t>
  </si>
  <si>
    <t>Green Published, Green Accepted, Bronze</t>
  </si>
  <si>
    <t>WOS:000364782500054</t>
  </si>
  <si>
    <t>Althaus, F; Hill, N; Ferrari, R; Edwards, L; Przeslawski, R; Schönberg, CHL; Stuart-Smith, R; Barrett, N; Edgar, G; Colquhoun, J; Tran, M; Jordan, A; Rees, T; Gowlett-Holmes, K</t>
  </si>
  <si>
    <t>Althaus, Franziska; Hill, Nicole; Ferrari, Renata; Edwards, Luke; Przeslawski, Rachel; Schoenberg, Christine H. L.; Stuart-Smith, Rick; Barrett, Neville; Edgar, Graham; Colquhoun, Jamie; Tran, Maggie; Jordan, Alan; Rees, Tony; Gowlett-Holmes, Karen</t>
  </si>
  <si>
    <t>A Standardised Vocabulary for Identifying Benthic Biota and Substrata from Underwater Imagery: The CATAMI Classification Scheme</t>
  </si>
  <si>
    <t>REEF; BIODIVERSITY; VIDEO; SPONGE; CORAL; AUSTRALIA; COASTAL; SHELF; COMMUNITIES; ABUNDANCE</t>
  </si>
  <si>
    <t>Imagery collected by still and video cameras is an increasingly important tool for minimal impact, repeatable observations in the marine environment. Data generated from imagery includes identification, annotation and quantification of biological subjects and environmental features within an image. To be long-lived and useful beyond their project-specific initial purpose, and to maximize their utility across studies and disciplines, marine imagery data should use a standardised vocabulary of defined terms. This would enable the compilation of regional, national and/or global data sets from multiple sources, contributing to broad-scale management studies and development of automated annotation algorithms. The classification scheme developed under the Collaborative and Automated Tools for Analysis of Marine Imagery (CATAMI) project provides such a vocabulary. The CATAMI classification scheme introduces Australian-wide acknowledged, standardised terminology for annotating benthic substrates and biota in marine imagery. It combines coarse-level taxonomy and morphology, and is a flexible, hierarchical classification that bridges the gap between habitat/biotope characterisation and taxonomy, acknowledging limitations when describing biological taxa through imagery. It is fully described, documented, and maintained through curated online databases, and can be applied across benthic image collection methods, annotation platforms and scoring methods. Following release in 2013, the CATAMI classification scheme was taken up by a wide variety of users, including government, academia and industry. This rapid acceptance highlights the scheme's utility and the potential to facilitate broad-scale multidisciplinary studies of marine ecosystems when applied globally. Here we present the CATAMI classification scheme, describe its conception and features, and discuss its utility and the opportunities as well as challenges arising from its use.</t>
  </si>
  <si>
    <t>[Althaus, Franziska; Rees, Tony; Gowlett-Holmes, Karen] CSIRO Oceans &amp; Atmosphere, Hobart, Tas, Australia; [Hill, Nicole; Stuart-Smith, Rick; Barrett, Neville; Edgar, Graham] Univ Tasmania, Inst Marine &amp; Antarctic Studies, Hobart, Tas, Australia; [Ferrari, Renata] Univ Sydney, Sch Biol Sci, Sydney, NSW 2006, Australia; [Ferrari, Renata] Univ Sydney, Australian Ctr Field Robot, Sydney, NSW 2006, Australia; [Ferrari, Renata] Sydney Inst Marine Sci, Sydney, NSW, Australia; [Edwards, Luke] Pawsey Supercomp Ctr WAMSI, Mt Lawley, WA, Australia; [Przeslawski, Rachel; Tran, Maggie] Geosci Australia, Natl Earth &amp; Marine Observat Grp, Canberra, ACT, Australia; [Schoenberg, Christine H. L.] UWA Oceans Inst M096, Crawley, WA, Australia; [Colquhoun, Jamie] UWA Oceans Inst M096, Australian Inst Marine Sci, Crawley, WA 6009, Australia; [Jordan, Alan] NSW Dept Ind, Nelson Bay, NSW, Australia; [Schoenberg, Christine H. L.] Western Australian Museum, Welshpool, Australia</t>
  </si>
  <si>
    <t>Commonwealth Scientific &amp; Industrial Research Organisation (CSIRO); University of Tasmania; University of Sydney; University of Sydney; Sydney Institute of Marine Science; Geoscience Australia; University of Western Australia; Australian Institute of Marine Science; University of Western Australia; Western Australian Museum</t>
  </si>
  <si>
    <t>Althaus, F (corresponding author), CSIRO Oceans &amp; Atmosphere, Hobart, Tas, Australia.</t>
  </si>
  <si>
    <t>Franzis.Althaus@csiro.au</t>
  </si>
  <si>
    <t>Hill, Nicole/AAI-7323-2021; Stuart-Smith, Rick D/M-1829-2013; Schönberg, Christine Hanna Lydia/B-3925-2009; Przeslawski, Rachel/IRZ-9563-2023; Rees, Tony/K-9837-2015; Edgar, Graham/AAY-3797-2020; Stuart-Smith, Rick/I-5214-2019; Ferrari, Renata/E-3109-2016; Althaus, Franziska/E-4660-2017; Barrett, Neville/J-7593-2014</t>
  </si>
  <si>
    <t>Hill, Nicole/0000-0001-9329-6717; Stuart-Smith, Rick D/0000-0002-8874-0083; Schönberg, Christine Hanna Lydia/0000-0001-6286-8196; Edgar, Graham/0000-0003-0833-9001; Stuart-Smith, Rick/0000-0002-8874-0083; Ferrari, Renata/0000-0002-5056-1178; Althaus, Franziska/0000-0002-5336-4612; Przeslawski, Rachel/0000-0003-0269-3755; Edwards, Luke/0000-0001-8590-3361; Barrett, Neville/0000-0002-6167-1356</t>
  </si>
  <si>
    <t>NeCTAR project; Australian Government; Education Investment Fund; Australian National Data Service (ANDS); Australia Government's National Environmental Research Program (NERP), Marine Biodiversity Hub; Australian Government's National Environmental Research Program (NERP)</t>
  </si>
  <si>
    <t>NeCTAR project; Australian Government(Australian Government); Education Investment Fund; Australian National Data Service (ANDS); Australia Government's National Environmental Research Program (NERP), Marine Biodiversity Hub; Australian Government's National Environmental Research Program (NERP)(Australian Government)</t>
  </si>
  <si>
    <t>CATAMI acknowledges funding from the following: the NeCTAR project (http://www.nectar.org.au), an Australian Government project conducted as part of the Super Science initiative and financed by the Education Investment Fund; the Australian National Data Service (ANDS) (http://www.ands.org.au/index.html); and the Australia Government's National Environmental Research Program (NERP), Marine Biodiversity Hub (http://www.nerpmarine.edu.au/). The Marine Biodiversity Hub is supported through funding from the Australian Government's National Environmental Research Program (NERP), administered by the Department of Sustainability, Environment, Water, Population and Communities (DSEWPaC).</t>
  </si>
  <si>
    <t>e0141039</t>
  </si>
  <si>
    <t>10.1371/journal.pone.0141039</t>
  </si>
  <si>
    <t>Green Published, Green Accepted, gold</t>
  </si>
  <si>
    <t>WOS:000363918100047</t>
  </si>
  <si>
    <t>Gómez-Gutiérrez, J; López-Cortés, A; Aguilar-Méndez, MJ; Del Angel-Rodríguez, JA; Tremblay, N; Zenteno-Savín, T; Robinson, CJ</t>
  </si>
  <si>
    <t>Gomez-Gutierrez, Jaime; Lopez-Cortes, Alejandro; Aguilar-Mendez, Mario J.; Del Angel-Rodriguez, Jorge A.; Tremblay, Nelly; Zenteno-Savin, Tania; Robinson, Carlos J.</t>
  </si>
  <si>
    <t>Histophagous ciliate Pseudocollinia brintoni and bacterial assemblage interaction with krill Nyctiphanes simplex. I. Transmission process</t>
  </si>
  <si>
    <t>DISEASES OF AQUATIC ORGANISMS</t>
  </si>
  <si>
    <t>Collinia; Histophagous; Apostome ciliates; Euphausiacea; Parasite-host association; Gulf of California</t>
  </si>
  <si>
    <t>THYSANOESSA-INERMIS KROYER; ANTARCTIC KRILL; EUPHAUSIA-SUPERBA; APOSTOMATIDA; DIVERSITY; FOOD; PHYLOGENY; DISCOVERY; CRUSTACEA; PARASITES</t>
  </si>
  <si>
    <t>Histophagous ciliates of the genus Pseudocollinia cause epizootic events that kill adult female krill (Euphausiacea), but their mode of transmission is unknown. We compared 16S rRNA sequences of bacterial strains isolated from stomachs of healthy krill Nyctiphanes simplex specimens with sequences of bacterial isolates and sequences of natural bacterial communities from the hemocoel of N. simplex specimens infected with P. brintoni to determine possible transmission pathways. All P. brintoni endoparasitic life stages and the transmission tomite stage (outside the host) were associated with bacterial assemblages. 16S rRNA sequences from isolated bacterial strains showed that Photobacterium spp. and Pseudoalteromonas spp. were dominant members of the bacterial assemblages during all life phases of P. brintoni and potential patho-bionts. They were apparently unaffected by the krill's immune system or the histophagous activity of P. brintoni. However, other bacterial strains were found only in certain P. brintoni life phases, indicating that as the infection progressed, microhabitat conditions and microbial interactions may have become unfavorable for some strains of bacteria. Trophic infection is the most parsimonious explanation for how P. brintoni infects krill. We estimated N. simplex vulnerability to P. brintoni infection during more than three-fourths of their life span, infecting mostly adult females. The ciliates have relatively high prevalence levels (albeit at &lt;10% of sampled stations) and a short life cycle (estimated &lt;7 d). Histophagous ciliate-krill interactions may occur in other krill species, particularly those that form dense swarms and attain high population densities that potentially enhance trophic transmission and allow completion of the Pseudocollinia spp. life cycle.</t>
  </si>
  <si>
    <t>[Gomez-Gutierrez, Jaime; Tremblay, Nelly] Inst Politecn Nacl, Ctr Interdisciplinario Ciencias Marinas, Dept Plancton &amp; Ecol Marina, La Paz 23096, BCS, Mexico; [Lopez-Cortes, Alejandro; Aguilar-Mendez, Mario J.; Del Angel-Rodriguez, Jorge A.; Zenteno-Savin, Tania] Ctr Invest Biol Noroeste CIBNOR, La Paz 23096, BCS, Mexico; [Robinson, Carlos J.] Univ Nacl Autonoma Mexico, Inst Ciencias Mar &amp; Limnol, Mexico City 04510, DF, Mexico</t>
  </si>
  <si>
    <t>Instituto Politecnico Nacional - Mexico; CIBNOR - Centro de Investigaciones Biologicas del Noroeste; Universidad Nacional Autonoma de Mexico</t>
  </si>
  <si>
    <t>Gómez-Gutiérrez, J (corresponding author), Inst Politecn Nacl, Ctr Interdisciplinario Ciencias Marinas, Dept Plancton &amp; Ecol Marina, Av Inst Politecn Nacl S-N, La Paz 23096, BCS, Mexico.</t>
  </si>
  <si>
    <t>jagomezg@ipn.mx</t>
  </si>
  <si>
    <t>, Nelly/K-2552-2014; Del Angel-Rodríguez, Jorge A./AAI-9707-2021; Lopez-Cortes, Alejandro/AAF-7147-2020</t>
  </si>
  <si>
    <t>, Nelly/0000-0002-8221-4680; Del Angel-Rodríguez, Jorge A./0000-0002-9960-1337; Lopez-Cortes, Alejandro/0000-0002-7567-3133; Zenteno-Savin, Tania/0000-0002-4080-9467</t>
  </si>
  <si>
    <t>CICIMAR-IPN (SIP) [20070279, 20080490, 20090090, 20100173, 20110012, 20120948, 20130224, 20140497, 20150113]; CONACYT-FOS-EMARNAT Ciencia Basica [2004-C01-144, 2004-45914/A-1, 2010-152850-C01, 2012-178615-C01]; CONACYT-SAGARPA [2005-1-11717]; CIBNOR [PC01.0]; Instituto de Ciencias del Mar y Limnologia from Universidad Nacional Autonoma de Mexico (DGAPA-PAPIIT UNAM) [IN200610]</t>
  </si>
  <si>
    <t>CICIMAR-IPN (SIP); CONACYT-FOS-EMARNAT Ciencia Basica; CONACYT-SAGARPA(Consejo Nacional de Ciencia y Tecnologia (CONACyT)); CIBNOR; Instituto de Ciencias del Mar y Limnologia from Universidad Nacional Autonoma de Mexico (DGAPA-PAPIIT UNAM)</t>
  </si>
  <si>
    <t>We thank Charles B. Miller (Oregon State University), Denis Lynn (University of British Columbia) and Michaela C. Struder-Kypke (University of Guelph) for their valuable critiques of an earlier version of the manuscript. We also thank researchers, graduate students, and ship support staff at ICMyL-UNAM, CICIMAR-IPN, and CIBNOR. Ariel A. Cruz Villacorta of CIBNOR provided assistance with scanning electron microscopy. Ira Fogel of CIBNOR provided editorial services. Funding was received from CICIMAR-IPN (SIP 20070279, 20080490, 20090090, 20100173, 20110012, 20120948, 20130224, 20140497, 20150113), CONACYT-FOS-EMARNAT Ciencia Basica (2004-C01-144, 2004-45914/A-1, 2010-152850-C01, and 2012-178615-C01), CONACYT-SAGARPA (2005-1-11717) grants, CIBNOR (PC01.0) and from the Instituto de Ciencias del Mar y Limnologia from the Universidad Nacional Autonoma de Mexico (DGAPA-PAPIIT UNAM No. IN200610 for field collection, laboratory analysis, and interpretation of data). J.G.G. is an EDI-IPN and CO-FAA-IPN fellow. J.G.G. dedicates this work to his former PhD advisors William T. Peterson (NOAA) and Charles B. Miller (Oregon State University) for their invaluable academic support during the serendipitous discovery of histophagous ciliates in coastal Oregon and further investigations of these then mysterious ciliates.</t>
  </si>
  <si>
    <t>0177-5103</t>
  </si>
  <si>
    <t>1616-1580</t>
  </si>
  <si>
    <t>DIS AQUAT ORGAN</t>
  </si>
  <si>
    <t>Dis. Aquat. Org.</t>
  </si>
  <si>
    <t>OCT 27</t>
  </si>
  <si>
    <t>10.3354/dao02922</t>
  </si>
  <si>
    <t>Fisheries; Veterinary Sciences</t>
  </si>
  <si>
    <t>CV2LR</t>
  </si>
  <si>
    <t>WOS:000364088700007</t>
  </si>
  <si>
    <t>Gómez-Gutiérrez, J; Del Angel-Rodríguez, JA; Tremblay, N; Zenteno-Savín, T; Aguilar-Méndez, MJ; López-Cortés, A; Robinson, CJ</t>
  </si>
  <si>
    <t>Gomez-Gutierrez, Jaime; Del Angel-Rodriguez, Jorge A.; Tremblay, Nelly; Zenteno-Savin, Tania; Aguilar-Mendez, Mario J.; Lopez-Cortes, Alejandro; Robinson, Carlos J.</t>
  </si>
  <si>
    <t>Histophagous ciliate Pseudocollinia brintoni and bacterial assemblage interaction with krill Nyctiphanes simplex. II. Host responses</t>
  </si>
  <si>
    <t>Apostome ciliates; Euphausiacea; Parasite-host association; Fatty acids; Oxidative stress; Eicosapentaenoic acid; Docosahexaenoic acid; Glutathione S-transferase</t>
  </si>
  <si>
    <t>ANTARCTIC KRILL; EUPHAUSIA-SUPERBA; INFECTION; SHRIMP; APOSTOMATIDA; PURIFICATION; DIVERSITY; DISCOVERY; ENZYMES; OREGON</t>
  </si>
  <si>
    <t>Unlike decapod crustaceans of commercial interest, the krill defense system and its response to parasites and pathogens is virtually unknown. Histophagous ciliates of the genus Pseudocollinia interact with at least 7 krill species in the northeastern Pacific. Although they can cause epizootic events, the physiology of the histophagous ciliate-host interaction and krill (host) defenses remain unknown. From 1 oceanographic survey along the southwestern coast of the Baja California Peninsula near Bahia Magdalena and 2 in the Gulf of California, we investigated parasitoid-host physiological responses (fatty acid and oxidative stress indicators) of the subtropical krill Nyctiphanes simplex infected with the ciliate P. brintoni. All life stages of P. brintoni were associated with opportunistic bacterial assemblages that have not been explicitly investigated in other Pseudocollinia species (P. beringensis, P. oregonensis, and P. similis). Parasitoid ciliates exclusively infected adult females, which showed increased lipid content during gonad development. As the infection progressed, omega-3 eicosapentaenoic and docosahexaenoic fatty acids, which may act as energy sources to produce high numbers of ciliate transmission stages, were quickly depleted. Antioxidant enzymes, components of the crustacean defense system, varied throughout infection, but without inhibiting Pseudocollinia infection, i.e. higher levels of lipid oxidative damage were detected in late stages of infection. The ineffective response of the krill antioxidant defense system against histophagous ciliates and the bacteria associated with the ciliates suggests that Pseudocollinia ciliates are functionally analogous to krill predators and may have a strong influence on the population dynamics of krill.</t>
  </si>
  <si>
    <t>[Gomez-Gutierrez, Jaime; Tremblay, Nelly] Inst Politecn Nacl, Ctr Interdisciplinario Ciencias Marinas CICIMAR, Dept Plancton &amp; Ecol Marina, La Paz 23096, BCS, Mexico; [Del Angel-Rodriguez, Jorge A.; Zenteno-Savin, Tania; Aguilar-Mendez, Mario J.; Lopez-Cortes, Alejandro] Ctr Invest Biol Noroeste CIBNOR, La Paz 23096, BCS, Mexico; [Robinson, Carlos J.] Univ Nacl Autonoma Mexico, Inst Ciencias Mar &amp; Limnol, Mexico City 04510, DF, Mexico</t>
  </si>
  <si>
    <t>Gómez-Gutiérrez, J (corresponding author), Inst Politecn Nacl, Ctr Interdisciplinario Ciencias Marinas CICIMAR, Dept Plancton &amp; Ecol Marina, La Paz 23096, BCS, Mexico.</t>
  </si>
  <si>
    <t>Centro Interdisciplinario de Ciencias Marinas-IPN (SIP); CONACYT-FOSEMARNAT [2004-C01-144]; CONACYT-SAGARPA [2005-1-11717]; CONACYT Ciencia Basica [2004-45914/A-1, 2010-152850-C01, 2012-178615-C01]; CIBNOR [PC0.10]; Instituto de Ciencias del Mar y Limnologia of Universidad Nacional Autonoma de Mexico (PAPIIT-UNAM) [IN20066610-3]</t>
  </si>
  <si>
    <t>Centro Interdisciplinario de Ciencias Marinas-IPN (SIP); CONACYT-FOSEMARNAT; CONACYT-SAGARPA(Consejo Nacional de Ciencia y Tecnologia (CONACyT)); CONACYT Ciencia Basica; CIBNOR; Instituto de Ciencias del Mar y Limnologia of Universidad Nacional Autonoma de Mexico (PAPIIT-UNAM)</t>
  </si>
  <si>
    <t>We thank Charles B. Miller (Oregon State University), Denis Lynn (University of British Columbia), and Michaela C. Struder-Kypke (University of Guelph) for their valuable critiques of an earlier version of the manuscript; and many researchers, graduate students, technicians, and ship support staff at ICMyL-UNAM, CICIMAR-IPN, and CIBNOR for obtaining samples during the cruises and for analyzing samples. Laura Carreon-Palau (CIBNOR) provided analyses of lipids and fatty acids, and Norma O. Olguin Monroy (CIBNOR) provided analyses of oxidative stress indicators. Ira Fogel of CIBNOR provided extensive and detailed editorial help. Funding was provided by the Centro Interdisciplinario de Ciencias Marinas-IPN (SIP 2007-2014), CONACYT-FOSEMARNAT (2004-C01-144), CONACYT-SAGARPA (2005-1-11717), CONACYT Ciencia Basica (2004-45914/A-1, 2010-152850-C01 and 2012-178615-C01), CIBNOR (PC0.10) and the Instituto de Ciencias del Mar y Limnologia of the Universidad Nacional Autonoma de Mexico (PAPIIT-UNAM IN20066610-3). J.G.G. is an EDI-IPN and COFAA-IPN fellow. J.G.G. dedicates this work to his former PhD advisors William T. Peterson (NOAA) and Charles B. Miller (Oregon State University) for their invaluable academic support during the serendipitous discovery of histophagous ciliates in Oregon and further investigations of these then mysterious ciliates.</t>
  </si>
  <si>
    <t>10.3354/dao02923</t>
  </si>
  <si>
    <t>WOS:000364088700008</t>
  </si>
  <si>
    <t>Miranda, TP; Genzano, GN; Marques, AC</t>
  </si>
  <si>
    <t>Miranda, Thais Pires; Nestor Genzano, Gabriel; Marques, Antonio Carlos</t>
  </si>
  <si>
    <t>Areas of endemism in the Southwestern Atlantic Ocean based on the distribution of benthic hydroids (Cnidaria: Hydrozoa)</t>
  </si>
  <si>
    <t>ZOOTAXA</t>
  </si>
  <si>
    <t>polyps; marine realm; Endemicity Analysis; NDM VNDM; Tropical; Subtropical; disjunctions; biogeography</t>
  </si>
  <si>
    <t>RECENT ANTARCTIC EXPEDITIONS; SP-NOV CNIDARIA; CRETACEOUS PALEOGEOGRAPHY; CHARACTER EVOLUTION; STAUROTHECA ALLMAN; PARSIMONY ANALYSIS; BIOGEOGRAPHY; PHYLOGENETICS; IDENTIFICATION; PATTERNS</t>
  </si>
  <si>
    <t>Geographic distributions of 130 species of benthic hydroids were used to infer areas of endemism in the Southwestern Atlantic Ocean (SWAO, between 22 degrees S and 55 degrees S). Endemicity Analysis (EA) was carried out with the software NDM VNDM, using a 2 degrees x 2 degrees grid with different values of F (F = 0.5 and F = 1.0) for inferred presence. Hypothesized areas of endemism (16 with F = 0.5 and 13 with F = 1.0) formed three generalized patterns: (1) Tropical, (2) Subtropical, and (3) disjunctions along Tropical and Subtropical areas. Areas of endemism estimated here were compared with provinces, ecoregions and areas of endemism previously defined (but not based on algorithmic analysis) in the literature. Ecological and historical aspects that are potentially relevant for the SWAO realm were contrasted, related and discussed to areas of endemism. This is the first study to apply NDM VNDM to the marine realm and one of the few that focuses on the SWAO.</t>
  </si>
  <si>
    <t>[Miranda, Thais Pires; Marques, Antonio Carlos] Univ Sao Paulo, Dept Zool, BR-05508090 Sao Paulo, SP, Brazil; [Nestor Genzano, Gabriel] CONICET UNMdP, IIMyC, Estn Costera Nagera, RA-7600 Mar Del Plata, Buenos Aires, Argentina; [Marques, Antonio Carlos] Univ Sao Paulo, Ctr Biol Marinha, Sao Sebastiao, Brazil</t>
  </si>
  <si>
    <t>Universidade de Sao Paulo; Consejo Nacional de Investigaciones Cientificas y Tecnicas (CONICET); National University of Mar del Plata; Universidade de Sao Paulo</t>
  </si>
  <si>
    <t>Miranda, TP (corresponding author), Univ Sao Paulo, Dept Zool, Tr 14, BR-05508090 Sao Paulo, SP, Brazil.</t>
  </si>
  <si>
    <t>thaispmir@ib.usp.br; genzano@mdp.edu.ar; marques@ib.usp.br</t>
  </si>
  <si>
    <t>Marques, Antonio/E-8049-2011; Fapesp, Biota/F-8655-2017; Miranda, Thais Pires/G-8617-2016</t>
  </si>
  <si>
    <t>Marques, Antonio/0000-0002-2884-0541; Fapesp, Biota/0000-0002-9887-8449; Miranda, Thais Pires/0000-0001-7786-8738</t>
  </si>
  <si>
    <t>CAPES [1887/2007]; CNPq [490348/2006-8, 304720/2009-7, 562143/2010-6, 563106/2010-7, 458555/2013-4]; UNMdP [EXA 734/15]; FAPESP [2004/09961-4, 2006/58226-0, 2010/52324-6, 2010/06927-0, 2011/50242-5, 2013/50484-4, 2014/24407-5]; PIP-CONICET; Fundacao de Amparo a Pesquisa do Estado de Sao Paulo (FAPESP) [11/50242-5, 10/06927-0, 04/09961-4, 13/50484-4, 14/24407-5] Funding Source: FAPESP</t>
  </si>
  <si>
    <t>CAPES(Coordenacao de Aperfeicoamento de Pessoal de Nivel Superior (CAPES)); CNPq(Conselho Nacional de Desenvolvimento Cientifico e Tecnologico (CNPQ)); UNMdP; FAPESP(Fundacao de Amparo a Pesquisa do Estado de Sao Paulo (FAPESP)); PIP-CONICET(Consejo Nacional de Investigaciones Cientificas y Tecnicas (CONICET)); Fundacao de Amparo a Pesquisa do Estado de Sao Paulo (FAPESP)(Fundacao de Amparo a Pesquisa do Estado de Sao Paulo (FAPESP))</t>
  </si>
  <si>
    <t>We would like to thank Alvaro Migotto for providing material and geographic data. Beatriz Mothes (Porifera collection of the Museu de Ciencias Naturais da Fundacao Zoobotanica do Rio Grande do Sul FZB-RS), Cristina Damborenea (Hydrozoa collection of the Museo de La Plata), and Eduardo Hajdu (Porifera collection of the Museu Nacional do Rio de Janeiro, MNRJ) provided access to study their collections. Adriana Morales helped in understanding some EA patterns and algorithms. We thank anonymous reviewers, Eduardo Hajdu and the editor Bastian Bentlage for their valuable comments and suggestions on earlier versions of this manuscript. This study was supported by grants from CAPES Proap-2008, Procad and Pro-Equipamentos 1887/2007, CNPq (Proc. 490348/2006-8, 304720/2009-7, 562143/2010-6, 563106/2010-7, 458555/2013-4), EXA 734/15 (UNMdP), FAPESP (Proc. 2004/09961-4, 2006/58226-0, 2010/52324-6, 2010/06927-0, 2011/50242-5, 2013/50484-4, 2014/24407-5) and PIP-CONICET 2012. This is a contribution of NP-BioMar, USP. James J. Roper revised the English in its entirety.</t>
  </si>
  <si>
    <t>MAGNOLIA PRESS</t>
  </si>
  <si>
    <t>AUCKLAND</t>
  </si>
  <si>
    <t>PO BOX 41383, AUCKLAND, ST LUKES 1030, NEW ZEALAND</t>
  </si>
  <si>
    <t>1175-5326</t>
  </si>
  <si>
    <t>1175-5334</t>
  </si>
  <si>
    <t>Zootaxa</t>
  </si>
  <si>
    <t>CU7ED</t>
  </si>
  <si>
    <t>Green Published</t>
  </si>
  <si>
    <t>WOS:000363698300002</t>
  </si>
  <si>
    <t>Tuohy, A; Bertler, N; Neff, P; Edwards, R; Emanuelsson, D; Beers, T; Mayewski, P</t>
  </si>
  <si>
    <t>Tuohy, Andrea; Bertler, Nancy; Neff, Peter; Edwards, Ross; Emanuelsson, Daniel; Beers, Thomas; Mayewski, Paul</t>
  </si>
  <si>
    <t>Transport and deposition of heavy metals in the Ross Sea Region, Antarctica</t>
  </si>
  <si>
    <t>JOURNAL OF GEOPHYSICAL RESEARCH-ATMOSPHERES</t>
  </si>
  <si>
    <t>Emissions and long-range transport of toxic metals and metalloids pose a global threat to ecosystems and human health. Global industrialization occurring from the late nineteenth century releases large quantities of pollutants into the Earth's atmosphere. Despite international efforts to mitigate emissions, accumulation of metals is still observed in the most remote regions of the planet. New baseline studies are needed to determine (i) natural background concentration of pollutants, (ii) contributions of anthropogenic emissions, and (iii) potential remobilization of previously deposited metals. Constructing such records requires distinguishing source strength from transport efficiency to the recording site and accounting for local depositional effects. Here we investigate the sensitivity and representation of Southern Hemisphere atmospheric concentrations of heavy metals (Fe, Al, Mn, Pb, Tl, and As) in the Roosevelt Island Climate Evolution (RICE) ice core, a new coastal Antarctic ice core site. Concentration variability with precipitation is explored in daily surface snow samples collected over 70 days, while seasonal deposition is investigated through snow pit sampling. We find that snow sample concentrations increase with particular snow precipitation types (rime and fog) and enhanced meridional atmospheric transport to the site. Snow pit heavy metals peak in summer and also show variable intraannual peaks. Seasonal airmass modeling based on ERA Interim reanalysis data indicates a synoptic shift during the spring and summer months. We conclude that modern heavy metal concentrations are influenced by transport efficiency and scavenging behavior; and thus, time series records from RICE have the potential to provide representative data of regional changes in heavy metals.</t>
  </si>
  <si>
    <t>[Tuohy, Andrea; Bertler, Nancy; Neff, Peter; Emanuelsson, Daniel] Victoria Univ Wellington, Antarctic Res Ctr, Wellington, New Zealand; [Tuohy, Andrea; Bertler, Nancy; Neff, Peter; Emanuelsson, Daniel] GNS Sci, Wellington, New Zealand; [Edwards, Ross] Curtin Univ, Dept Imaging &amp; Appl Phys, Perth, WA, Australia; [Beers, Thomas; Mayewski, Paul] Univ Maine, Climate Change Inst, Orono, ME USA</t>
  </si>
  <si>
    <t>Victoria University Wellington; GNS Science - New Zealand; Curtin University; University of Maine System; University of Maine Orono</t>
  </si>
  <si>
    <t>Tuohy, A (corresponding author), Victoria Univ Wellington, Antarctic Res Ctr, Wellington, New Zealand.</t>
  </si>
  <si>
    <t>andrea.tuohy@vuw.ac.nz</t>
  </si>
  <si>
    <t>Edwards, Ross/B-1433-2013; Mayewski, Paul Andrew/HRD-6969-2023; Emanuelsson, Daniel/X-9005-2019; Neff, Peter David/ABB-7688-2021; Bertler, Nancy A N/F-3967-2011</t>
  </si>
  <si>
    <t>Emanuelsson, Daniel/0000-0002-9373-6951; Bertler, Nancy/0000-0001-6028-4891; Neff, Peter/0000-0003-1697-0936</t>
  </si>
  <si>
    <t>New Zealand Ministry of Business, Innovation, and Employment [RDF-VUW-1103, 540GCT32]; Victoria University; GNS Science; NSF [ANT-1042883]</t>
  </si>
  <si>
    <t>New Zealand Ministry of Business, Innovation, and Employment(New Zealand Ministry of Business, Innovation and Employment (MBIE)); Victoria University; GNS Science; NSF(National Science Foundation (NSF))</t>
  </si>
  <si>
    <t>This work is a contribution to the Roosevelt Island Climate Evolution (RICE) Program, funded by national contributions from New Zealand, Australia, Denmark, Germany, Italy, the People's Republic of China, Sweden, United Kingdom, and the United States of America. The main logistic support was provided by Antarctica New Zealand (K049) and the U.S. Antarctic Program. This work has been funded by the New Zealand Ministry of Business, Innovation, and Employment (grants RDF-VUW-1103 and 540GCT32), Victoria University and GNS Science. The U.S. portion of this research was supported by NSF grant ANT-1042883. We also acknowledge the ECMWF for providing access to the ERA Interim reanalysis data and NOAA/ARL for converting the ERA Interim meteorological data to a HySPLIT compatible format. All data presented in this paper will be uploaded at publication to the NOAA National Climatic Data Centre http://www.ncdc.noaa.gov/data-access/paleoclimatology-data/. Prior to this, any requests for access can be directed to the lead author at andrea.tuohy@vuw.ac.nz.</t>
  </si>
  <si>
    <t>2169-897X</t>
  </si>
  <si>
    <t>2169-8996</t>
  </si>
  <si>
    <t>J GEOPHYS RES-ATMOS</t>
  </si>
  <si>
    <t>J. Geophys. Res.-Atmos.</t>
  </si>
  <si>
    <t>10.1002/2015JD023293</t>
  </si>
  <si>
    <t>V45WP</t>
  </si>
  <si>
    <t>hybrid</t>
  </si>
  <si>
    <t>WOS:000209847000026</t>
  </si>
  <si>
    <t>Delmont, TO; Eren, AM; Vineis, JH; Post, AF</t>
  </si>
  <si>
    <t>Delmont, Tom O.; Eren, A. Murat; Vineis, Joseph H.; Post, Anton F.</t>
  </si>
  <si>
    <t>Genome reconstructions indicate the partitioning of ecological functions inside a phytoplankton bloom in the Amundsen Sea, Antarctica</t>
  </si>
  <si>
    <t>FRONTIERS IN MICROBIOLOGY</t>
  </si>
  <si>
    <t>Southern Ocean; Amundsen Sea Polynya; phytoplankton bloom; Phaeocystis; Micromonas; microbial communities; metagenomics; genome reconstruction</t>
  </si>
  <si>
    <t>PHAEOCYSTIS-ANTARCTICA; BACTERIAL COMMUNITY; SURFACE PROTEIN; ROSS SEA; SP NOV.; IRON; MARINE; BACTERIOPLANKTON; VITAMIN-B-12; DIVERSITY</t>
  </si>
  <si>
    <t>Antarctica polynyas support intense phytoplankton blooms, impacting their environment by a substantial depletion of inorganic carbon and nutrients. These blooms are dominated by the colony forming haptophyte Phaeocystis antarctica and they are accompanied by a distinct bacterial population. Yet, the ecological role these bacteria may play in P. antarctica blooms awaits elucidation of their functional gene pool and of the geochemical activities they support. Here, we report on a metagenome (similar to 160 million reads) analysis of the microbial community associated with a P antarctica bloom event in the Amundsen Sea polynya (West Antarctica). Genomes of the most abundant Bacteroidetes and Proteobacteria populations have been reconstructed and a network analysis indicates a strong functional partitioning of these bacterial taxa. Three of them (5AR92, and members of the Oceanospirillaceae and Cryomorphaceae) are found in close association with P antarctica colonies. Distinct features of their carbohydrate, nitrogen, sulfur and iron metabolisms may serve to support mutualistic relationships with P antarctica. The 5AR92 genome indicates a specialization in the degradation of fatty acids and dimethylsulfoniopropionate (compounds released by P antarctica) into dimethyl sulfide, an aerosol precursor. The Oceanospirillaceae genome carries genes that may enhance algal physiology (cobalamin synthesis). Finally, the Cryomorphaceae genome is enriched in genes that function in cell or colony invasion. A novel pico-eukaryote, Micromonas related genome (19.6 Mb, similar to 94% completion) was also recovered. It contains the gene for an anti-freeze protein, which is lacking in Micromonas at lower latitudes. These draft genomes are representative for abundant microbial taxa across the Southern Ocean surface.</t>
  </si>
  <si>
    <t>[Delmont, Tom O.; Eren, A. Murat; Vineis, Joseph H.] Marine Biol Lab, Josephine Bay Paul Ctr Comparat Mol Biol &amp; Evolut, Woods Hole, MA 02543 USA; [Post, Anton F.] Univ Rhode Isl, Grad Sch Oceanog, Coastal Resources Ctr, Narragansett, RI 02881 USA</t>
  </si>
  <si>
    <t>Marine Biological Laboratory - Woods Hole; University of Rhode Island</t>
  </si>
  <si>
    <t>Post, AF (corresponding author), Univ Rhode Isl, Grad Sch Oceanog, Coastal Resources Ctr, Narragansett, RI 02881 USA.</t>
  </si>
  <si>
    <t>anton.post@crc.uri.edu</t>
  </si>
  <si>
    <t>Eren, A. Murat/J-3408-2014; Eren, A. Murat/Q-5497-2019; delmont, tom/A-4331-2018</t>
  </si>
  <si>
    <t>Eren, A. Murat/0000-0001-9013-4827; Eren, A. Murat/0000-0001-9013-4827; delmont, tom/0000-0001-7053-7848</t>
  </si>
  <si>
    <t>NSF Antarctic Sciences [ANT-1142095]; Directorate For Geosciences; Office of Polar Programs (OPP) [1542220] Funding Source: National Science Foundation</t>
  </si>
  <si>
    <t>NSF Antarctic Sciences; Directorate For Geosciences; Office of Polar Programs (OPP)(National Science Foundation (NSF)NSF - Directorate for Geosciences (GEO))</t>
  </si>
  <si>
    <t>This work was performed with financial support from NSF Antarctic Sciences awards ANT-1142095 to AP. We are indebted to the crew of the R/V Nathaniel B Palmer, the Raytheon science crew and the ASPIRE team for their assistance with data collection and CTD-Rosette sampling across the Amundsen Sea Polynya. We also want to acknowledge Sherry Simmons for her help in the phymmBL annotation of scaffolds and Emanuel Prestat for providing a script generating tetranucleotide frequencies from scaffolds. lastly, we are grateful to two anonymous reviewers whose remarks made a great contribution to the presentation and interpretation of the findings presented in this manuscript.</t>
  </si>
  <si>
    <t>FRONTIERS MEDIA SA</t>
  </si>
  <si>
    <t>LAUSANNE</t>
  </si>
  <si>
    <t>AVENUE DU TRIBUNAL FEDERAL 34, LAUSANNE, CH-1015, SWITZERLAND</t>
  </si>
  <si>
    <t>1664-302X</t>
  </si>
  <si>
    <t>FRONT MICROBIOL</t>
  </si>
  <si>
    <t>Front. Microbiol.</t>
  </si>
  <si>
    <t>OCT 26</t>
  </si>
  <si>
    <t>10.3389/fmicb.2015.01090</t>
  </si>
  <si>
    <t>CV3KC</t>
  </si>
  <si>
    <t>Green Published, Green Submitted, gold</t>
  </si>
  <si>
    <t>WOS:000364157100001</t>
  </si>
  <si>
    <t>Lawrence, E; Hayes, KR; Lucieer, VL; Nichol, SL; Dambacher, JM; Hill, NA; Barrett, N; Kool, J; Siwabessy, J</t>
  </si>
  <si>
    <t>Lawrence, Emma; Hayes, Keith R.; Lucieer, Vanessa L.; Nichol, Scott L.; Dambacher, Jeffrey M.; Hill, Nicole A.; Barrett, Neville; Kool, Johnathan; Siwabessy, Justy</t>
  </si>
  <si>
    <t>Mapping Habitats and Developing Baselines in Offshore Marine Reserves with Little Prior Knowledge: A Critical Evaluation of a New Approach</t>
  </si>
  <si>
    <t>CLASSIFICATION; CONSERVATION; FISHERIES; DESIGNS</t>
  </si>
  <si>
    <t>The recently declared Australian Commonwealth Marine Reserve (CMR) Network covers a total of 3.1 million km(2) of continental shelf, slope, and abyssal habitat. Managing and conserving the biodiversity values within this network requires knowledge of the physical and biological assets that lie within its boundaries. Unfortunately very little is known about the habitats and biological assemblages of the continental shelf within the network, where diversity is richest and anthropogenic pressures are greatest. Effective management of the CMR estate into the future requires this knowledge gap to be filled efficiently and quantitatively. The challenge is particularly great for the shelf as multibeam echosounder (MBES) mapping, a key tool for identifying and quantifying habitat distribution, is time consuming in shallow depths, so full coverage mapping of the CMR shelf assets is unrealistic in the medium-term. Here we report on the results of a study undertaken in the Flinders Commonwealth Marine Reserve (southeast Australia) designed to test the benefits of two approaches to characterising shelf habitats: (i) MBES mapping of a continuous (similar to 30 km(2)) area selected on the basis of its potential to include a range of seabed habitats that are potentially representative of the wider area, versus; (ii) a novel approach that uses targeted mapping of a greater number of smaller, but spatially balanced, locations using a Generalized Random Tessellation Stratified sample design. We present the first quantitative estimates of habitat type and sessile biological communities on the shelf of the Flinders reserve, the former based on three MBES analysis techniques. We contrast the quality of information that both survey approaches offer in combination with the three MBES analysis methods. The GRTS approach enables design based estimates of habitat types and sessile communities and also identifies potential biodiversity hotspots in the northwest corner of the reserve's IUCN zone IV, and in locations close to shelf incising canyon heads. Design based estimates of habitats, however, vary substantially depending on the MBES analysis technique, highlighting the challenging nature of the reserve's low profile reefs, and improvements that are needed when acquiring MBES data for small GRTS locations. We conclude that the two survey approaches are complementary and both have their place in a successful and flexible monitoring strategy; the emphasis on one method over the other should be considered on a case by case basis, taking into account the survey objectives and limitations imposed by the type of vessel, time available, size and location of the region where knowledge is required.</t>
  </si>
  <si>
    <t>[Lawrence, Emma] CSIRO, Digital Prod Flagship, Brisbane, Qld, Australia; [Hayes, Keith R.; Dambacher, Jeffrey M.] CSIRO, Digital Prod Flagship, Hobart, Tas, Australia; [Lucieer, Vanessa L.; Hill, Nicole A.; Barrett, Neville] Univ Tasmania, Inst Marine &amp; Antarctic Studies, Hobart, Tas, Australia; [Nichol, Scott L.; Kool, Johnathan; Siwabessy, Justy] Geosci Australia, Canberra, ACT, Australia</t>
  </si>
  <si>
    <t>Commonwealth Scientific &amp; Industrial Research Organisation (CSIRO); Commonwealth Scientific &amp; Industrial Research Organisation (CSIRO); University of Tasmania; Geoscience Australia</t>
  </si>
  <si>
    <t>Lawrence, E (corresponding author), CSIRO, Digital Prod Flagship, Brisbane, Qld, Australia.</t>
  </si>
  <si>
    <t>emma.lawrence@csiro.au</t>
  </si>
  <si>
    <t>Siwabessy, Justy/I-1818-2019; Lawrence, Emma/A-5584-2009; Hill, Nicole/AAI-7323-2021; Barrett, Neville/J-7593-2014; Hayes, Keith/A-4550-2009; Lucieer, Vanessa/D-1697-2009</t>
  </si>
  <si>
    <t>Siwabessy, Justy/0000-0002-8399-5909; Hill, Nicole/0000-0001-9329-6717; Kool, Johnathan/0000-0002-9902-3522; Barrett, Neville/0000-0002-6167-1356; Hayes, Keith/0000-0003-4094-3575; Lucieer, Vanessa/0000-0001-7531-5750</t>
  </si>
  <si>
    <t>Australian Government's National Environmental Research Program (NERP)</t>
  </si>
  <si>
    <t>Australian Government's National Environmental Research Program (NERP)(Australian Government)</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</si>
  <si>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The funders had no role in study design, data collection and analysis, decision to publish, or preparation of the manuscript.</t>
  </si>
  <si>
    <t>OCT 23</t>
  </si>
  <si>
    <t>e0141051</t>
  </si>
  <si>
    <t>10.1371/journal.pone.0141051</t>
  </si>
  <si>
    <t>CU1VG</t>
  </si>
  <si>
    <t>gold, Green Published, Green Submitted</t>
  </si>
  <si>
    <t>WOS:000363309200055</t>
  </si>
  <si>
    <t>Zhang, T; Wang, NF; Zhang, YQ; Liu, HY; Yu, LY</t>
  </si>
  <si>
    <t>Zhang, Tao; Wang, Neng Fei; Zhang, Yu Qin; Liu, Hong Yu; Yu, Li Yan</t>
  </si>
  <si>
    <t>Diversity and distribution of fungal communities in the marine sediments of Kongsfjorden, Svalbard (High Arctic)</t>
  </si>
  <si>
    <t>SCIENTIFIC REPORTS</t>
  </si>
  <si>
    <t>DEEP-SEA SEDIMENTS; ROOT-ASSOCIATED FUNGI; CULTURABLE FUNGI; ECOSYSTEM; SPEED</t>
  </si>
  <si>
    <t>This study assessed the diversity and distribution of fungal communities in eight marine sediments of Kongsfjorden (Svalbard, High Arctic) using 454 pyrosequencing with fungal-specific primers targeting the internal transcribed spacer (ITS) region of the ribosomal rRNA gene. Sedimentary fungal communities showed high diversity with 42,219 reads belonging to 113 operational taxonomic units (OTUs). Of these OTUs, 62 belonged to the Ascomycota, 26 to Basidiomycota, 2 to Chytridiomycota, 1 to Zygomycota, 1 to Glomeromycota, and 21 to unknown fungi. The major known orders included Hypocreales and Saccharomycetales. The common fungal genera were Pichia, Fusarium, Alternaria, and Malassezia. Interestingly, most fungi occurring in these Arctic sediments may originate from the terrestrial habitats and different basins in Kongsfjorden (i.e., inner basin, central basin, and outer basin) harbor different sedimentary fungal communities. These results suggest the existence of diverse fungal communities in the Arctic marine sediments, which may serve as a useful community model for further ecological and evolutionary study of fungi in the Arctic.</t>
  </si>
  <si>
    <t>[Zhang, Tao; Zhang, Yu Qin; Liu, Hong Yu; Yu, Li Yan] Chinese Acad Med Sci, Inst Med Biotechnol, China Pharmaceut Culture Collect, Beijing 100050, Peoples R China; [Zhang, Tao; Zhang, Yu Qin; Liu, Hong Yu; Yu, Li Yan] Peking Union Med Coll, Beijing 100050, Peoples R China; [Wang, Neng Fei] State Ocean Adm, Inst Oceanog 1, Key Lab Marine Bioact Subst, Qingdao 266061, Peoples R China</t>
  </si>
  <si>
    <t>Chinese Academy of Medical Sciences - Peking Union Medical College; Institute of Medicinal Biotechnology - CAMS; Chinese Academy of Medical Sciences - Peking Union Medical College; Peking Union Medical College; First Institute of Oceanography, Ministry of Natural Resources</t>
  </si>
  <si>
    <t>Yu, LY (corresponding author), Chinese Acad Med Sci, Inst Med Biotechnol, China Pharmaceut Culture Collect, Beijing 100050, Peoples R China.</t>
  </si>
  <si>
    <t>yly@cpcc.ac.cn</t>
  </si>
  <si>
    <t>ying, liu/KEI-0478-2024; yu, liyan/GYD-2950-2022; huang, libo/JMB-4345-2023</t>
  </si>
  <si>
    <t>yu, liyan/0000-0002-8861-9806;</t>
  </si>
  <si>
    <t>National Infrastructure of Microbial Resources [NIMR-2015-3]; National Natural Science Foundation of China (NSFC) [31170041, 81321004, 31300115]; Polar Strategic Research Foundation of China [20120302]; National S&amp;T Major Special Project on Major New Drug Innovation [2012ZX09301002-003]; 863 Program [2014AA021504]; Projects of the Chinese Arctic and Antarctic Administration, State Oceanic Administration [2013YR06006, 2013YR05005]; Xiehe Scholar</t>
  </si>
  <si>
    <t>National Infrastructure of Microbial Resources; National Natural Science Foundation of China (NSFC)(National Natural Science Foundation of China (NSFC)); Polar Strategic Research Foundation of China; National S&amp;T Major Special Project on Major New Drug Innovation; 863 Program(National High Technology Research and Development Program of China); Projects of the Chinese Arctic and Antarctic Administration, State Oceanic Administration; Xiehe Scholar</t>
  </si>
  <si>
    <t>This research was supported by the National Infrastructure of Microbial Resources (No. NIMR-2015-3), the National Natural Science Foundation of China (NSFC) (Nos. 31170041, 81321004, and 31300115), the Polar Strategic Research Foundation of China (No. 20120302), National S&amp;T Major Special Project on Major New Drug Innovation (No. 2012ZX09301002-003), 863 Program (No. 2014AA021504), and Projects of the Chinese Arctic and Antarctic Administration, State Oceanic Administration (Nos. 2013YR06006, and 2013YR05005). Li Yan Yu is supported by Xiehe Scholar.</t>
  </si>
  <si>
    <t>2045-2322</t>
  </si>
  <si>
    <t>SCI REP-UK</t>
  </si>
  <si>
    <t>Sci Rep</t>
  </si>
  <si>
    <t>10.1038/srep14524</t>
  </si>
  <si>
    <t>CU1SZ</t>
  </si>
  <si>
    <t>gold, Green Published</t>
  </si>
  <si>
    <t>WOS:000363302900001</t>
  </si>
  <si>
    <t>Williams, CL; Hagelin, JC; Kooyman, GL</t>
  </si>
  <si>
    <t>Williams, Cassondra L.; Hagelin, Julie C.; Kooyman, Gerald L.</t>
  </si>
  <si>
    <t>Hidden keys to survival: the type, density, pattern and functional role of emperor penguin body feathers</t>
  </si>
  <si>
    <t>PROCEEDINGS OF THE ROYAL SOCIETY B-BIOLOGICAL SCIENCES</t>
  </si>
  <si>
    <t>feathers; penguin; insulation; feather density; emperor penguin</t>
  </si>
  <si>
    <t>MECHANICAL-PROPERTIES; HEAT-TRANSFER; ROSS SEA; ANTARCTICA; INSULATION; BEHAVIOR; CHICKS; DIVES</t>
  </si>
  <si>
    <t>Antarctic penguins survive some of the harshest conditions on the planet. Emperor penguins breed on the sea ice where temperatures drop below -40 degrees C and forage in -1.8 degrees C waters. Their ability to maintain 38 degrees C body temperature in these conditions is due in large part to their feathered coat. Penguins have been reported to have the highest contour feather density of any bird, and both filoplumes and plumules (downy feathers) are reported absent in penguins. In studies modelling the heat transfer properties and the potential biomimetic applications of penguin plumage design, the insulative properties of penguin plumage have been attributed to the single afterfeather attached to contour feathers. This attribution of the afterfeather as the sole insulation component has been repeated in subsequent studies. Our results demonstrate the presence of both plumules and filoplumes in the penguin body plumage. The downy plumules are four times denser than afterfeathers and play a key, previously overlooked role in penguin survival. Our study also does not support the report that emperor penguins have the highest contour feather density.</t>
  </si>
  <si>
    <t>[Williams, Cassondra L.] Univ Calif Irvine, Dept Ecol &amp; Evolutionary Biol, Irvine, CA 91697 USA; [Williams, Cassondra L.; Kooyman, Gerald L.] Univ Calif San Diego, Scripps Inst Oceanog, La Jolla, CA 92093 USA; [Hagelin, Julie C.] Univ Alaska, Inst Arctic Biol, Fairbanks, AK 99775 USA</t>
  </si>
  <si>
    <t>University of California System; University of California Irvine; University of California System; University of California San Diego; Scripps Institution of Oceanography; University of Alaska System; University of Alaska Fairbanks</t>
  </si>
  <si>
    <t>Williams, CL (corresponding author), Univ Calif Irvine, Dept Ecol &amp; Evolutionary Biol, Irvine, CA 91697 USA.</t>
  </si>
  <si>
    <t>cassondw@uci.edu</t>
  </si>
  <si>
    <t>, gerald/0000-0002-8872-2950</t>
  </si>
  <si>
    <t>NSF OPP grants [9814794, 0229638, 1043454]; National Institute of Health grant (NIH-NIAMS) [T32AR047752]</t>
  </si>
  <si>
    <t>NSF OPP grants; National Institute of Health grant (NIH-NIAMS)</t>
  </si>
  <si>
    <t>Research was supported in part by NSF OPP grants 9814794, 0229638 (to Paul Ponganis) and 1043454 (to G.L.K.). C.L.W. was supported by a National Institute of Health grant (NIH-NIAMS T32AR047752 to V. Caiozzo).</t>
  </si>
  <si>
    <t>ROYAL SOC</t>
  </si>
  <si>
    <t>6-9 CARLTON HOUSE TERRACE, LONDON SW1Y 5AG, ENGLAND</t>
  </si>
  <si>
    <t>0962-8452</t>
  </si>
  <si>
    <t>1471-2954</t>
  </si>
  <si>
    <t>P ROY SOC B-BIOL SCI</t>
  </si>
  <si>
    <t>Proc. R. Soc. B-Biol. Sci.</t>
  </si>
  <si>
    <t>OCT 22</t>
  </si>
  <si>
    <t>10.1098/rspb.2015.2033</t>
  </si>
  <si>
    <t>Biology; Ecology; Evolutionary Biology</t>
  </si>
  <si>
    <t>Life Sciences &amp; Biomedicine - Other Topics; Environmental Sciences &amp; Ecology; Evolutionary Biology</t>
  </si>
  <si>
    <t>CU4GN</t>
  </si>
  <si>
    <t>WOS:000363485700019</t>
  </si>
  <si>
    <t>Gomez, N</t>
  </si>
  <si>
    <t>Gomez, Natalya</t>
  </si>
  <si>
    <t>Small glacier has big effect on sea-level rise</t>
  </si>
  <si>
    <t>NATURE</t>
  </si>
  <si>
    <t>ICE-SHEET; THWAITES</t>
  </si>
  <si>
    <t>Models of the West Antarctic Ice Sheet predict substantial ice loss over the next few centuries - and that a glacier expected to contribute greatly to sea-level rise may already be unstable.</t>
  </si>
  <si>
    <t>McGill Univ, Dept Earth &amp; Planetary Sci, Montreal, PQ H3A OE8, Canada</t>
  </si>
  <si>
    <t>McGill University</t>
  </si>
  <si>
    <t>Gomez, N (corresponding author), McGill Univ, Dept Earth &amp; Planetary Sci, Montreal, PQ H3A OE8, Canada.</t>
  </si>
  <si>
    <t>natalya.gomez@mcgill.ca</t>
  </si>
  <si>
    <t>Gomez, Natalya/AAU-4323-2020</t>
  </si>
  <si>
    <t>Gomez, Natalya/0000-0002-2463-7917</t>
  </si>
  <si>
    <t>0028-0836</t>
  </si>
  <si>
    <t>1476-4687</t>
  </si>
  <si>
    <t>Nature</t>
  </si>
  <si>
    <t>10.1038/526510a</t>
  </si>
  <si>
    <t>CV1NX</t>
  </si>
  <si>
    <t>WOS:000364026100033</t>
  </si>
  <si>
    <t>Blake, JA</t>
  </si>
  <si>
    <t>Blake, James A.</t>
  </si>
  <si>
    <t>New species of Scalibregmatidae (Annelida, Polychaeta) from the East Antarctic Peninsula including a description of the ecology and post-larval development of species of Scalibregma and Oligobregma</t>
  </si>
  <si>
    <t>Scalibregmatidae; Pseudoscalibregma; new species; Antarctica; Larsen Ice Shelf; Weddell Sea; reproduction; juvenile morphology</t>
  </si>
  <si>
    <t>SOUTH SHETLAND ISLANDS; CONTINENTAL-SLOPE; NERVOUS-SYSTEM; WEDDELL SEA; GENUS; REDESCRIPTION; REPRODUCTION; INFLATUM</t>
  </si>
  <si>
    <t>A large collection of scalibregmatid polychaetes from the east Antarctic Peninsula in May 2000 has yielded specimens of three new species of Scalibregma, Pseudoscalibregma, and Oligobregma. The new species of Scalibregma is represented by more than 400 specimens that include post-larval and juvenile forms which, for the first time, provide data on the sequence of development of key characters of a scalibregmatid. These data demonstrate that taxonomic characters including the form of the prostomium and presence of branchiae develop late in ontogeny and that small specimens cannot be reliably referred to a species or genus without a growth sequence. Juvenile morphology is also presented for the new species of Oligobregma. The new species of Scalibregma is compared with five northern hemisphere species and differs in details of the peristomium, upper and lower lips of the mouth, dorsal and ventral cirri, and nature of the short spinous setae of setiger 1. The new species of Pseudoscalibregma is unique in the nature of asymmetrical ventral cirri of posterior setigers. The new species of Oligobregma has large acicular spines in both noto- and neuropodia and these are present in juveniles. However, the final adult configuration of the prostomium is not evident until late in development. The taxonomic significance of the timing of development of post-larval and juvenile morphology elucidated in this study is discussed in relation to the validity of certain taxa and the current system of genera used in the family.</t>
  </si>
  <si>
    <t>[Blake, James A.] Aquat Res &amp; Consulting, Duxbury, MA 02332 USA; [Blake, James A.] Univ Massachusetts, Boston, MA 02125 USA</t>
  </si>
  <si>
    <t>University of Massachusetts System; University of Massachusetts Boston</t>
  </si>
  <si>
    <t>Blake, JA (corresponding author), Aquat Res &amp; Consulting, 24 Hitty Tom Rd, Duxbury, MA 02332 USA.</t>
  </si>
  <si>
    <t>jablake9@gmail.com</t>
  </si>
  <si>
    <t>NSF Office of Polar Programs Grant [OPP-9814383]; NSF [DEB-0118693, DBI-1337525]</t>
  </si>
  <si>
    <t>NSF Office of Polar Programs Grant; NSF(National Science Foundation (NSF))</t>
  </si>
  <si>
    <t>The field work with ship time for the survey at the site of the former Larsen Ice Shelf A was funded by the NSF Office of Polar Programs Grant OPP-9814383 to Drs. Eugene Domack and Patrick Reynolds, Hamilton College, Clinton, NY. Dr. Reynolds also arranged for my participation on the cruise and subsequent sorting of the benthic samples by Mr. Russ Winchell, Oceans Taxonomic Services. Completion of the polychaete taxonomy was funded by NSF Grant No. DEB-0118693 (PEET) to James A. Blake, University of Massachusetts, Boston. Dr. Jason Williams, Hofstra University, was a co-investigator on this grant and directed the preparation SEMs of these and other polychaetes. A subsequent reimaging of some earlier SEMs was supported by NSF Grant (DBI-1337525) to Jason D. Williams (Hofstra University). The manuscript was carefully reviewed by Dr. Nancy J. Maciolek. Comments by two anonymous greatly improved the manuscript.</t>
  </si>
  <si>
    <t>OCT 21</t>
  </si>
  <si>
    <t>10.11646/zootaxa.4033.1.3</t>
  </si>
  <si>
    <t>CU7DG</t>
  </si>
  <si>
    <t>WOS:000363695700003</t>
  </si>
  <si>
    <t>Southwell, C; Emmerson, L; McKinlay, J; Newbery, K; Takahashi, A; Kato, A; Barbraud, C; DeLord, K; Weimerskirch, H</t>
  </si>
  <si>
    <t>Southwell, Colin; Emmerson, Louise; McKinlay, John; Newbery, Kym; Takahashi, Akinori; Kato, Akiko; Barbraud, Christophe; DeLord, Karine; Weimerskirch, Henri</t>
  </si>
  <si>
    <t>Spatially Extensive Standardized Surveys Reveal Widespread, Multi-Decadal Increase in East Antarctic Adelie Penguin Populations</t>
  </si>
  <si>
    <t>SEA-ICE EXTENT; SOUTHERN-OCEAN; PYGOSCELIS PENGUINS; AD,LIE PENGUINS; WHALING RECORDS; PACIFIC SECTOR; HOLM BAY; CLIMATE; TRENDS; VARIABILITY</t>
  </si>
  <si>
    <t>Seabirds are considered to be useful and practical indicators of the state of marine ecosystems because they integrate across changes in the lower trophic levels and the physical environment. Signals from this key group of species can indicate broad scale impacts or response to environmental change. Recent studies of penguin populations, the most commonly abundant Antarctic seabirds in the west Antarctic Peninsula and western Ross Sea, have demonstrated that physical changes in Antarctic marine environments have profound effects on biota at high trophic levels. Large populations of the circumpolar-breeding Adelie penguin occur in East Antarctica, but direct, standardized population data across much of this vast coastline have been more limited than in other Antarctic regions. We combine extensive new population survey data, new population estimation methods, and re-interpreted historical survey data to assess decadal-scale change in East Antarctic Adelie penguin breeding populations. We show that, in contrast to the west Antarctic Peninsula and western Ross Sea where breeding populations have decreased or shown variable trends over the last 30 years, East Antarctic regional populations have almost doubled in abundance since the 1980's and have been increasing since the earliest counts in the 1960's. The population changes are associated with five-year lagged changes in the physical environment, suggesting that the changing environment impacts primarily on the pre-breeding age classes. East Antarctic marine ecosystems have been subject to a number of changes over the last 50 years which may have influenced Adelie penguin population growth, including decadal-scale climate variation, an inferred mid-20th century sea-ice contraction, and early-to-mid 20th century exploitation of fish and whale populations.</t>
  </si>
  <si>
    <t>[Southwell, Colin; Emmerson, Louise; McKinlay, John; Newbery, Kym] Australian Antarctic Div, Dept Environm, Kingston, Tas, Australia; [Takahashi, Akinori; Kato, Akiko] Natl Inst Polar Res, Tachikawa, Tokyo, Japan; [Barbraud, Christophe; DeLord, Karine; Weimerskirch, Henri] Univ La Rochelle, CNRS, UMR7372, Ctr Etud Biol Chize, Villiers En Bois, France</t>
  </si>
  <si>
    <t>Australian Antarctic Division; Research Organization of Information &amp; Systems (ROIS); National Institute of Polar Research (NIPR) - Japan; Centre National de la Recherche Scientifique (CNRS); CNRS - Institute of Ecology &amp; Environment (INEE); La Rochelle Universite</t>
  </si>
  <si>
    <t>Southwell, C (corresponding author), Australian Antarctic Div, Dept Environm, Kingston, Tas, Australia.</t>
  </si>
  <si>
    <t>colin.southwell@aad.gov.au</t>
  </si>
  <si>
    <t>Weimerskirch, Henri/K-7306-2019; Weimerskirch, Henri/F-5562-2013; Kato, Akiko/W-2447-2019; Barbraud, Christophe/A-5870-2012</t>
  </si>
  <si>
    <t>Weimerskirch, Henri/0000-0002-0457-586X; Barbraud, Christophe/0000-0003-0146-212X; McKinlay, John/0000-0003-4858-2604; Takahashi, Akinori/0000-0002-9868-0408; Kato, Akiko/0000-0002-8947-3634</t>
  </si>
  <si>
    <t>Australian Antarctic Science projects [2722, 4087, 4088]; Japanese Antarctic Research Expeditions programs [AMB1, AP12]; Institut Paul Emile Victor (IPEV); Zone Atelier Antarctique (CNRS-INEE); Terres Australes et Antarctiques Francaises</t>
  </si>
  <si>
    <t>Australian Antarctic Science projects; Japanese Antarctic Research Expeditions programs; Institut Paul Emile Victor (IPEV); Zone Atelier Antarctique (CNRS-INEE); Terres Australes et Antarctiques Francaises</t>
  </si>
  <si>
    <t>The work was carried out under funding to (i) Australian Antarctic Science projects 2722, 4087 and 4088, (ii) Japanese Antarctic Research Expeditions programs AMB1 and AP12, and (iii) Institut Paul Emile Victor (IPEV), Zone Atelier Antarctique (CNRS-INEE), and Terres Australes et Antarctiques Francaises. The funders had no role in study design, data collection and analysis, decision to publish, or preparation of the manuscript.</t>
  </si>
  <si>
    <t>e0139877</t>
  </si>
  <si>
    <t>10.1371/journal.pone.0139877</t>
  </si>
  <si>
    <t>CU0ZM</t>
  </si>
  <si>
    <t>WOS:000363248400042</t>
  </si>
  <si>
    <t>Troshichev, OA; Sormakov, DA</t>
  </si>
  <si>
    <t>Troshichev, O. A.; Sormakov, D. A.</t>
  </si>
  <si>
    <t>PC index as a proxy of the solar wind energy that entered into the magnetosphere: 2. Relation to the interplanetary electric field EKL before substorm onset</t>
  </si>
  <si>
    <t>EARTH PLANETS AND SPACE</t>
  </si>
  <si>
    <t>Interplanetary electric field E-KL; PC index; Magnetic substorms; Delay time; Solar wind parameters growth rate; Solar wind energy input</t>
  </si>
  <si>
    <t>This paper (the second of a series) presents the results of statistical investigation of relationship between the interplanetary electric field E-KL and the Polar Cap (PC) index in case of magnetic substorms (1998-2001), which have been analyzed in Troshichev et al. (J. Geophys. Res. Space Physics, 119, 2014). The PC index is directly related to the E-KL field variations on interval preceding the substorm sudden onset (SO): correlation R &gt; 0.5 is typical of more than 90 % of isolated substorms, 80 % of expanded substorms, and 99 % of events with coordinated EKL and PC jumps. The low or negative correlation observing in similar to 10 % of examined substorms suggests that the solar wind flow measured by the Advanced Composition Explorer (ACE) spacecraft in the Lagrange point L1 did not encounter the magnetosphere in these cases. Examination of the delay times Delta T in the response of PC index to E-KL variations provides the following results: (1) delay times do not depend on separate solar wind parameters, such as solar wind speed V-X and interplanetary magnetic field (IMF) B-Z component, contrary to general conviction, (2) the Delta T value is best controlled by the E-KL field growth rate (dE(KL)/dt), (3) the lower Delta T limit (5-7 min is attained under conditions of the higher E-KL growth rate, and (4) the PC index provides the possibility to verify the solar wind flow transportation time from ACE position (where the solar wind speed is estimated) to magnetosphere. These results, in combination with data testifying that the substorm onsets are related to the PC precursors, demonstrate that the PC index is an adequate ground-based indicator of the solar wind energy incoming into the magnetosphere.</t>
  </si>
  <si>
    <t>[Troshichev, O. A.; Sormakov, D. A.] Arctic &amp; Antarctic Res Inst, St Petersburg 199397, Russia</t>
  </si>
  <si>
    <t>Arctic &amp; Antarctic Research Institute</t>
  </si>
  <si>
    <t>Troshichev, OA (corresponding author), Arctic &amp; Antarctic Res Inst, St Petersburg 199397, Russia.</t>
  </si>
  <si>
    <t>olegtro@aari.ru</t>
  </si>
  <si>
    <t>Sormakov, Dmitry/K-1695-2014; Troshichev, Oleg/P-3848-2015</t>
  </si>
  <si>
    <t>Sormakov, Dmitry/0000-0003-2829-5982; Troshichev, Oleg/0000-0002-7887-9831</t>
  </si>
  <si>
    <t>ONE NEW YORK PLAZA, SUITE 4600, NEW YORK, NY, UNITED STATES</t>
  </si>
  <si>
    <t>1880-5981</t>
  </si>
  <si>
    <t>EARTH PLANETS SPACE</t>
  </si>
  <si>
    <t>Earth Planets Space</t>
  </si>
  <si>
    <t>10.1186/s40623-015-0338-4</t>
  </si>
  <si>
    <t>CU1AX</t>
  </si>
  <si>
    <t>gold</t>
  </si>
  <si>
    <t>WOS:000363252500001</t>
  </si>
  <si>
    <t>Almeida, EAB; Quinteiro, FB</t>
  </si>
  <si>
    <t>Almeida, Eduardo A. B.; Quinteiro, Fabio B.</t>
  </si>
  <si>
    <t>Two continents and two names for a Neotropical colletid bee species (Hymenoptera: Colletidae: Neopasiphaeinae): Hoplocolletes ventralis (Friese, 1924)</t>
  </si>
  <si>
    <t>PeerJ</t>
  </si>
  <si>
    <t>Australia; Taxonomy; Apoidea; Biogeography; Systematics; Brazil</t>
  </si>
  <si>
    <t>PHYLOGENY</t>
  </si>
  <si>
    <t>Neopasiphaeine bees (Apoidea: Colletidae) are known for their Amphinotic distribution in the Australian and Neotropical regions. Affinities between colletid taxa in Australia and South America have been speculated for decades, and have been confirmed by recent phylogenetic hypotheses that indicate a biogeographic scenario compatible with a trans-Antarctic biotic connection during the Paleogene. No neopasiphaeine species occurs on both sides of the Pacific Ocean, but the Neotropical species Hoplocolletes ventralis (Friese, 1924) was described as an Australian taxon due to an error in the specimen labels. This mistake was recognized by CD Michener 50 years ago. We herein report that the same labeling problem also happened with Dasycolletes chalceus Friese, 1924, which remained as a tentatively placed species in the Australian genus Leioproctus until now. Moreover, Dasycolletes chalceus is interpreted as a synonym of Hoplocolletes ventralis. We also provide a revised diagnosis for Hoplocolletes, describe the male of H. ventralis in detail for the first time, including a comparative study of its genitalia and associated sterna.</t>
  </si>
  <si>
    <t>[Almeida, Eduardo A. B.; Quinteiro, Fabio B.] Univ Sao Paulo, Dept Biol, FFCLRP, BR-14049 Ribeirao Preto, SP, Brazil</t>
  </si>
  <si>
    <t>Universidade de Sao Paulo</t>
  </si>
  <si>
    <t>Almeida, EAB (corresponding author), Univ Sao Paulo, Dept Biol, FFCLRP, BR-14049 Ribeirao Preto, SP, Brazil.</t>
  </si>
  <si>
    <t>eduardo@ffclrp.usp.br</t>
  </si>
  <si>
    <t>de Almeida, Eduardo/JJC-2493-2023; Almeida, Eduardo A. B./B-6995-2008</t>
  </si>
  <si>
    <t>Almeida, Eduardo A. B./0000-0001-6017-6364; Quinteiro, Fabio/0000-0002-5968-6532</t>
  </si>
  <si>
    <t>Sao Paulo Research Foundation (FAPESP) [2011/09477-9]; Brazilian Council for Scientific and Technological Development [CNPq 142211/2012-5]</t>
  </si>
  <si>
    <t>Sao Paulo Research Foundation (FAPESP)(Fundacao de Amparo a Pesquisa do Estado de Sao Paulo (FAPESP)); Brazilian Council for Scientific and Technological Development(Conselho Nacional de Desenvolvimento Cientifico e Tecnologico (CNPQ))</t>
  </si>
  <si>
    <t>This project was supported by grant 2011/09477-9, Sao Paulo Research Foundation (FAPESP) to EAB Almeida; FB Quinteiro is supported by a PhD fellowship granted by the Brazilian Council for Scientific and Technological Development, CNPq 142211/2012-5. The funders had no role in study design, data collection and analysis, decision to publish, or preparation of the manuscript.</t>
  </si>
  <si>
    <t>PEERJ INC</t>
  </si>
  <si>
    <t>341-345 OLD ST, THIRD FLR, LONDON, EC1V 9LL, ENGLAND</t>
  </si>
  <si>
    <t>2167-8359</t>
  </si>
  <si>
    <t>PEERJ</t>
  </si>
  <si>
    <t>OCT 20</t>
  </si>
  <si>
    <t>e1338</t>
  </si>
  <si>
    <t>10.7717/peerj.1338</t>
  </si>
  <si>
    <t>CV5SC</t>
  </si>
  <si>
    <t>Green Submitted, Green Published, gold</t>
  </si>
  <si>
    <t>WOS:000364330400009</t>
  </si>
  <si>
    <t>He, YQ; Chen, C; Bu, CG; Han, JD</t>
  </si>
  <si>
    <t>He, Yuqing; Chen, Cheng; Bu, Chunguang; Han, Jianda</t>
  </si>
  <si>
    <t>A Polar Rover for Large-scale Scientific Surveys: Design, Implementation and Field Test Results</t>
  </si>
  <si>
    <t>INTERNATIONAL JOURNAL OF ADVANCED ROBOTIC SYSTEMS</t>
  </si>
  <si>
    <t>Polar Rover; Autonomous Navigation; Obstacle Avoidance</t>
  </si>
  <si>
    <t>NAVIGATION; VISION</t>
  </si>
  <si>
    <t>Exploration of polar regions is of great importance to scientific research. Unfortunately, due to the harsh environment, most of the regions on the Antarctic continent are still unreachable for humankind. Therefore, in 2011, the Chinese National Antarctic Research Expedition (CHINARE) launched a project to design a rover to conduct large-scale scientific surveys on the Antarctic. The main challenges for the rover are twofold: one is the mobility, i.e., how to make a rover that could survive the harsh environment and safely move on the uneven, icy and snowy terrain; the other is the autonomy, in that the robot should be able to move at a relatively high speed with little or no human intervention so that it can explore a large region in a limit time interval under the communication constraints. In this paper, the corresponding techniques, especially the polar rover's design and autonomous navigation algorithms, are introduced in detail. Subsequently, an experimental report of the fields tests on the Antarctic is given to show some preliminary evaluation of the rover. Finally, experiences and existing challenging problems are summarized.</t>
  </si>
  <si>
    <t>[He, Yuqing; Chen, Cheng; Bu, Chunguang; Han, Jianda] Chinese Acad Sci, Shenyang Inst Automat, State Key Lab Robot, Shenyang 110016, Peoples R China</t>
  </si>
  <si>
    <t>Chinese Academy of Sciences; Shenyang Institute of Automation, CAS</t>
  </si>
  <si>
    <t>He, YQ (corresponding author), Chinese Acad Sci, Shenyang Inst Automat, State Key Lab Robot, Shenyang 110016, Peoples R China.</t>
  </si>
  <si>
    <t>heyuqing@sia.cn</t>
  </si>
  <si>
    <t>Han, Jian/ABZ-1060-2022</t>
  </si>
  <si>
    <t>Han, Jian/0000-0002-0647-4050</t>
  </si>
  <si>
    <t>State Key Program of National Natural Science of China [61035005]; Chinese Arctic and Antarctic Administration; Polar Research Institute of China</t>
  </si>
  <si>
    <t>State Key Program of National Natural Science of China(National Natural Science Foundation of China (NSFC)); Chinese Arctic and Antarctic Administration; Polar Research Institute of China</t>
  </si>
  <si>
    <t>This work is supported by State Key Program of National Natural Science of China (Grant No. 61035005).; The authors would like to thank all of the 28th CHINARE team members, Chinese Arctic and Antarctic Administration and Polar Research Institute of China for their support. The authors especially appreciate Fengming Hui from Beijing Normal University and Yubing Mo from Heilongjiang Administration of Surveying, Mapping and Geoinformation, for their help during the field tests.</t>
  </si>
  <si>
    <t>SAGE PUBLICATIONS INC</t>
  </si>
  <si>
    <t>THOUSAND OAKS</t>
  </si>
  <si>
    <t>2455 TELLER RD, THOUSAND OAKS, CA 91320 USA</t>
  </si>
  <si>
    <t>1729-8814</t>
  </si>
  <si>
    <t>INT J ADV ROBOT SYST</t>
  </si>
  <si>
    <t>Int. J. Adv. Robot. Syst.</t>
  </si>
  <si>
    <t>10.5772/60974</t>
  </si>
  <si>
    <t>Robotics</t>
  </si>
  <si>
    <t>CV4BR</t>
  </si>
  <si>
    <t>WOS:000364210900001</t>
  </si>
  <si>
    <t>Hillier, JK; Smith, MJ; Armugam, R; Barr, I; Boston, CM; Clark, CD; Ely, J; Fankl, A; Greenwood, SL; Gosselin, L; Hättestrand, C; Hogan, K; Hughes, ALC; Livingstone, SJ; Lovell, H; McHenry, M; Munoz, Y; Pellicer, XM; Pellitero, R; Robb, C; Roberson, S; Ruther, D; Spagnolo, M; Standell, M; Stokes, CR; Storrar, R; Tate, NJ; Wooldridge, K</t>
  </si>
  <si>
    <t>Hillier, J. K.; Smith, M. J.; Armugam, R.; Barr, I.; Boston, C. M.; Clark, C. D.; Ely, J.; Fankl, A.; Greenwood, S. L.; Gosselin, L.; Hattestrand, C.; Hogan, K.; Hughes, A. L. C.; Livingstone, S. J.; Lovell, H.; McHenry, M.; Munoz, Y.; Pellicer, X. M.; Pellitero, R.; Robb, C.; Roberson, S.; Ruther, D.; Spagnolo, M.; Standell, M.; Stokes, C. R.; Storrar, R.; Tate, N. J.; Wooldridge, K.</t>
  </si>
  <si>
    <t>Manual mapping of drumlins in synthetic landscapes to assess operator effectiveness</t>
  </si>
  <si>
    <t>JOURNAL OF MAPS</t>
  </si>
  <si>
    <t>objective; DEM; glacial landform; mapping; drumlin; synthetic</t>
  </si>
  <si>
    <t>SUBGLACIAL BEDFORMS; LANDFORMS; SEGMENTATION; BENEATH; FIELD</t>
  </si>
  <si>
    <t>Mapped topographic features are important for understanding processes that sculpt the Earth's surface. This paper presents maps that are the primary product of an exercise that brought together 27 researchers with an interest in landform mapping wherein the efficacy and causes of variation in mapping were tested using novel synthetic DEMs containing drumlins. The variation between interpreters (e.g. mapping philosophy, experience) and across the study region (e.g. woodland prevalence) opens these factors up to assessment. A priori known answers in the synthetics increase the number and strength of conclusions that may be drawn with respect to a traditional comparative study. Initial results suggest that overall detection rates are relatively low (34-40%), but reliability of mapping is higher (72-86%). The maps form a reference dataset.</t>
  </si>
  <si>
    <t>[Hillier, J. K.; Armugam, R.; Standell, M.] Univ Loughborough, Dept Geog, Loughborough, Leics, England; [Smith, M. J.] Univ Kingston, Sch Geog Geol &amp; Environm, Kingston Upon Thames KT1 2EE, Surrey, England; [Barr, I.] Queens Univ Belfast, Sch Geog Archaeol &amp; Palaeoecol, Belfast, Antrim, North Ireland; [Boston, C. M.] Univ Portsmouth, Dept Geog, Belfast, Antrim, North Ireland; [Clark, C. D.; Ely, J.; Livingstone, S. J.] Univ Sheffield, Dept Geog, Sheffield S10 2TN, S Yorkshire, England; [Fankl, A.] Univ Ghent, Dept Geog, B-9000 Ghent, Belgium; [Greenwood, S. L.] Stockholm Univ, Dept Geol Sci, S-10691 Stockholm, Sweden; [Gosselin, L.] Univ Quebec Rimouski, Dept Geog, Rimouski, PQ, Canada; [Hattestrand, C.] Stockholm Univ, Dept Phys Geog &amp; Quaternary Geol, S-10691 Stockholm, Sweden; [Hogan, K.] British Antarctic Survey, Cambridge CB3 0ET, England; [Hughes, A. L. C.] Univ Bergen, Dept Earth Sci, Bergen, Norway; [Hughes, A. L. C.] Bjerknes Ctr Climate Res, Bergen, Norway; [Lovell, H.] Queen Mary Univ London, Sch Geog, London, England; [McHenry, M.] Univ Ulster, Sch Environm Sci, Coleraine BT52 1SA, Londonderry, North Ireland; [Munoz, Y.] Univ Houston, Dept Earth &amp; Atmospher Sci, Houston, TX USA; [Pellicer, X. M.] Geol Survey Ireland, Dublin, Ireland; [Pellitero, R.; Spagnolo, M.] Univ Aberdeen, Sch Geosci, Dept Geog &amp; Environm, Aberdeen, Scotland; [Robb, C.] Univ Cambridge, Scott Polar Res Inst, Cambridge, England; [Roberson, S.] British Geol Survey, Belfast, Antrim, North Ireland; [Ruther, D.] SognHogskulen Sogn &amp; Fjordane, Sogndal, Norway; [Stokes, C. R.; Storrar, R.] Univ Durham, Dept Geog, Durham, England; [Tate, N. J.] Univ Leicester, Dept Geog, Leicester LE1 7RH, Leics, England; [Wooldridge, K.] Canterbury Christ Church Univ, Dept Geog &amp; Life Sci, Canterbury, England</t>
  </si>
  <si>
    <t>Loughborough University; Kingston University; Queens University Belfast; University of Sheffield; Ghent University; Stockholm University; University of Quebec; Universite du Quebec a Rimouski; Stockholm University; UK Research &amp; Innovation (UKRI); Natural Environment Research Council (NERC); NERC British Antarctic Survey; University of Bergen; Bjerknes Centre for Climate Research; University of London; Queen Mary University London; Ulster University; University of Houston System; University of Houston; University of Aberdeen; University of Cambridge; Western Norway University of Applied Sciences; Durham University; University of Leicester; Canterbury Christ Church University</t>
  </si>
  <si>
    <t>Hillier, JK (corresponding author), Univ Loughborough, Dept Geog, Loughborough, Leics, England.</t>
  </si>
  <si>
    <t>J.Hillier@lboro.ac.uk</t>
  </si>
  <si>
    <t>Wooldridge, Katie Louise/AGW-3866-2022; Smith, Mike/A-4431-2009; Hughes, Anna L. C./J-5628-2015; Spagnolo, Matteo/G-2415-2011; clark, chris/C-3830-2009; Stokes, Chris/A-1957-2011; frankl, amaury/J-5908-2012; Barr, Iestyn/L-2596-2013; Hillier, John/D-1484-2009; Pellicer, Xavier/J-8533-2017</t>
  </si>
  <si>
    <t>Hughes, Anna L. C./0000-0001-8584-5202; Spagnolo, Matteo/0000-0002-2753-338X; Ely, Jeremy/0000-0003-4007-1500; Munoz, Yuribia/0000-0002-9713-7729; Livingstone, Stephen/0000-0002-7240-5037; Robb, Ciaran/0000-0002-2314-4985; clark, chris/0000-0002-1021-6679; Smith, Michael/0000-0003-4719-8651; Stokes, Chris/0000-0003-3355-1573; frankl, amaury/0000-0002-1685-2780; Pellitero, Ramon/0000-0002-0283-379X; Barr, Iestyn/0000-0002-9066-8738; Lovell, Harold/0000-0002-9435-3178; Greenwood, Sarah/0000-0003-3048-7916; Hillier, John/0000-0002-0221-8383; Pellicer, Xavier/0000-0002-1508-728X; Storrar, Robert/0000-0003-4738-0082</t>
  </si>
  <si>
    <t>European Geophysical Union; Loughborough University; CHES group in the Geography Department; NERC [NE/D011175/1, bgs05001] Funding Source: UKRI; Natural Environment Research Council [bgs05001, NE/D011175/1] Funding Source: researchfish</t>
  </si>
  <si>
    <t>European Geophysical Union; Loughborough University; CHES group in the Geography Department; NERC(UK Research &amp; Innovation (UKRI)Natural Environment Research Council (NERC)); Natural Environment Research Council(UK Research &amp; Innovation (UKRI)Natural Environment Research Council (NERC))</t>
  </si>
  <si>
    <t>The European Geophysical Union financially supported the workshop including the provision of travel grants to young researchers. Loughborough University and the CHES group in the Geography Department provided financial support and facilities for the workshop. Kathy Mather's quantitative MSc work, co-supervised by N. Woodcock, on drumlin morphology (Mather, 2008) acted as an early driver for this project. The NEXTMap DEM data were supplied to MS.</t>
  </si>
  <si>
    <t>TAYLOR &amp; FRANCIS LTD</t>
  </si>
  <si>
    <t>ABINGDON</t>
  </si>
  <si>
    <t>2-4 PARK SQUARE, MILTON PARK, ABINGDON OR14 4RN, OXON, ENGLAND</t>
  </si>
  <si>
    <t>1744-5647</t>
  </si>
  <si>
    <t>J MAPS</t>
  </si>
  <si>
    <t>J. Maps</t>
  </si>
  <si>
    <t>10.1080/17445647.2014.957251</t>
  </si>
  <si>
    <t>Geography; Geography, Physical</t>
  </si>
  <si>
    <t>Science Citation Index Expanded (SCI-EXPANDED); Social Science Citation Index (SSCI)</t>
  </si>
  <si>
    <t>Geography; Physical Geography</t>
  </si>
  <si>
    <t>CP3IQ</t>
  </si>
  <si>
    <t>WOS:000359772800004</t>
  </si>
  <si>
    <t>Aronson, RB; Smith, KE; Vos, SC; McClintock, JB; Amsler, MO; Moksnes, PO; Ellis, DS; Kaeli, J; Singh, H; Bailey, JW; Schiferl, JC; van Woesik, R; Martin, MA; Steffel, BV; Deal, ME; Lazarus, SM; Havenhand, JN; Swalethorp, R; Kjellerup, S; Thatje, S</t>
  </si>
  <si>
    <t>Aronson, Richard B.; Smith, Kathryn E.; Vos, Stephanie C.; McClintock, James B.; Amsler, Margaret O.; Moksnes, Per-Olav; Ellis, Daniel S.; Kaeli, Jeffrey; Singh, Hanumant; Bailey, John W.; Schiferl, Jessica C.; van Woesik, Robert; Martin, Michael A.; Steffel, Brittan V.; Deal, Michelle E.; Lazarus, Steven M.; Havenhand, Jonathan N.; Swalethorp, Rasmus; Kjellerup, Sanne; Thatje, Sven</t>
  </si>
  <si>
    <t>No barrier to emergence of bathyal king crabs on the Antarctic shelf</t>
  </si>
  <si>
    <t>PROCEEDINGS OF THE NATIONAL ACADEMY OF SCIENCES OF THE UNITED STATES OF AMERICA</t>
  </si>
  <si>
    <t>biological invasion; polar emergence; climate change; predation; Southern Ocean</t>
  </si>
  <si>
    <t>LITHODIDAE CRUSTACEA DECAPODA; PENINSULA CONTINENTAL-SHELF; CLIMATE-CHANGE; SOUTHERN-OCEAN; MARINE ECOSYSTEM; PARALOMIS-SPINOSISSIMA; DIVING BEHAVIOR; SEA; ANOMURA; DEEP</t>
  </si>
  <si>
    <t>Cold-water conditions have excluded durophagous (skeleton-breaking) predators from the Antarctic seafloor for millions of years. Rapidly warming seas off the western Antarctic Peninsula could now facilitate their return to the continental shelf, with profound consequences for the endemic fauna. Among the likely first arrivals are king crabs (Lithodidae), which were discovered recently on the adjacent continental slope. During the austral summer of 2010-2011, we used underwater imagery to survey a slope-dwelling population of the lithodid Paralomis birsteini off Marguerite Bay, western Antarctic Peninsula for environmental or trophic impediments to shoreward expansion. The population density averaged similar to 4.5 individuals x 1,000 m(-2) within a depth range of 1,100. 1,500 m (overall observed depth range 841-2,266 m). Images of juveniles, discarded molts, and precopulatory behavior, as well as gravid females in a trapping study, suggested a reproductively viable population on the slope. At the time of the survey, there was no thermal barrier to prevent the lithodids from expanding upward and emerging on the outer shelf (400- to 550-m depth); however, near-surface temperatures remained too cold for them to survive in inner-shelf and coastal environments (&lt;200 m). Ambient salinity, composition of the substrate, and the depth distribution of potential predators likewise indicated no barriers to expansion of lithodids onto the outer shelf. Primary food resources for lithodids-echinoderms and mollusks-were abundant on the upper slope (550-800 m) and outer shelf. As sea temperatures continue to rise, lithodids will likely play an increasingly important role in the trophic structure of subtidal communities closer to shore.</t>
  </si>
  <si>
    <t>[Aronson, Richard B.; Smith, Kathryn E.; Vos, Stephanie C.; Ellis, Daniel S.; Schiferl, Jessica C.; van Woesik, Robert; Martin, Michael A.; Steffel, Brittan V.; Deal, Michelle E.; Lazarus, Steven M.] Florida Inst Technol, Dept Biol Sci, Melbourne, FL 32901 USA; [McClintock, James B.; Amsler, Margaret O.] Univ Alabama Birmingham, Dept Biol, Birmingham, AL 35294 USA; [Moksnes, Per-Olav; Swalethorp, Rasmus; Kjellerup, Sanne] Univ Gothenburg, Dept Marine Sci, SE-40530 Gothenburg, Sweden; [Kaeli, Jeffrey; Singh, Hanumant; Bailey, John W.] Woods Hole Oceanog Inst, Dept Appl Ocean Phys &amp; Engn, Woods Hole, MA 02543 USA; [Havenhand, Jonathan N.] Univ Gothenburg, Dept Marine Sci Tjarno, SE-45296 Gothenburg, Stromstad, Sweden; [Swalethorp, Rasmus; Kjellerup, Sanne] Tech Univ Denmark, Natl Inst Aquat Resources DTU Aqua, Sect Oceanog &amp; Climate, DK-2920 Charlottenlund, Denmark; [Thatje, Sven] Univ Southampton, Ocean &amp; Earth Sci, Southampton SO14 3ZH, Hants, England</t>
  </si>
  <si>
    <t>Florida Institute of Technology; University of Alabama System; University of Alabama Birmingham; University of Gothenburg; Woods Hole Oceanographic Institution; University of Gothenburg; Technical University of Denmark; University of Southampton</t>
  </si>
  <si>
    <t>Aronson, RB (corresponding author), Florida Inst Technol, Dept Biol Sci, Melbourne, FL 32901 USA.</t>
  </si>
  <si>
    <t>raronson@fit.edu</t>
  </si>
  <si>
    <t>Ellis, Daniel/GWN-0700-2022; Havenhand, Jon N/F-5435-2013</t>
  </si>
  <si>
    <t>Aronson, Richard/0000-0003-0383-3844; Steffel, Brittan/0000-0003-0477-8883; Swalethorp, Rasmus/0000-0003-0065-4381; Lazarus, Steven/0000-0002-5918-1059; Havenhand, Jonathan/0000-0001-6721-7763</t>
  </si>
  <si>
    <t>National Science Foundation [ANT-0838846, ANT-1141877, ANT-0838844, ANT-1141896]; Swedish Research Council [824-2008-6429]; Office of Polar Programs (OPP); Directorate For Geosciences [1141877] Funding Source: National Science Foundation</t>
  </si>
  <si>
    <t>National Science Foundation(National Science Foundation (NSF)); Swedish Research Council(Swedish Research Council); Office of Polar Programs (OPP); Directorate For Geosciences(National Science Foundation (NSF)NSF - Directorate for Geosciences (GEO))</t>
  </si>
  <si>
    <t>This study was part of the fifth expedition to Antarctica carried out jointly by the US National Science Foundation, the Swedish Polar Research Secretariat, and the Swedish Research Council. We thank the crews of the RV Nathaniel B. Palmer and RVIB Oden, as well as the staff of Raytheon Polar Services Corporation, for logistical support in the field; K. Tonnesson, F. Weyer, and Y. S. Zhang for assistance; and M. Bansode, M. Bush, J. Eastman, and L. Toth for helpful discussion. Our research was supported by National Science Foundation Grants ANT-0838846 and ANT-1141877 (to R.B.A.), and ANT-0838844 and ANT-1141896 (to J.B.M.); and by Swedish Research Council Grant 824-2008-6429 (to P.-O.M. and J.N.H.). This is contribution 138 from the Institute for Research on Global Climate Change at the Florida Institute of Technology.</t>
  </si>
  <si>
    <t>NATL ACAD SCIENCES</t>
  </si>
  <si>
    <t>2101 CONSTITUTION AVE NW, WASHINGTON, DC 20418 USA</t>
  </si>
  <si>
    <t>0027-8424</t>
  </si>
  <si>
    <t>P NATL ACAD SCI USA</t>
  </si>
  <si>
    <t>Proc. Natl. Acad. Sci. U. S. A.</t>
  </si>
  <si>
    <t>10.1073/pnas.1513962112</t>
  </si>
  <si>
    <t>CT9LN</t>
  </si>
  <si>
    <t>Green Published, hybrid</t>
  </si>
  <si>
    <t>WOS:000363138600038</t>
  </si>
  <si>
    <t>Rao, NV; Espy, PJ; Hibbins, RE; Fritts, DC; Kavanagh, AJ</t>
  </si>
  <si>
    <t>Rao, N. Venkateswara; Espy, P. J.; Hibbins, R. E.; Fritts, D. C.; Kavanagh, A. J.</t>
  </si>
  <si>
    <t>Observational evidence of the influence of Antarctic stratospheric ozone variability on middle atmosphere dynamics</t>
  </si>
  <si>
    <t>MLT dynamics; stratosphere; ozone variability; MF radar; PMC; PMSE</t>
  </si>
  <si>
    <t>POLAR MESOSPHERE; GRAVITY-WAVE; RADAR; BREAKING; METEOR</t>
  </si>
  <si>
    <t>Modeling results have suggested that the circulation of the stratosphere and mesosphere in spring is strongly affected by the perturbations in heating induced by the Antarctic ozone hole. Here using both mesospheric MF radar wind observations from Rothera Antarctica (67 degrees S, 68 degrees W) as well as stratospheric analysis data, we present observational evidence that the stratospheric and mesospheric wind strengths are highly anti-correlated, and show their largest variability in November. We find that these changes are related to the total amount of ozone loss that occurs during the Antarctic spring ozone hole and particularly with the ozone gradients that develop between 57.5 degrees S and 77.5 degrees S. The results show that with increasing ozone loss during spring, winter conditions in the stratosphere and mesosphere persist longer into the summer. These results are discussed in the light of observations of the onset and duration of the Antarctic polar mesospheric cloud season.</t>
  </si>
  <si>
    <t>[Rao, N. Venkateswara] Natl Atmospher Res Lab, Gadanki, India; [Rao, N. Venkateswara; Espy, P. J.; Hibbins, R. E.] Norwegian Univ Sci &amp; Technol, Dept Phys, N-7034 Trondheim, Norway; [Rao, N. Venkateswara; Espy, P. J.; Hibbins, R. E.] Birkeland Ctr Space Sci, Bergen, Norway; [Fritts, D. C.] GATS Inc, Boulder, CO USA; [Kavanagh, A. J.] British Antarctic Survey, Cambridge CB3 0ET, England</t>
  </si>
  <si>
    <t>Department of Space (DoS), Government of India; National Atmospheric Research Laboratory (NARL); Norwegian University of Science &amp; Technology (NTNU); UK Research &amp; Innovation (UKRI); Natural Environment Research Council (NERC); NERC British Antarctic Survey</t>
  </si>
  <si>
    <t>Rao, NV (corresponding author), Natl Atmospher Res Lab, Gadanki, India.</t>
  </si>
  <si>
    <t>nvrao@narl.gov.in</t>
  </si>
  <si>
    <t>Hibbins, Robert/0000-0002-6867-2255</t>
  </si>
  <si>
    <t>Birkeland Centre for Space Science (Research Council of Norway/CoE) [223252/F50]; NSF [OPP-0839084]; NERC [bas0100031] Funding Source: UKRI; Natural Environment Research Council [bas0100031] Funding Source: researchfish</t>
  </si>
  <si>
    <t>Birkeland Centre for Space Science (Research Council of Norway/CoE); NSF(National Science Foundation (NSF)); NERC(UK Research &amp; Innovation (UKRI)Natural Environment Research Council (NERC)); Natural Environment Research Council(UK Research &amp; Innovation (UKRI)Natural Environment Research Council (NERC))</t>
  </si>
  <si>
    <t>Part of this work was undertaken when N.V. Rao was a postdoctoral fellow at NTNU under a project funded by Birkeland Centre for Space Science (Research Council of Norway/CoE Contract 223252/F50). We thank the Global Modeling and Assimilation Office and Goddard Earth Science Data and Information Services Center for the dissemination of MERRA. The authors would like to thank the staff of the British Antarctic Survey who were involved in the maintenance and operation of the Rothera MF radar. Partial support for operations and research using the Rothera MF radar was provided, most recently, by NSF grant OPP-0839084.</t>
  </si>
  <si>
    <t>OCT 16</t>
  </si>
  <si>
    <t>10.1002/2015GL065432</t>
  </si>
  <si>
    <t>CU7DF</t>
  </si>
  <si>
    <t>Bronze, Green Accepted</t>
  </si>
  <si>
    <t>WOS:000363695500001</t>
  </si>
  <si>
    <t>McGillicuddy, DJ; Sedwick, PN; Dinniman, MS; Arrigo, KR; Bibby, TS; Greenan, BJW; Hofmann, EE; Klinck, JM; Smith, WO; Mack, SL; Marsay, CM; Sohst, BM; van Dijken, GL</t>
  </si>
  <si>
    <t>McGillicuddy, D. J., Jr.; Sedwick, P. N.; Dinniman, M. S.; Arrigo, K. R.; Bibby, T. S.; Greenan, B. J. W.; Hofmann, E. E.; Klinck, J. M.; Smith, W. O., Jr.; Mack, S. L.; Marsay, C. M.; Sohst, B. M.; van Dijken, G. L.</t>
  </si>
  <si>
    <t>Iron supply and demand in an Antarctic shelf ecosystem</t>
  </si>
  <si>
    <t>iron; Ross Sea; biogeochemical cycling</t>
  </si>
  <si>
    <t>PHYTOPLANKTON TAXONOMIC VARIABILITY; SOUTHERN-OCEAN PHYTOPLANKTON; ROSS SEA; PARTICULATE IRON; FERTILIZATION; DISTRIBUTIONS; LIMITATION; SEDIMENT; NITROGEN; BLOOMS</t>
  </si>
  <si>
    <t>The Ross Sea sustains a rich ecosystem and is the most productive sector of the Southern Ocean. Most of this production occurs within a polynya during the November-February period, when the availability of dissolved iron (dFe) is thought to exert the major control on phytoplankton growth. Here we combine new data on the distribution of dFe, high-resolution model simulations of ice melt and regional circulation, and satellite-based estimates of primary production to quantify iron supply and demand over the Ross Sea continental shelf. Our analysis suggests that the largest sources of dFe to the euphotic zone are wintertime mixing and melting sea ice, with a lesser input from intrusions of Circumpolar Deep Water and a small amount from melting glacial ice. Together these sources are in approximate balance with the annual biological dFe demand inferred from satellite-based productivity algorithms, although both the supply and demand estimates have large uncertainties.</t>
  </si>
  <si>
    <t>[McGillicuddy, D. J., Jr.] Woods Hole Oceanog Inst, Woods Hole, MA 02543 USA; [Sedwick, P. N.; Dinniman, M. S.; Hofmann, E. E.; Klinck, J. M.; Mack, S. L.; Marsay, C. M.; Sohst, B. M.] Old Dominion Univ, Dept Ocean Earth &amp; Atmospher Sci, Norfolk, VA USA; [Arrigo, K. R.; van Dijken, G. L.] Stanford Univ, Dept Earth Syst Sci, Stanford, CA 94305 USA; [Bibby, T. S.] Univ Southampton, Ocean &amp; Earth Sci, Natl Oceanog Ctr Southampton, Southampton, Hants, England; [Greenan, B. J. W.] Bedford Inst Oceanog, Ocean &amp; Ecosyst Sci Div, Dept Fisheries &amp; Oceans, Dartmouth, NS, Canada; [Smith, W. O., Jr.] Virginia Inst Marine Sci, Coll William &amp; Mary, Gloucester Point, VA 23062 USA</t>
  </si>
  <si>
    <t>Woods Hole Oceanographic Institution; Old Dominion University; Stanford University; NERC National Oceanography Centre; University of Southampton; Bedford Institute of Oceanography; Fisheries &amp; Oceans Canada; William &amp; Mary; Virginia Institute of Marine Science</t>
  </si>
  <si>
    <t>McGillicuddy, DJ (corresponding author), Woods Hole Oceanog Inst, Woods Hole, MA 02543 USA.</t>
  </si>
  <si>
    <t>dmcgillicuddy@whoi.edu</t>
  </si>
  <si>
    <t>Greenan, Blair/JAD-0075-2023; Van Dijken, Gert L/C-5276-2011; Bibby, Thomas S/C-9159-2014; Mack, Stefanie L/I-1592-2019</t>
  </si>
  <si>
    <t>Mack, Stefanie L/0000-0002-0995-9678; Marsay, Christopher/0000-0003-1244-0444; Bibby, Thomas/0000-0003-1743-473X; Van Dijken, Gert/0000-0002-9587-6317; McGillicuddy, Dennis/0000-0002-1437-2425; Dinniman, Michael/0000-0001-7519-9278; Sedwick, Peter/0000-0003-0663-8323; Klinck, John/0000-0003-4312-5201; Arrigo, Kevin/0000-0002-7364-876X</t>
  </si>
  <si>
    <t>National Science Foundation's United States Antarctic Program; NERC [NE/F019254/1] Funding Source: UKRI; Natural Environment Research Council [NE/F019254/1] Funding Source: researchfish; Directorate For Geosciences; Division Of Polar Programs [0944165] Funding Source: National Science Foundation</t>
  </si>
  <si>
    <t>National Science Foundation's United States Antarctic Program;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t>
  </si>
  <si>
    <t>The data used in this paper are archived at the Biological and Chemical Oceanography Data Management Office: http://www.bco-dmo.org/project/2155. Support of this research by the National Science Foundation's United States Antarctic Program is gratefully acknowledged. We thank the officers, crew, and technical personnel on board the R/V Nathaniel B. Palmer for their outstanding support during our seagoing operations. S. Howard and S. Springer assisted in adding tidal forcing to the circulation model. O. Kosnyrev, V. Kosnyrev, and L. Anderson provided technical support in data analysis and figure preparation. We thank two anonymous referees for their thorough reviews that helped improve the manuscript.</t>
  </si>
  <si>
    <t>10.1002/2015GL065727</t>
  </si>
  <si>
    <t>Green Published, Green Accepted, hybrid</t>
  </si>
  <si>
    <t>WOS:000363695500029</t>
  </si>
  <si>
    <t>Seppälä, A; Clilverd, MA; Beharrell, MJ; Rodger, CJ; Verronen, PT; Andersson, ME; Newnham, DA</t>
  </si>
  <si>
    <t>Seppala, A.; Clilverd, M. A.; Beharrell, M. J.; Rodger, C. J.; Verronen, P. T.; Andersson, M. E.; Newnham, D. A.</t>
  </si>
  <si>
    <t>Substorm-induced energetic electron precipitation: Impact on atmospheric chemistry</t>
  </si>
  <si>
    <t>energetic electron precipitation; mesosphere; substorms; ozone; NOx; HOx</t>
  </si>
  <si>
    <t>SOLAR PROTON EVENTS</t>
  </si>
  <si>
    <t>Magnetospheric substorms drive energetic electron precipitation into the Earth's atmosphere. We use the output from a substorm model to describe electron precipitation forcing of the atmosphere during an active substorm period in April-May 2007. We provide the first estimate of substorm impact on the neutral composition of the polar middle atmosphere. Model simulations show that the enhanced ionization from a series of substorms leads to an estimated ozone loss of 5-50% in the mesospheric column depending on season. This is similar in scale to small to medium solar proton events (SPEs). This effect on polar ozone balance is potentially more important on long time scales (months to years) than the impulsive but sporadic (few SPE/year versus three to four substorms/day) effect of SPEs. Our results suggest that substorms should be considered an important source of energetic particle precipitation into the atmosphere and included in high-top chemistry-climate models.</t>
  </si>
  <si>
    <t>[Seppala, A.; Verronen, P. T.; Andersson, M. E.] Finnish Meteorol Inst, FIN-00101 Helsinki, Finland; [Clilverd, M. A.; Newnham, D. A.] British Antarctic Survey, NERC, Cambridge CB3 0ET, England; [Beharrell, M. J.] Univ Lancaster, Dept Phys, Lancaster, England; [Rodger, C. J.] Univ Otago, Dept Phys, Dunedin, New Zealand</t>
  </si>
  <si>
    <t>Finnish Meteorological Institute; UK Research &amp; Innovation (UKRI); Natural Environment Research Council (NERC); NERC British Antarctic Survey; Lancaster University; University of Otago</t>
  </si>
  <si>
    <t>Seppälä, A (corresponding author), Finnish Meteorol Inst, FIN-00101 Helsinki, Finland.</t>
  </si>
  <si>
    <t>annika.seppala@fmi.fi</t>
  </si>
  <si>
    <t>Szelag, Monika Ewa/AAH-3529-2019; Verronen, P. T./AIE-0203-2022; Seppälä, Annika/C-8031-2014; Verronen, Pekka T/G-6658-2014; Rodger, Craig/A-1501-2011</t>
  </si>
  <si>
    <t>Szelag, Monika Ewa/0000-0002-8501-3366; Verronen, P. T./0000-0002-3479-9071; Seppälä, Annika/0000-0002-5028-8220; Rodger, Craig J./0000-0002-6770-2707</t>
  </si>
  <si>
    <t>Academy of Finland; Finnish Academy Research Fellowship [258165, 265005]; SECTIC: Sun-Earth Connection Through Ion Chemistry [276926]; UK Natural Environmental Research Council [NE/J008125/1]; NERC [NE/J008125/1, NE/J007773/1, NE/J022187/1, bas0100031] Funding Source: UKRI; Natural Environment Research Council [NE/J007773/1, bas0100031, NE/J022187/1, NE/J008125/1] Funding Source: researchfish</t>
  </si>
  <si>
    <t>Academy of Finland(Research Council of Finland); Finnish Academy Research Fellowship; SECTIC: Sun-Earth Connection Through Ion Chemistry; UK 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</si>
  <si>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geomagnetic data suppliers and the World Data Center for Geomagnetism, Kyoto, for making the Dst and AE index data available via http://wdc.kugi.kyoto-u.ac.jp. We thank the Academy of Finland for supporting this research: A.S. was supported by the Finnish Academy Research Fellowship 258165 and 265005 (CLASP: Climate and Solar Particle Forcing), and P.T.V. and M.E.A. were supported through the project 276926 (SECTIC: Sun-Earth Connection Through Ion Chemistry). This work was also supported by the UK Natural Environmental Research Council (grant NE/J008125/1). The data supporting the analysis and conclusions are available from the corresponding author.</t>
  </si>
  <si>
    <t>10.1002/2015GL065523</t>
  </si>
  <si>
    <t>WOS:000363695500039</t>
  </si>
  <si>
    <t>Wegner, A; Fischer, H; Delmonte, B; Petit, JR; Erhardt, T; Ruth, U; Svensson, A; Vinther, B; Miller, H</t>
  </si>
  <si>
    <t>Wegner, Anna; Fischer, Hubertus; Delmonte, Barbara; Petit, Jean-Robert; Erhardt, Tobias; Ruth, Urs; Svensson, Anders; Vinther, Bo; Miller, Heinrich</t>
  </si>
  <si>
    <t>The role of seasonality of mineral dust concentration and size on glacial/interglacial dust changes in the EPICA Dronning Maud Land ice core</t>
  </si>
  <si>
    <t>We present a record of particulate dust concentration and size distribution in subannual resolution measured on the European Project for Ice Coring in Antarctica (EPICA) Dronning Maud Land (EDML) ice core drilled in the Atlantic sector of the East Antarctic plateau. The record reaches from present day back to the penultimate glacial until 145,000 years B.P. with subannual resolution from 60,000 years B.P. to the present. Mean dust concentrations are a factor of 46 higher during the glacial (similar to 850-4600 ng/mL) compared to the Holocene (similar to 16-112 ng/mL) with slightly smaller dust particles during the glacial compared to the Holocene and with an absolute minimum in the dust size at 16,000 years B. P. The changes in dust concentration are mainly attributed to changes in source conditions in southern South America. An increase in the modal value of the dust size suggests that at 16,000 years B. P. a major change in atmospheric circulation apparently allowed more direct transport of dust particles to the EDML drill site. We find a clear in-phase relation of the seasonal variation in dust mass concentration and dust size during the glacial (r(conc,size)=0.8) but no clear phase relationship during the Holocene (0 &lt; r(conc, size) &lt; 0.4). With a simple conceptual 1-D model describing the transport of the dust to the ice sheet using the size as an indicator for transport intensity, we find that the effect of the changes in the seasonality of the source emission strength and the transport intensity on the dust decrease over Transition 1 can significantly contribute to the large decrease of dust concentration from the glacial to the Holocene.</t>
  </si>
  <si>
    <t>[Wegner, Anna; Ruth, Urs; Miller, Heinrich] Helmholtz Zentrum Polar &amp; Meeresforsch, Alfred Wegener Inst Bremerhaven, Bremerhaven, Germany; [Fischer, Hubertus; Erhardt, Tobias] Univ Bern, Climate &amp; Environm Phys, Phys Inst, Bern, Switzerland; [Fischer, Hubertus; Erhardt, Tobias] Univ Bern, Oeschger Ctr Climate Change Res, Bern, Switzerland; [Delmonte, Barbara] Univ Milano Bicocca, Dept Environm Sci, Milan, Italy; [Petit, Jean-Robert] Univ Joseph Fourier, CNRS, Lab Glaciol &amp; Geophys Environm, St Martin Dheres, France; [Ruth, Urs] Robert Bosch GmbH, Corp Sect Res &amp; Adv Engn, Renningen, Germany; [Svensson, Anders; Vinther, Bo] Univ Copenhagen, Niels Bohr Inst, Ctr Ice &amp; Climate, Copenhagen, Denmark</t>
  </si>
  <si>
    <t>Helmholtz Association; Alfred Wegener Institute, Helmholtz Centre for Polar &amp; Marine Research; University of Bern; University of Bern; University of Milano-Bicocca; Communaute Universite Grenoble Alpes; Universite Grenoble Alpes (UGA); Centre National de la Recherche Scientifique (CNRS); Bosch; University of Copenhagen; Niels Bohr Institute</t>
  </si>
  <si>
    <t>Wegner, A (corresponding author), Helmholtz Zentrum Polar &amp; Meeresforsch, Alfred Wegener Inst Bremerhaven, Bremerhaven, Germany.</t>
  </si>
  <si>
    <t>anna.wegner@awi.de</t>
  </si>
  <si>
    <t>Erhardt, Tobias/C-4589-2019; Delmonte, Barbara/L-2555-2015; Svensson, Anders/A-2643-2010; Fischer, Hubertus/A-1211-2014</t>
  </si>
  <si>
    <t>Erhardt, Tobias/0000-0002-6683-6746; Delmonte, Barbara/0000-0002-9074-2061; Svensson, Anders/0000-0002-4364-6085; Miller, Heinrich/0000-0003-1015-2828; Fischer, Hubertus/0000-0002-2787-4221; Vinther, Bo/0000-0002-6078-771X</t>
  </si>
  <si>
    <t>EU; Division for Climate and Environmental Physics, Physics Institute, University of Bern</t>
  </si>
  <si>
    <t>EU(European Union (EU)); Division for Climate and Environmental Physics, Physics Institute, University of Bern</t>
  </si>
  <si>
    <t>We thank two anonymous reviewers for useful suggestions to improve the manuscript.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301. The Division for Climate and Environmental Physics, Physics Institute, University of Bern acknowledges the long-term financial support of our Continuous Flow Analysis on ice cores by the Swiss National Science Foundation (SNSF). Anna Wegner thanks DGF and REKLIM for funding. Data are available on www.pangaea.de.</t>
  </si>
  <si>
    <t>10.1002/2015JD023608</t>
  </si>
  <si>
    <t>V45WR</t>
  </si>
  <si>
    <t>Bronze, Green Submitted, Green Published</t>
  </si>
  <si>
    <t>WOS:000209847200006</t>
  </si>
  <si>
    <t>Liu, XS; Wang, L; Li, S; Huo, YZ; He, PM; Zhang, ZN</t>
  </si>
  <si>
    <t>Liu, Xiaoshou; Wang, Lu; Li, Shuai; Huo, Yuanzi; He, Peimin; Zhang, Zhinan</t>
  </si>
  <si>
    <t>Quantitative distribution and functional groups of intertidal macrofaunal assemblages in Fildes Peninsula, King George Island, South Shetland Islands, Southern Ocean</t>
  </si>
  <si>
    <t>MARINE POLLUTION BULLETIN</t>
  </si>
  <si>
    <t>Macrofauna; Intertidal sediment; Biodiversity; Functional group; Fildes Peninsula; Antarctica</t>
  </si>
  <si>
    <t>ANTARCTIC PENINSULA; COMMUNITIES; ECOLOGY; SEA; BENTHOS; ZONE; BAY; COLONIZATION; DISTURBANCE; DELTA-C-13</t>
  </si>
  <si>
    <t>To evaluate spatial distribution pattern of intertidal macrofauna, quantitative investigation was performed in January to February, 2013 around Fildes Peninsula, King George Island, South Shetland Islands. A total of 34 species were identified, which were dominated by Mollusca, Annelida and Arthropoda. CLUSTER analysis showed that macrofaunal assemblages at sand-bottom sites belonged to one group, which was dominated by Lumbricillus sp. and Kidderia subquadrata. Macrofaunal assemblages at gravel-bottom sites were divided into three groups while Nacelle concinna was the dominant species at most sites. The highest values of biomass and Shannon Wiener diversity index were found in gravel sediment and the highest value of abundance was in sand sediment of eastern coast. In terms of functional group, detritivorous and planktophagous groups had the highest values of abundance and biomass, respectively. Correlation analysis showed that macrofaunal abundance and biomass had significant positive correlations with contents of sediment chlorophyll a, phaeophorbide and organic matter. (C) 2015 Elsevier Ltd. All rights reserved.</t>
  </si>
  <si>
    <t>[Liu, Xiaoshou; Wang, Lu; Li, Shuai; Zhang, Zhinan] Ocean Univ China, Coll Marine Life Sci, Qingdao 266003, Peoples R China; [Huo, Yuanzi; He, Peimin] Shanghai Ocean Univ, Coll Fisheries &amp; Life Sci, Shanghai 201306, Peoples R China</t>
  </si>
  <si>
    <t>Ocean University of China; Shanghai Ocean University</t>
  </si>
  <si>
    <t>Liu, XS (corresponding author), Ocean Univ China, Coll Marine Life Sci, Qingdao 266003, Peoples R China.</t>
  </si>
  <si>
    <t>liuxs@ouc.edu.cn</t>
  </si>
  <si>
    <t>Liu, Xiaoshou/B-3741-2008; he, peimin/ABG-4220-2021; Huo, Yuanzi/R-4840-2017; Liu, Xiaoshou/I-3001-2019; Huo, Yuanzi/JGD-0566-2023</t>
  </si>
  <si>
    <t>Liu, Xiaoshou/0000-0002-0017-7186; He, Peimin/0000-0003-3704-7905</t>
  </si>
  <si>
    <t>Chinese Polar Environment Comprehensive Investigation and Assessment Program [CHINRE2015-02-01, CHINARE2015-04-01]; Fundamental Research Fund for Central Universities of the Ministry of Education of China [201462008]</t>
  </si>
  <si>
    <t>Chinese Polar Environment Comprehensive Investigation and Assessment Program; Fundamental Research Fund for Central Universities of the Ministry of Education of China</t>
  </si>
  <si>
    <t>This work was funded by the Chinese Polar Environment Comprehensive Investigation and Assessment Program (CHINRE2015-02-01, CHINARE2015-04-01) and the Fundamental Research Fund for Central Universities of the Ministry of Education of China (201462008). The authors appreciate the assistance of Prof. Yong Yu and all members of the 29th Chinese Antarctic Scientific Expedition during samples collecting. Prof. Greg W. Rouse and Dr. Tim D. O'hara are thanked for their kind help on specimen identification. Prof. Hans-U. Dahms also is acknowledged for critical remarks on this manuscript.</t>
  </si>
  <si>
    <t>0025-326X</t>
  </si>
  <si>
    <t>1879-3363</t>
  </si>
  <si>
    <t>MAR POLLUT BULL</t>
  </si>
  <si>
    <t>Mar. Pollut. Bull.</t>
  </si>
  <si>
    <t>OCT 15</t>
  </si>
  <si>
    <t>1-2</t>
  </si>
  <si>
    <t>10.1016/j.marpolbul.2015.07.047</t>
  </si>
  <si>
    <t>Environmental Sciences; Marine &amp; Freshwater Biology</t>
  </si>
  <si>
    <t>CV4SY</t>
  </si>
  <si>
    <t>WOS:000364258000044</t>
  </si>
  <si>
    <t>Gómez-Guzmán, JM; Bishop, S; Faestermann, T; Famulok, N; Fimiani, L; Hain, K; Jahn, S; Korschinek, G; Ludwig, P; Rodrigues, D</t>
  </si>
  <si>
    <t>Gomez-Guzman, J. M.; Bishop, S.; Faestermann, T.; Famulok, N.; Fimiani, L.; Hain, K.; Jahn, S.; Korschinek, G.; Ludwig, P.; Rodrigues, D.</t>
  </si>
  <si>
    <t>Accretion rate of extraterrestrial 41Ca in Antarctic snow samples</t>
  </si>
  <si>
    <t>NUCLEAR INSTRUMENTS &amp; METHODS IN PHYSICS RESEARCH SECTION B-BEAM INTERACTIONS WITH MATERIALS AND ATOMS</t>
  </si>
  <si>
    <t>Article; Proceedings Paper</t>
  </si>
  <si>
    <t>13th International Conference on Accelerator Mass Spectrometry (AMS)</t>
  </si>
  <si>
    <t>AUG 24-29, 2014</t>
  </si>
  <si>
    <t>Aix en Provence, FRANCE</t>
  </si>
  <si>
    <t>AMS; Ca-41; Interplanetary dust</t>
  </si>
  <si>
    <t>COSMIC SPHERULES; COSMOGENIC CA-41; CROSS-SECTIONS; TERRESTRIAL; ACCELERATOR; DUST; PARTICLES; CHEMISTRY; METEORITE; FLUX</t>
  </si>
  <si>
    <t>Interplanetary Dust Particles (IDPs) are small grains, generally less than a few hundred micrometers in size. Their main source is the Asteroid Belt, located at 3 AU from the Sun, between Mars and Jupiter. During their flight from the Asteroid Belt to the Earth they are irradiated by galactic and solar cosmic rays (GCR and SCR), thus radionuclides are formed, like Ca-41 and Mn-53. Therefore, Ca-41 (T-1/2 = 1.03 x 10(5) yr) can be used as a key tracer to determine the accretion rate of IDPs onto the Earth because there are no significant terrestrial sources for this radionuclide. The first step of this study consisted to calculate the production rate of Ca-41 in IDPs accreted by the Earth during their travel from the Asteroid Belt. This production rate, used in accordance with the Ca-41/Ca-40 ratios that will be measured in snow samples from the Antarctica will be used to calculate the amount of extraterrestrial material accreted by the Earth per year. There challenges for this project are, at first, the much longer time for the flight needed by the IDPs to travel from the Asteroid Belt to the Earth in comparison with the Ca-41 half-life yields an early saturation for the Ca-41/Ca-40 ratio, and second, the importance of selecting the correct sampling site to avoid a high influx of natural Ca-40, preventing dilution of the Ca-41/Ca-40 ratio, the quantity measured by AMS. (C) 2015 Elsevier B.V. All rights reserved.</t>
  </si>
  <si>
    <t>[Gomez-Guzman, J. M.; Bishop, S.; Faestermann, T.; Famulok, N.; Fimiani, L.; Hain, K.; Jahn, S.; Korschinek, G.; Ludwig, P.] Tech Univ Munich, Fak Phys, D-85748 Garching, Germany; [Rodrigues, D.] Comis Nacl Energia Atom, Lab TANDAR, Buenos Aires, DF, Argentina</t>
  </si>
  <si>
    <t>Technical University of Munich; Comision Nacional de Energia Atomica (CNEA)</t>
  </si>
  <si>
    <t>Gómez-Guzmán, JM (corresponding author), Tech Univ Munich, Fak Phys, James Franck Str 1, D-85748 Garching, Germany.</t>
  </si>
  <si>
    <t>jose.gomez@ph.tum.de</t>
  </si>
  <si>
    <t>Hain, Karin/ABB-7719-2020; Rodrigues, Dario De Oliveira/ITT-2166-2023; Faestermann, Thomas/ABE-2360-2020</t>
  </si>
  <si>
    <t>Hain, Karin/0000-0001-5083-1986; Faestermann, Thomas/0000-0002-6603-8787; Rodrigues Ferreira Maltez, Dario Pablo/0000-0002-7952-7168; Gomez Guzman, Jose Manuel/0000-0002-9055-2268</t>
  </si>
  <si>
    <t>0168-583X</t>
  </si>
  <si>
    <t>1872-9584</t>
  </si>
  <si>
    <t>NUCL INSTRUM METH B</t>
  </si>
  <si>
    <t>Nucl. Instrum. Methods Phys. Res. Sect. B-Beam Interact. Mater. Atoms</t>
  </si>
  <si>
    <t>10.1016/j.nimb.2015.05.016</t>
  </si>
  <si>
    <t>Instruments &amp; Instrumentation; Nuclear Science &amp; Technology; Physics, Atomic, Molecular &amp; Chemical; Physics, Nuclear</t>
  </si>
  <si>
    <t>Science Citation Index Expanded (SCI-EXPANDED); Conference Proceedings Citation Index - Science (CPCI-S)</t>
  </si>
  <si>
    <t>Instruments &amp; Instrumentation; Nuclear Science &amp; Technology; Physics</t>
  </si>
  <si>
    <t>CU2HZ</t>
  </si>
  <si>
    <t>WOS:000363345900116</t>
  </si>
  <si>
    <t>Illuminati, S; Annibaldi, A; Truzzi, C; Libani, G; Mantini, C; Scarponi, G</t>
  </si>
  <si>
    <t>Illuminati, Silvia; Annibaldi, Anna; Truzzi, Cristina; Libani, Giulia; Mantini, Caterina; Scarponi, Giuseppe</t>
  </si>
  <si>
    <t>Determination of water:soluble, acid-extractable and inert fractions of Cd, Pb and Cu in Antarctic aerosol by square wave anodic stripping voltammetry after sequential extraction and microwave digestion</t>
  </si>
  <si>
    <t>JOURNAL OF ELECTROANALYTICAL CHEMISTRY</t>
  </si>
  <si>
    <t>Square wave anodic stripping voltammetry; Set-up and optimization; Heavy metals; Antarctic aerosol; Chemical fractionation; Microwave digestion</t>
  </si>
  <si>
    <t>AIRBORNE PARTICULATE MATTER; PLASMA-MASS SPECTROMETRY; MERCURY FILM ELECTRODE; GREENLAND ICE CORE; TERRA-NOVA BAY; ATMOSPHERIC AEROSOL; HYDROFLUORIC-ACID; TRACE-ELEMENTS; SILICEOUS SPICULES; MARINE SPONGES</t>
  </si>
  <si>
    <t>A two-step microwave (MW) digestion (ramps to 135 degrees C and to 185 degrees C) was set up for the subsequent voltammetric determination of the inert fraction of Cd, Pb and Cu in Antarctic aerosol (PM10), after a sequential extraction with water (soluble fraction) and dilute HCl (acid extractable fraction) of the filter samples. A digestion mixture of 5.0 mL HNO3, 1.0 mL H2O2, and 1.0 mL HF was used. The amount of H2O2 was adjusted at a compromise value to avoid interferences from organic substances or from the reagent itself. Hydrogen fluoride was used at the maximum quantity suggested in the literature, since there were no interferences due to excess HF with the voltammetric measurement. Our procedure did not provide for a third digestion step with H3BO3, as generally required in order to eliminate excess HF when subsequent spectrochemical analyses are to be carried out. Thus the total digestion time was reduced from similar to 5 h to similar to 1.5 h. The ultrasensitive technique of square wave anodic stripping voltammetry (SWASV) was used and optimized by maximizing the signal-to-noise ratio (frequency 150 Hz, amplitude 20 mV). The limits of detection (e.g. for atmospheric concentration 0.1-0.3 pg m(-3) for Cd and 1-5 pg m(-3) for Pb and Cu) and the repeatabilities (Cd 21-26%, Pb 16-20%, Cu 11-14% as atmospheric concentration) compared favourably with literature reports. Significant aliquots of metals were present in all the three fractions determined and the inert fraction represented 20-74% for Cd, 10-63% for Pb, and 7-33% for Cu, against total contents of Cd 1-19 pg m(-3), Pb 17-36 pg m(-3), and Cu 177-429 pg m(-3). Possibly significant metal fractions could be associated to the crustal origin. (C) 2015 Elsevier B.V. All rights reserved.</t>
  </si>
  <si>
    <t>[Illuminati, Silvia; Annibaldi, Anna; Truzzi, Cristina; Libani, Giulia; Mantini, Caterina; Scarponi, Giuseppe] Polytech Univ Marche Ancona, Dept Life &amp; Environm Sci, I-60131 Ancona, Italy</t>
  </si>
  <si>
    <t>Marche Polytechnic University</t>
  </si>
  <si>
    <t>Annibaldi, A (corresponding author), Polytech Univ Marche Ancona, Dept Life &amp; Environm Sci, Via Brecce Blanche Sn, I-60131 Ancona, Italy.</t>
  </si>
  <si>
    <t>s.illuminati@univpm.it; a.annibaldi@univpm.it</t>
  </si>
  <si>
    <t>Illuminati, Silvia/T-7873-2019; Illuminati, Silvia/GXZ-5038-2022; Scarponi, Giuseppe/AAQ-6394-2021</t>
  </si>
  <si>
    <t>Illuminati, Silvia/0000-0001-6465-5477; Scarponi, Giuseppe/0000-0003-2932-0596</t>
  </si>
  <si>
    <t>Italian Programma Nazionale di Ricerche in Antartide (PNRA) [PdR 2004/9.01, 2009/A2.11, 2013/AZ 3.04]</t>
  </si>
  <si>
    <t>Italian Programma Nazionale di Ricerche in Antartide (PNRA)</t>
  </si>
  <si>
    <t>Financial support from the Italian Programma Nazionale di Ricerche in Antartide (PNRA, Grants PdR 2004/9.01, 2009/A2.11, 2013/AZ 3.04) under the projects on Chemical Contamination, Study of sources and transfer processes of the Antarctic aerosol and Air-snow exchanges and relationships for trace elements and organic compounds of climatic interest is gratefully acknowledged. Many thanks are due to the technical personnel of ENEA (Ente Nazionale Energia e Ambiente) at Terra Nova Bay and to the scientists of the Antarctic expedition for the sampling activities on site.</t>
  </si>
  <si>
    <t>ELSEVIER SCIENCE SA</t>
  </si>
  <si>
    <t>PO BOX 564, 1001 LAUSANNE, SWITZERLAND</t>
  </si>
  <si>
    <t>1572-6657</t>
  </si>
  <si>
    <t>1873-2569</t>
  </si>
  <si>
    <t>J ELECTROANAL CHEM</t>
  </si>
  <si>
    <t>J. Electroanal. Chem.</t>
  </si>
  <si>
    <t>10.1016/j.jelechem.2015.07.023</t>
  </si>
  <si>
    <t>Chemistry, Analytical; Electrochemistry</t>
  </si>
  <si>
    <t>Chemistry; Electrochemistry</t>
  </si>
  <si>
    <t>CT6IS</t>
  </si>
  <si>
    <t>WOS:000362917300025</t>
  </si>
  <si>
    <t>Tikhonov, VV; Repina, IA; Raev, MD; Sharkov, EA; Ivanov, VV; Boyarskii, DA; Alexeeva, TA; Komarova, NY</t>
  </si>
  <si>
    <t>Tikhonov, V. V.; Repina, I. A.; Raev, M. D.; Sharkov, E. A.; Ivanov, V. V.; Boyarskii, D. A.; Alexeeva, T. A.; Komarova, N. Yu</t>
  </si>
  <si>
    <t>A physical algorithm to measure sea ice concentration from passive microwave remote sensing data</t>
  </si>
  <si>
    <t>ADVANCES IN SPACE RESEARCH</t>
  </si>
  <si>
    <t>Microwave radiometry; Sea ice; Melting snow</t>
  </si>
  <si>
    <t>MELT PONDS; EFFECTIVE PERMITTIVITY; SSM/I; SNOW; SURFACE; SUMMER; COVER; SIGNATURES; REDUCTION; RETRIEVAL</t>
  </si>
  <si>
    <t>A conceptually new algorithm of sea ice concentration retrieval in polar regions from satellite microwave radiometry data is discussed. The algorithm design favorably contrasts with that of known modern algorithms. Its design is based on a physical emission model of the sea surface - sea ice - snow cover - atmosphere system. No tie-points are used in the algorithm. All the calculation expressions are derived from theoretical modeling. The design of the algorithm minimizes the impact of atmospheric variability on sea ice concentration retrieval. Beside estimating sea ice concentration, the algorithm makes it possible to indicate ice areas with melting snow and melt ponds. The algorithm is simple to use, no complicated or time consuming calculations are involved. (C) 2015 COSPAR. Published by Elsevier Ltd. All rights reserved.</t>
  </si>
  <si>
    <t>[Tikhonov, V. V.; Repina, I. A.; Raev, M. D.; Sharkov, E. A.; Boyarskii, D. A.; Komarova, N. Yu] Russian Acad Sci, Dept Earth Res Space, Space Res Inst, Moscow 117997, Russia; [Repina, I. A.] Russian Acad Sci, Air Sea Interact Lab, AM Obukhov Inst Atmospher Phys, Moscow 117997, Russia; [Repina, I. A.; Ivanov, V. V.] Hydrometeorol Ctr Russia, Moscow, Russia; [Ivanov, V. V.; Alexeeva, T. A.] Arctic &amp; Antarctic Res Inst, St Petersburg 199226, Russia</t>
  </si>
  <si>
    <t>Russian Academy of Sciences; Space Research Institute of the Russian Academy of Sciences; Russian Academy of Sciences; Obukhov Institute of Atmospheric Physics of Russian Academy of Sciences; Arctic &amp; Antarctic Research Institute</t>
  </si>
  <si>
    <t>Tikhonov, VV (corresponding author), Russian Acad Sci, Dept Earth Res Space, Space Res Inst, Profsojuznaya 84-32, Moscow 117997, Russia.</t>
  </si>
  <si>
    <t>vtikhonov@asp.iki.rssi.ru</t>
  </si>
  <si>
    <t>Ivanov, Vladimir/J-5979-2014; Ivanov, Vladimir/AAX-6830-2020; Repina, Irina A/H-3530-2016; Alekseeva, Tatiana/M-1972-2019; Tikhonov, Vasiliy/R-9093-2017; Boyarskii, Dmitry/S-4386-2018</t>
  </si>
  <si>
    <t>Ivanov, Vladimir/0000-0003-2569-6027; Alekseeva, Tatiana/0000-0002-1575-8784; Tikhonov, Vasiliy/0000-0003-3656-1734; Repina, Irina/0000-0001-7341-0826</t>
  </si>
  <si>
    <t>Russian Foundation for Basic Research (RFBR) [13-05-00272, 13-05-41443, 14-05-00039]</t>
  </si>
  <si>
    <t>Russian Foundation for Basic Research (RFBR)(Russian Foundation for Basic Research (RFBR))</t>
  </si>
  <si>
    <t>This work was supported by the Russian Foundation for Basic Research, Grant RFBR No. 13-05-00272, Grant RFBR No. 13-05-41443, Grant RFBR No. 14-05-00039.</t>
  </si>
  <si>
    <t>0273-1177</t>
  </si>
  <si>
    <t>1879-1948</t>
  </si>
  <si>
    <t>ADV SPACE RES</t>
  </si>
  <si>
    <t>Adv. Space Res.</t>
  </si>
  <si>
    <t>10.1016/j.asr.2015.07.009</t>
  </si>
  <si>
    <t>Engineering, Aerospace; Astronomy &amp; Astrophysics; Geosciences, Multidisciplinary; Meteorology &amp; Atmospheric Sciences</t>
  </si>
  <si>
    <t>Engineering; Astronomy &amp; Astrophysics; Geology; Meteorology &amp; Atmospheric Sciences</t>
  </si>
  <si>
    <t>CT2AL</t>
  </si>
  <si>
    <t>WOS:000362604300002</t>
  </si>
  <si>
    <t>Elmore, AC; McClymont, EL; Elderfield, H; Kender, S; Cook, MR; Leng, MJ; Greaves, M; Misra, S</t>
  </si>
  <si>
    <t>Elmore, Aurora C.; McClymont, Erin L.; Elderfield, Henry; Kender, Sev; Cook, Michael R.; Leng, Melanie J.; Greaves, Mervyn; Misra, Sambuddha</t>
  </si>
  <si>
    <t>Antarctic Intermediate Water properties since 400 ka recorded in infaunal (Uvigerina peregrina) and epifaunal (Planulina wuellerstorfi) benthic foraminifera</t>
  </si>
  <si>
    <t>EARTH AND PLANETARY SCIENCE LETTERS</t>
  </si>
  <si>
    <t>Antarctic Intermediate Water; Deep Sea Drilling Program Site 593; benthic foraminifera; stable isotopes; Mg/Ca; B/Ca</t>
  </si>
  <si>
    <t>SOUTHERN-OCEAN; PACIFIC-OCEAN; ISOTOPIC COMPOSITION; B/CA RATIOS; TASMAN SEA; DEEP-WATER; CARBON; TEMPERATURE; CIRCULATION; CLIMATE</t>
  </si>
  <si>
    <t>Reconstruction of intermediate water properties is important for understanding feedbacks within the ocean-climate system, particularly since these water masses are capable of driving high-low latitude teleconnections. Nevertheless, information about intermediate water mass evolution through the late Pleistocene remains limited. This paper examines changes in Antarctic Intermediate Water (AAIW), the most extensive intermediate water mass in the modern ocean through the last 400 kyr using the stable isotopic composition (delta O-18 and delta C-13) and trace element concentration (Mg/Ca and B/Ca) of two benthic foraminiferal species from the same samples: epifaunal Planulina wuellerstorfi and infaunal Uvigerina peregrina. Our results confirm that the most reasonable estimates of AAIW temperature and Delta[CO32-] are generated by Mg/Ca-U.peregrina and B/Ca-P.wuellerstorfi, respectively. We present a 400 kyr record of intermediate water temperature and Delta[CO32-] from a sediment core from the Southwest Pacific (DSDP site 593; 40 degrees 30'S, 167 degrees 41'E, 1068 m water depth), which lies within the core of modern AAIW. Our results suggest that a combination of geochemical analyses on both infaunal and epifaunal benthic foraminiferal species yields important information about this critical water mass through the late Pleistocene. When combined with two nearby records of water properties from deeper depths, our data demonstrate that during interglacial stages of the late Pleistocene, AAIW and Circumpolar Deep Water (CPDW) have more similar water mass properties (temperature and delta C-13), while glacial stages are typified by dissimilar properties between AAIW and CPDW in the Southwest Pacific. Our new Delta[CO32-] record shows short time-scale variations, but a lack of coherent glacial-interglacial variability indicating that large quantities of carbon were not stored in intermediate waters during recent glacial periods. (c) 2015 The Authors. Published by Elsevier B.V.</t>
  </si>
  <si>
    <t>[Elmore, Aurora C.; McClymont, Erin L.] Univ Durham, Dept Geog, Durham DH1 3LE, England; [Elmore, Aurora C.; Elderfield, Henry; Cook, Michael R.; Greaves, Mervyn; Misra, Sambuddha] Univ Cambridge, Dept Earth Sci, Cambridge CB2 3EQ, England; [Kender, Sev; Leng, Melanie J.] Univ Nottingham, Sch Geog, Ctr Environm Geochem, Nottingham NG7 2RD, England; [Kender, Sev] British Geol Survey, Nottingham NG12 5GG, England; [Leng, Melanie J.] British Geol Survey, NERC Isotope Geosci Facil, Nottingham NG12 5GG, England</t>
  </si>
  <si>
    <t>Durham University; University of Cambridge; University of Nottingham; UK Research &amp; Innovation (UKRI); Natural Environment Research Council (NERC); NERC British Geological Survey; UK Research &amp; Innovation (UKRI); Natural Environment Research Council (NERC); NERC British Geological Survey</t>
  </si>
  <si>
    <t>Elmore, AC (corresponding author), Univ Durham, Dept Geog, Sci Site,South Rd, Durham DH1 3LE, England.</t>
  </si>
  <si>
    <t>aurora.elmore@durham.ac.uk</t>
  </si>
  <si>
    <t>McClymont, Erin/AAX-3657-2020; McClymont, Erin L/K-2153-2012; McClymont, Erin/AAX-3567-2020; Kender, Sev/B-9409-2016</t>
  </si>
  <si>
    <t>McClymont, Erin/0000-0003-1562-8768; McClymont, Erin L/0000-0003-1562-8768; McClymont, Erin/0000-0003-1562-8768; Leng, Melanie/0000-0003-1115-5166; Greaves, Mervyn/0000-0001-8014-8627; Kender, Sev/0000-0003-4216-3214</t>
  </si>
  <si>
    <t>NERC [NE/I027703/1, IP-1339-1112]; NERC [nigl010001, NE/I027703/1, NE/I024372/1] Funding Source: UKRI; Natural Environment Research Council [NE/I027703/1, NE/I024372/1, nigl010001] Funding Source: researchfish</t>
  </si>
  <si>
    <t>Funding for this research was provided by NERC awards NE/I027703/1 (E.L.M., S.K., H.E.) and IP-1339-1112 (E.L.M., A.C.E., S.K. and M.J.L.). We would like to thank Joanne Menegazzo, Hilary Sloane, and Jessica Bownes for analytical assistance; Tom Marchitto, Whitney Doss, James Rae, Will Gray, Katherine Allen, Tom Williams, Jo Kerr, and Jake Howe for helpful discussions. The manuscript was improved by comments from the Editor, Jean Lynch-Stieglitz, and two anonymous reviewers. This research used samples provided by the International Ocean Discovery Program (IODP) and we would like to thank the Kochi IODP Core Repository for help with core sampling. All previously unpublished data has been archived at: https://www.ncdc.noaa.gov/paleo/study/18918.</t>
  </si>
  <si>
    <t>0012-821X</t>
  </si>
  <si>
    <t>1385-013X</t>
  </si>
  <si>
    <t>EARTH PLANET SC LETT</t>
  </si>
  <si>
    <t>Earth Planet. Sci. Lett.</t>
  </si>
  <si>
    <t>10.1016/j.epsl.2015.07.013</t>
  </si>
  <si>
    <t>Geochemistry &amp; Geophysics</t>
  </si>
  <si>
    <t>CQ9RL</t>
  </si>
  <si>
    <t>WOS:000360952600019</t>
  </si>
  <si>
    <t>Robel, A</t>
  </si>
  <si>
    <t>Robel, Alexander</t>
  </si>
  <si>
    <t>CLIMATE SCIENCE The long future of Antarctic melting</t>
  </si>
  <si>
    <t>[Robel, Alexander] CALTECH, Div Geol &amp; Planetary Sci, Pasadena, CA 91125 USA; [Robel, Alexander] Univ Chicago, Dept Geophys Sci, Chicago, IL 60637 USA</t>
  </si>
  <si>
    <t>California Institute of Technology; University of Chicago</t>
  </si>
  <si>
    <t>Robel, A (corresponding author), CALTECH, Div Geol &amp; Planetary Sci, Pasadena, CA 91125 USA.</t>
  </si>
  <si>
    <t>robel@caltech.edu</t>
  </si>
  <si>
    <t>Robel, Alexander/0000-0003-4520-0105</t>
  </si>
  <si>
    <t>10.1038/526327a</t>
  </si>
  <si>
    <t>CT3TQ</t>
  </si>
  <si>
    <t>WOS:000362730200029</t>
  </si>
  <si>
    <t>Golledge, NR; Kowalewski, DE; Naish, TR; Levy, RH; Fogwill, CJ; Gasson, EGW</t>
  </si>
  <si>
    <t>Golledge, N. R.; Kowalewski, D. E.; Naish, T. R.; Levy, R. H.; Fogwill, C. J.; Gasson, E. G. W.</t>
  </si>
  <si>
    <t>The multi-millennial Antarctic commitment to future sea-level rise</t>
  </si>
  <si>
    <t>ICE-SHEET; PINE ISLAND; RETREAT; MODEL; GLACIERS; COLLAPSE; SURFACE; STABILITY; DISCHARGE; THWAITES</t>
  </si>
  <si>
    <t>Atmospheric warming is projected to increase global mean surface temperatures by 0.3 to 4.8 degrees Celsius above pre-industrial values by the end of this century(1). If anthropogenic emissions continue unchecked, the warming increase may reach 8-10 degrees Celsius by 2300 (ref. 2). The contribution that large ice sheets will make to sea-level rise under such warming scenarios is difficult to quantify because the equilibrium-response timescale of ice sheets is longer than those of the atmosphere or ocean. Here we use a coupled ice-sheet/ice-shelf model to show that if atmospheric warming exceeds 1.5 to 2 degrees Celsius above present, collapse of the major Antarctic ice shelves triggers a centennial-to millennial-scale response of the Antarctic ice sheet in which enhanced viscous flow produces a long-term commitment (an unstoppable contribution) to sea-level rise. Our simulations represent the response of the present-day Antarctic ice-sheet system to the oceanic and climatic changes of four representative concentration pathways (RCPs) from the Fifth Assessment Report of the Intergovernmental Panel on Climate Change(3). We find that substantial Antarctic ice loss can be prevented only by limiting greenhouse gas emissions to RCP 2.6 levels. Higher-emissions scenarios lead to ice loss from Antarctic that will raise sea level by 0.6-3 metres by the year 2300. Our results imply that greenhouse gas emissions in the next few decades will strongly influence the long-term contribution of the Antarctic ice sheet to global sea level.</t>
  </si>
  <si>
    <t>[Golledge, N. R.; Naish, T. R.] Victoria Univ Wellington, Antarctic Res Ctr, Wellington 6140, New Zealand; [Golledge, N. R.; Naish, T. R.; Levy, R. H.] GNS Sci, Lower Hutt 5011, New Zealand; [Kowalewski, D. E.] Worcester State Univ, Dept Earth Environm &amp; Phys, Worcester, MA 01602 USA; [Fogwill, C. J.] Univ New S Wales, Climate Change Res Ctr, Sydney, NSW 2052, Australia; [Gasson, E. G. W.] Univ Massachusetts, Climate Syst Res Ctr, Amherst, MA 01003 USA</t>
  </si>
  <si>
    <t>Victoria University Wellington; GNS Science - New Zealand; Massachusetts System of Public Higher Education; Worcester State University; University of New South Wales Sydney; University of Massachusetts System; University of Massachusetts Amherst</t>
  </si>
  <si>
    <t>Golledge, NR (corresponding author), Victoria Univ Wellington, Antarctic Res Ctr, Wellington 6140, New Zealand.</t>
  </si>
  <si>
    <t>nicholas.golledge@vuw.ac.nz</t>
  </si>
  <si>
    <t>Fogwill, Christopher/HPF-1150-2023; Fogwill, Chris/AAW-3502-2021; Levy, Richard H/E-2477-2011</t>
  </si>
  <si>
    <t>Fogwill, Chris/0000-0002-6471-1106; Naish, Tim/0000-0002-1185-9932; Levy, Richard/0000-0002-8783-0167; Gasson, Edward/0000-0003-4653-6217; Kowalewski, Douglas/0000-0002-7847-026X; Golledge, Nicholas/0000-0001-7676-8970</t>
  </si>
  <si>
    <t>Royal Society of New Zealand's Marsden Fund [VUW1203]; Antarctic Research Centre; Victoria University of Wellington; ANDRILL; GNS Science (NZ Ministry of Business Innovation and Employment) [C05X1001]; National Science Foundation [ANT-1043712]; Australian Research Council (ARC); Office of Polar Programs (OPP); Directorate For Geosciences [1245899] Funding Source: National Science Foundation</t>
  </si>
  <si>
    <t>Royal Society of New Zealand's Marsden Fund(Royal Society of New ZealandMarsden Fund (NZ)); Antarctic Research Centre; Victoria University of Wellington; ANDRILL; GNS Science (NZ Ministry of Business Innovation and Employment); National Science Foundation(National Science Foundation (NSF)); Australian Research Council (ARC)(Australian Research Council); Office of Polar Programs (OPP); Directorate For Geosciences(National Science Foundation (NSF)NSF - Directorate for Geosciences (GEO))</t>
  </si>
  <si>
    <t>We thank the CMIP community for making their data openly available, and J. Lenaerts for providing present-day surface mass balance data. We are also grateful to K. Buckley (Victoria University high-performance computing cluster), C. Khroulev, T. Albrecht and the Parallel Ice Sheet Model groups at the University of Alaska, Fairbanks, and the Potsdam Institute for Climate Impact Research. This work was funded by contract VUW1203 of the Royal Society of New Zealand's Marsden Fund, with support from the Antarctic Research Centre, Victoria University of Wellington, ANDRILL, GNS Science (NZ Ministry of Business Innovation and Employment contract C05X1001), National Science Foundation grant ANT-1043712, and the Australian Research Council (ARC). J. Renwick and D. Zwartz provided comments that improved the manuscript.</t>
  </si>
  <si>
    <t>10.1038/nature15706</t>
  </si>
  <si>
    <t>Y</t>
  </si>
  <si>
    <t>N</t>
  </si>
  <si>
    <t>WOS:000362730200049</t>
  </si>
  <si>
    <t>Roleda, MY; Cornwall, CE; Feng, YY; McGraw, CM; Smith, AM; Hurd, CL</t>
  </si>
  <si>
    <t>Roleda, Michael Y.; Cornwall, Christopher E.; Feng, Yuanyuan; McGraw, Christina M.; Smith, Abigail M.; Hurd, Catriona L.</t>
  </si>
  <si>
    <t>Effect of Ocean Acidification and pH Fluctuations on the Growth and Development of Coralline Algal Recruits, and an Associated Benthic Algal Assemblage</t>
  </si>
  <si>
    <t>MACROCYSTIS-PYRIFERA LAMINARIALES; ULTRAVIOLET-RADIATION; CARBON-DIOXIDE; CLIMATE-CHANGE; PHOTOSYNTHESIS; MACROALGAE; MECHANISM; LIGHT; SENSITIVITY; PHYSIOLOGY</t>
  </si>
  <si>
    <t>Coralline algae are susceptible to the changes in the seawater carbonate system associated with ocean acidification (OA). However, the coastal environments in which corallines grow are subject to large daily pH fluctuations which may affect their responses to OA. Here, we followed the growth and development of the juvenile coralline alga Arthrocardia corymbosa, which had recruited into experimental conditions during a prior experiment, using a novel OA laboratory culture system to simulate the pH fluctuations observed within a kelp forest. Microscopic life history stages are considered more susceptible to environmental stress than adult stages; we compared the responses of newly recruited A. corymbosa to static and fluctuating seawater pH with those of their field-collected parents. Recruits were cultivated for 16 weeks under static pH 8.05 and 7.65, representing ambient and 4x preindustrial pCO(2) concentrations, respectively, and two fluctuating pH treatments of daily (X) over tilde = 8.05 (daytime pH = 8.45, night-time pH = 7.65) and daily (X) over tilde = 7.65 (daytime pH = 8.05, night-time pH = 7.25). Positive growth rates of new recruits were recorded in all treatments, and were highest under static pH 8.05 and lowest under fluctuating pH 7.65. This pattern was similar to the adults' response, except that adults had zero growth under fluctuating pH 7.65. The % dry weight of MgCO3 in calcite of the juveniles was reduced from 10% at pH 8.05 to 8% at pH 7.65, but there was no effect of pH fluctuation. A wide range of fleshy macroalgae and at least 6 species of benthic diatoms recruited across all experimental treatments, from cryptic spores associated with the adult A. corymbosa. There was no effect of experimental treatment on the growth of the benthic diatoms. On the community level, pH-sensitive species may survive lower pH in the presence of diatoms and fleshy macroalgae, whose high metabolic activity may raise the pH of the local microhabitat.</t>
  </si>
  <si>
    <t>[Roleda, Michael Y.; Cornwall, Christopher E.; Feng, Yuanyuan; Hurd, Catriona L.] Univ Otago, Dept Bot, Dunedin, New Zealand; [McGraw, Christina M.] Univ Otago, Dept Chem, Dunedin, New Zealand; [Smith, Abigail M.] Univ Otago, Dept Marine Sci, Dunedin, New Zealand; [Hurd, Catriona L.] Univ Tasmania, Inst Marine &amp; Antarctic Studies, Hobart, Tas, Australia</t>
  </si>
  <si>
    <t>University of Otago; University of Otago; University of Otago; University of Tasmania</t>
  </si>
  <si>
    <t>Roleda, MY (corresponding author), Norwegian Inst Bioecon Res, Bodo, Norway.</t>
  </si>
  <si>
    <t>michael.roleda@nibio.no</t>
  </si>
  <si>
    <t>Feng, Yuanyuan/K-5983-2012; /AAL-3738-2021; Cornwall, Christopher Edward/J-3982-2012; Smith, Abigail M/F-7714-2011; Roleda, Michael Y./H-9645-2019; Hurd, Catriona/J-2411-2013</t>
  </si>
  <si>
    <t>Feng, Yuanyuan/0000-0002-4565-8717; Cornwall, Christopher Edward/0000-0002-6154-4082; Roleda, Michael Y./0000-0003-0568-9081; McGraw, Christina/0000-0001-5841-0748; Hurd, Catriona/0000-0001-9965-4917</t>
  </si>
  <si>
    <t>Royal Society of New Zealand Marsden Fund [UOO0914]; New Zealand Foundation for Research Science Technology [UOOX0802]</t>
  </si>
  <si>
    <t>Royal Society of New Zealand Marsden Fund(Royal Society of New ZealandMarsden Fund (NZ)); New Zealand Foundation for Research Science Technology(New Zealand Foundation for Research, Science and Technology)</t>
  </si>
  <si>
    <t>Financial support was provided by the Royal Society of New Zealand Marsden Fund (UOO0914) (http://www.royalsociety.org.nz/programmes/funds/marsden/) and the New Zealand Foundation for Research Science &amp; Technology (UOOX0802) (http://www.msi.govt.nz/). The funders had no role in study design, data collection and analysis, decision to publish, or preparation of the manuscript.</t>
  </si>
  <si>
    <t>e0140394</t>
  </si>
  <si>
    <t>10.1371/journal.pone.0140394</t>
  </si>
  <si>
    <t>CU0CX</t>
  </si>
  <si>
    <t>gold, Green Accepted, Green Published</t>
  </si>
  <si>
    <t>WOS:000363184600057</t>
  </si>
  <si>
    <t>Long, AJ; Barlow, NLM; Busschers, FS; Cohen, KM; Gehrels, WR; Wake, LM</t>
  </si>
  <si>
    <t>Long, A. J.; Barlow, N. L. M.; Busschers, F. S.; Cohen, K. M.; Gehrels, W. R.; Wake, L. M.</t>
  </si>
  <si>
    <t>Near-field sea-level variability in northwest Europe and ice sheet stability during the last interglacial</t>
  </si>
  <si>
    <t>QUATERNARY SCIENCE REVIEWS</t>
  </si>
  <si>
    <t>Sea level; Interglacial; Ice-sheet collapse; Eemian; MIS 5e; Glacio-isostatic adjustment</t>
  </si>
  <si>
    <t>CONTINENTAL-MARGIN SEDIMENTS; ANTARCTIC ICE; PLEISTOCENE COLLAPSE; HOLOCENE EVOLUTION; CHRONOLOGICAL FRAMEWORK; SOUTHERN GREENLAND; HUON-PENINSULA; QUATERNARY; CLIMATE; RECORD</t>
  </si>
  <si>
    <t>Global sea level during the Last Interglacial (LIG, Marine Isotope Sub-stage 5e) peaked between c. 5.5 and 9 m above present, implying significant melt from Greenland and Antarctica. Relative sea level (RSL) observations from several far- and intermediate-field sites suggest abrupt fluctuations or jumps in RSL during the LIG highstand that require one or more episodes of ice-sheet collapse and regrowth. Such events should be manifest as unique sea-level fingerprints, recorded in far-, intermediate- and near-field sites depending on the source(s) of ice-mass change involved. To date, though, no coherent evidence of such fluctuations has been reported from near-field RSL studies in northwest Europe. This is an important problem because RSL fluctuations during the LIG are portrayed as warning signs for how polar ice sheets may behave in a future, warmer than present, world. Here we review the evidence for RSL change during the LIG using stratigraphic data from the best resolved highstand records that exist in the near-field of northwest Europe, from a range of settings that include lagoonal, shallow marine, tidal flat, salt marsh and brackish-water fluviatile environments. Consideration of previously published stratigraphic records from two sites in the Eemian coastal-marine embayment that existed in the central Netherlands, yields no clear indications for abrupt RSL change during the attainment of the near-field highstand. Nor do we find any such indications common to other records from countries bordering the North Sea, the Baltic Sea and the White Sea. Two modelling experiments that explore the global signal of hypothetical sea-level oscillations caused by partial collapse and regrowth of either the Greenland or Antarctic LIG ice-sheet, show that the North Sea region is relatively insensitive to mass changes sourced from Greenland but should clearly register events with an Antarctic origin, especially those that occur late in the LIG. The lack of evidence for abrupt sea-level fluctuations at this time in northwest Europe concurs with a lack of clear near-field evidence for ice sheet collapse. (C) 2015 Elsevier Ltd. All rights reserved.</t>
  </si>
  <si>
    <t>[Long, A. J.; Barlow, N. L. M.] Univ Durham, Dept Geog, Durham DH1 3LE, England; [Busschers, F. S.] Geol Survey Netherlands, TNO, NL-3508 TA Utrecht, Netherlands; [Cohen, K. M.] Univ Utrecht, Dept Phys Geog, Fac Geosci, NL-3508 TC Utrecht, Netherlands; [Gehrels, W. R.] Univ York, Dept Environm, York YO10 5DD, N Yorkshire, England; [Wake, L. M.] Northumbria Univ, Dept Geog, Newcastle Upon Tyne NE1 8ST, Tyne &amp; Wear, England</t>
  </si>
  <si>
    <t>Durham University; Netherlands Organization Applied Science Research; Utrecht University; University of York - UK; Northumbria University</t>
  </si>
  <si>
    <t>Long, AJ (corresponding author), Univ Durham, Dept Geog, Durham DH1 3LE, England.</t>
  </si>
  <si>
    <t>a.j.long@durham.ac.uk; n.l.m.barlow@durham.ac.uk; freek.busschers@tno.nl; K.M.Cohen@uu.nl; roland.gehrels@york.ac.uk; leanne.wake@northumbria.ac.uk</t>
  </si>
  <si>
    <t>Gehrels, Roland/ABB-2625-2021; IPO, PAGES/JXY-7546-2024; Cohen, Kim/B-5831-2008; Barlow, Natasha/AAF-2624-2021; Busschers, Freek/HLQ-6717-2023; Barlow, Natasha/JDC-9080-2023</t>
  </si>
  <si>
    <t>Cohen, Kim/0000-0002-0095-3990; Barlow, Natasha/0000-0002-2713-2543; Barlow, Natasha/0000-0002-2713-2543; Long, Antony/0000-0002-7605-1205</t>
  </si>
  <si>
    <t>UK Natural Environment Research Council [NE/I008675/1]; NERC [NE/I008675/1, NE/I008624/2] Funding Source: UKRI; Natural Environment Research Council [NE/I008624/2, NE/I008675/1]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</si>
  <si>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</si>
  <si>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Funding for this work was provided by UK Natural Environment Research Council grant Using interglacials to assess future sea-level scenarios (iGlass) (NE/I008675/1). This paper has benefited from discussions with members of PALSEA2 (an INQUA International Focus Group and a PAGES working group) and is a contribution to that program and the INQUA Commission on Coastal and Marine Processes. Our understanding of the Dutch Eemian sediments improved considerably from examination of the Amsterdam Terminal and Amersfoort borehole sediments at TNO, the Geological Survey of the Netherlands, and we thank Jeroen Schokker for his help in facilitating this. We are grateful to David Bridgland, Mike Bentley and Glenn Milne for comments on an early version of this paper, and to Dan Muhs for his detailed comments during the review process. Thanks also to Chris Orton for help with the drafting of several figures.</t>
  </si>
  <si>
    <t>0277-3791</t>
  </si>
  <si>
    <t>QUATERNARY SCI REV</t>
  </si>
  <si>
    <t>Quat. Sci. Rev.</t>
  </si>
  <si>
    <t>10.1016/j.quascirev.2015.08.021</t>
  </si>
  <si>
    <t>Geography, Physical; Geosciences, Multidisciplinary</t>
  </si>
  <si>
    <t>Physical Geography; Geology</t>
  </si>
  <si>
    <t>CU8VU</t>
  </si>
  <si>
    <t>Green Accepted, Green Published</t>
  </si>
  <si>
    <t>WOS:000363823000003</t>
  </si>
  <si>
    <t>Leis, JM; Siebeck, UE; Hay, AC; Paris, CB; Chateau, O; Wantiez, L</t>
  </si>
  <si>
    <t>Leis, Jeffrey M.; Siebeck, Ulrike E.; Hay, Amanda C.; Paris, Claire B.; Chateau, Olivier; Wantiez, Laurent</t>
  </si>
  <si>
    <t>In situ orientation of fish larvae can vary among regions</t>
  </si>
  <si>
    <t>Connectivity; Dispersal; Larva; Orientation; Behaviour; Pomacentridae; Regional differences</t>
  </si>
  <si>
    <t>CORAL-REEF FISHES; GREAT-BARRIER-REEF; EARLY-LIFE HISTORY; POPULATION CONNECTIVITY; PELAGIC LARVAE; DAMSELFISH POMACENTRIDAE; MARINE FISHES; BEHAVIOR; DURATION; ONTOGENY</t>
  </si>
  <si>
    <t>Larval coral-reef fishes have good orientation abilities. Through-water orientation of larvae in some species is location-dependent at meso-scales &lt;10s of km, whereas other species have location-independent orientation at meso-scales. In situ observation of the damselfish Chromis atripectoralis showed that settlement-stage larvae swam in a southerly direction (mean = 175 +/- 11 degrees) at 100 to 1000 m from shore, both east and west of Lizard Island, northern Great Barrier Reef (NGBR), in 10 datasets from 1998 to 2008. Wind direction did not directly influence through-water swimming direction at NGBR. During 2014, in situ diver observation tested if orientation of C. atripectoralis differed regionally in the central Great Barrier Reef (CGBR), 620 km south of NGBR, and in the New Caledonia reef lagoon (NCRL), 1950 km east of CGBR. In all 3 regions, &gt;90% of larvae swam directionally with similar precision and speeds, and with significant among-individual orientation. Yet through-water orientation was easterly at CGBR (72 +/- 30 degrees) and NCRL (87 +/- 20 degrees), and significantly different from NGBR. Over-bottom orientation (i.e. the result of current and larval swimming), measured by GPS at start and end of observing each larva, was weak east-southeasterly at NGBR (116 +/- 40 degrees, p = 0.045), not significantly directional at CGBR, and strongly westerly at NCRL (246 +/- 28 degrees, p = 0.0006), indicating that dispersal of C. atripectoralis is both current-and behaviour-dependent. This is the first report of location-dependent larval fish orientation at a regional scale. This might be an evolutionary response to regional hydrodynamic conditions to limit downstream dispersal.</t>
  </si>
  <si>
    <t>[Leis, Jeffrey M.] Univ Tasmania, Inst Marine &amp; Antarctic Studies, Hobart, Tas 7001, Australia; [Leis, Jeffrey M.; Hay, Amanda C.] Australian Museum Res Inst, Ichthyol, Sydney, NSW 2010, Australia; [Siebeck, Ulrike E.] Univ Queensland, Sch Biomed Sci, Brisbane, Qld 4072, Australia; [Paris, Claire B.] Univ Miami, Rosenstiel Sch Marine &amp; Atmospher Sci, Dept Ocean Sci, Miami, FL 33149 USA; [Chateau, Olivier] Aquarium Lagons, Lab Marine Biol &amp; Ecol, Noumea, New Caledonia; [Wantiez, Laurent] Univ New Caledonia, LIVE EA4243, Noumea, New Caledonia</t>
  </si>
  <si>
    <t>University of Tasmania; Australian Museum; University of Queensland; University of Miami; Universite Nouvelle Caledonie</t>
  </si>
  <si>
    <t>Leis, JM (corresponding author), Univ Tasmania, Inst Marine &amp; Antarctic Studies, Hobart, Tas 7001, Australia.</t>
  </si>
  <si>
    <t>jeff.leis@austmus.gov.au</t>
  </si>
  <si>
    <t>Wantiez, Laurent/L-3343-2013; Leis, Jeffrey M/E-7502-2012; Siebeck, Ulrike E/J-6190-2014; Leis, Jeffrey M/JCE-0397-2023</t>
  </si>
  <si>
    <t>Wantiez, Laurent/0000-0001-5024-2057; Leis, Jeffrey M/0000-0003-0603-3447; Siebeck, Ulrike E/0000-0003-2024-1568; Leis, Jeffrey M/0000-0003-0603-3447; Paris-Limouzy, Claire Beatrix/0000-0002-0637-1334; Hay, Amanda/0000-0002-1335-2342</t>
  </si>
  <si>
    <t>ARC [DP110100695]; Division Of Ocean Sciences; Directorate For Geosciences [1155698] Funding Source: National Science Foundation</t>
  </si>
  <si>
    <t>ARC(Australian Research Council); Division Of Ocean Sciences; Directorate For Geosciences(National Science Foundation (NSF)NSF - Directorate for Geosciences (GEO))</t>
  </si>
  <si>
    <t>This research was supported by an ARC Discovery grant DP110100695 to J.M.L., U.E.S. and C.B.P. The research at Big Broadhurst Reef (CGBR) was conducted under GBRMPA permit G13/36370.1 to J.M.L. and U.E.S., and that in New Caledonia (NCRL) was conducted under permit 2986-2014/ARR/DENV issued to L'aquarium des Lagons by La Province Sud, Novelle-Caledone. University of Queensland Animal Ethics Permit SBMS/276/11/ARC to U.E.S. and J.M.L. covered both locations. Research at Lizard Island (NGBR) was conducted under GBRMPA permits and ethics permits as listed in Leis et al. (2014). We thank B. Goldman and P. Croccombe of Meridian (CGBR) and S. Caprai of Awa (NCRL) for making our field work possible, and G. Marsden, C. Braun, F. Keller, and J. Dubosc for assistance in the field, M. Yerman for assistance with analysis of the wind-related data, S. Chiba for preparing the maps and S. Choukroun for analysis of IMOS current-meter data. R. Farman, Director of Aquarium des Lagons, provided essential assistance and encouragement that made the Noumea field work a success. Lizard Island Research Station staff made our research over many years both a pleasure and a success.</t>
  </si>
  <si>
    <t>OCT 14</t>
  </si>
  <si>
    <t>10.3354/meps11446</t>
  </si>
  <si>
    <t>CU0BR</t>
  </si>
  <si>
    <t>Green Submitted, Green Accepted</t>
  </si>
  <si>
    <t>WOS:000363180900015</t>
  </si>
  <si>
    <t>Zhang, T; Wei, XL; Zhang, YQ; Liu, HY; Yu, LY</t>
  </si>
  <si>
    <t>Zhang, Tao; Wei, Xin-Li; Zhang, Yu-Qin; Liu, Hong-Yu; Yu, Li-Yan</t>
  </si>
  <si>
    <t>Diversity and distribution of lichen-associated fungi in the Ny-Alesund Region (Svalbard, High Arctic) as revealed by 454 pyrosequencing</t>
  </si>
  <si>
    <t>ROOT-ASSOCIATED FUNGI; COMMUNITY COMPOSITION; GEOGRAPHIC STRUCTURE; LICHENICOLOUS FUNGI; ENDOLICHENIC FUNGI; BLACK FUNGI; HOST; ENDOPHYTES; BOREAL</t>
  </si>
  <si>
    <t>This study assessed the diversity and distribution of fungal communities associated with seven lichen species in the Ny-Alesund Region (Svalbard, High Arctic) using Roche 454 pyrosequencing with fungal-specific primers targeting the internal transcribed spacer (ITS) region of the ribosomal rRNA gene. Lichen-associated fungal communities showed high diversity, with a total of 42,259 reads belonging to 370 operational taxonomic units (OTUs) being found. Of these OTUs, 294 belonged to Ascomycota, 54 to Basidiomycota, 2 to Zygomycota, and 20 to unknown fungi. Leotiomycetes, Dothideomycetes, and Eurotiomycetes were the major classes, whereas the dominant orders were Helotiales, Capnodiales, and Chaetothyriales. Interestingly, most fungal OTUs were closely related to fungi from various habitats (e.g., soil, rock, plant tissues) in the Arctic, Antarctic and alpine regions, which suggests that living in association with lichen thalli may be a transient stage of life cycle for these fungi and that long-distance dispersal may be important to the fungi in the Arctic. In addition, host-related factors shaped the lichen-associated fungal communities in this region. Taken together, these results suggest that lichens thalli act as reservoirs of diverse fungi from various niches, which may improve our understanding of fungal evolution and ecology in the Arctic.</t>
  </si>
  <si>
    <t>[Zhang, Tao; Zhang, Yu-Qin; Liu, Hong-Yu; Yu, Li-Yan] Chinese Acad Med Sci, Inst Med Biotechnol, China Pharmaceut Culture Collect, Beijing 100050, Peoples R China; [Zhang, Tao; Zhang, Yu-Qin; Liu, Hong-Yu; Yu, Li-Yan] Peking Union Med Coll, Beijing 100050, Peoples R China; [Wei, Xin-Li] Chinese Acad Sci, Inst Microbiol, State Key Lab Mycol, Beijing 100101, Peoples R China</t>
  </si>
  <si>
    <t>Chinese Academy of Medical Sciences - Peking Union Medical College; Institute of Medicinal Biotechnology - CAMS; Chinese Academy of Medical Sciences - Peking Union Medical College; Peking Union Medical College; Chinese Academy of Sciences; Institute of Microbiology, CAS</t>
  </si>
  <si>
    <t>yu, liyan/GYD-2950-2022; Zhang, Yu-Qin/AEH-7339-2022; huang, libo/JMB-4345-2023</t>
  </si>
  <si>
    <t>yu, liyan/0000-0002-8861-9806; Zhang, Yu-Qin/0000-0002-1739-6705;</t>
  </si>
  <si>
    <t>National Infrastructure of Microbial Resources [NIMR-2014-3]; National Natural Science Foundation of China (NSFC) [31170041, 81321004, 31300115]; Polar Strategic Research Foundation of China [20120302]; National S&amp;T Major Special Project on Major New Drug Innovation [2012ZX09301002-003]; 863 Program [2014AA021504]; Chinese Arctic and Antarctic Administration, SOA [2013YR06006, 2013YR05005, IC201514]</t>
  </si>
  <si>
    <t>National Infrastructure of Microbial Resources; National Natural Science Foundation of China (NSFC)(National Natural Science Foundation of China (NSFC)); Polar Strategic Research Foundation of China; National S&amp;T Major Special Project on Major New Drug Innovation; 863 Program(National High Technology Research and Development Program of China); Chinese Arctic and Antarctic Administration, SOA</t>
  </si>
  <si>
    <t>This research was supported by the National Infrastructure of Microbial Resources (No. NIMR-2014-3), the National Natural Science Foundation of China (NSFC) (Nos. 31170041, 81321004, and 31300115), the Polar Strategic Research Foundation of China (No. 20120302), National S&amp;T Major Special Project on Major New Drug Innovation (No. 2012ZX09301002-003), 863 Program (No. 2014AA021504),and Projects of the Chinese Arctic and Antarctic Administration, SOA (Nos. 2013YR06006, 2013YR05005 and IC201514). Li-Yan Yu is supported by Xiehe Scholar.</t>
  </si>
  <si>
    <t>10.1038/srep14850</t>
  </si>
  <si>
    <t>CT3PD</t>
  </si>
  <si>
    <t>WOS:000362718100002</t>
  </si>
  <si>
    <t>Schofield, O; Miles, T; Alderkamp, AC; Lee, S; Haskins, C; Rogalsky, E; Sipler, R; Sherrell, RM; Yager, PL</t>
  </si>
  <si>
    <t>Schofield, Oscar; Miles, Travis; Alderkamp, Anne-Carlijn; Lee, SangHoon; Haskins, Christina; Rogalsky, Emily; Sipler, Rachel; Sherrell, Robert M.; Yager, Patricia L.</t>
  </si>
  <si>
    <t>In situ phytoplankton distributions in the Amundsen Sea Polynya measured by autonomous gliders</t>
  </si>
  <si>
    <t>ELEMENTA-SCIENCE OF THE ANTHROPOCENE</t>
  </si>
  <si>
    <t>CIRCUMPOLAR DEEP-WATER; MELTING GLACIERS FUELS; PINE ISLAND GLACIER; ANTARCTIC PENINSULA; ROSS SEA; PHAEOCYSTIS-ANTARCTICA; SHELF; IRON; ICE; DYNAMICS</t>
  </si>
  <si>
    <t>The Amundsen Sea Polynya is characterized by large phytoplankton blooms, which makes this region disproportionately important relative to its size for the biogeochemistry of the Southern Ocean. In situ data on phytoplankton are limited, which is problematic given recent reports of sustained change in the Amundsen Sea. During two field expeditions to the Amundsen Sea during austral summer 2010-2011 and 2014, we collected physical and bio-optical data from ships and autonomous underwater gliders. Gliders documented large phytoplankton blooms associated with Antarctic Surface Waters with low salinity surface water and shallow upper mixed layers (&lt; 50 m). High biomass was not always associated with a specific water mass, suggesting the importance of upper mixed depth and light in influencing phytoplankton biomass. Spectral optical backscatter and ship pigment data suggested that the composition of phytoplankton was spatially heterogeneous, with the large blooms dominated by Phaeocystis and non-bloom waters dominated by diatoms. Phytoplankton growth rates estimated from field data (&lt;= 0.10 day(-1)) were at the lower end of the range measured during ship-based incubations, reflecting both in situ nutrient and light limitations. In the bloom waters, phytoplankton biomass was high throughout the 50-m thick upper mixed layer. Those biomass levels, along with the presence of colored dissolved organic matter and detritus, resulted in a euphotic zone that was often &lt; 10 m deep. The net result was that the majority of phytoplankton were light-limited, suggesting that mixing rates within the upper mixed layer were critical to determining the overall productivity; however, regional productivity will ultimately be controlled by water column stability and the depth of the upper mixed layer, which may be enhanced with continued ice melt in the Amundsen Sea Polynya.</t>
  </si>
  <si>
    <t>[Schofield, Oscar; Miles, Travis; Haskins, Christina; Rogalsky, Emily; Sherrell, Robert M.] Rutgers State Univ, Ctr Ocean Observing Leadership, Dept Marine &amp; Coastal Sci, Sch Environm &amp; Biol Sci, New Brunswick, NJ 08903 USA; [Alderkamp, Anne-Carlijn] Stanford Univ, Dept Environm Earth Syst Sci, Stanford, CA 94305 USA; [Lee, SangHoon] Korea Polar Res Inst, Inchon, South Korea; [Sipler, Rachel] Virginia Inst Marine Sci, Coll William &amp; Mary, Gloucester Point, VA 23062 USA; [Sherrell, Robert M.] Rutgers State Univ, Dept Earth &amp; Planetary Sci, Piscataway, NJ USA; [Yager, Patricia L.] Univ Georgia, Dept Marine Sci, Athens, GA 30602 USA</t>
  </si>
  <si>
    <t>Rutgers University System; Rutgers University New Brunswick; Stanford University; Korea Institute of Ocean Science &amp; Technology (KIOST); Korea Polar Research Institute (KOPRI); William &amp; Mary; Virginia Institute of Marine Science; Rutgers University System; Rutgers University New Brunswick; University System of Georgia; University of Georgia</t>
  </si>
  <si>
    <t>Schofield, O (corresponding author), Rutgers State Univ, Ctr Ocean Observing Leadership, Dept Marine &amp; Coastal Sci, Sch Environm &amp; Biol Sci, New Brunswick, NJ 08903 USA.</t>
  </si>
  <si>
    <t>oscar@marine.rutgers.edu</t>
  </si>
  <si>
    <t>Miles, Travis/L-7918-2013; Yager, Patricia/K-8020-2014; Schofield, Oscar/H-4169-2018</t>
  </si>
  <si>
    <t>Miles, Travis/0000-0003-1992-0248; Yager, Patricia/0000-0002-8462-6427; Schofield, Oscar/0000-0003-2359-4131</t>
  </si>
  <si>
    <t>UNIV CALIFORNIA PRESS</t>
  </si>
  <si>
    <t>OAKLAND</t>
  </si>
  <si>
    <t>155 GRAND AVE, SUITE 400, OAKLAND, CA 94612-3758 USA</t>
  </si>
  <si>
    <t>2325-1026</t>
  </si>
  <si>
    <t>ELEMENTA-SCI ANTHROP</t>
  </si>
  <si>
    <t>Elementa-Sci. Anthrop.</t>
  </si>
  <si>
    <t>10.12952/journal.elementa.000073</t>
  </si>
  <si>
    <t>Environmental Sciences; Meteorology &amp; Atmospheric Sciences</t>
  </si>
  <si>
    <t>Environmental Sciences &amp; Ecology; Meteorology &amp; Atmospheric Sciences</t>
  </si>
  <si>
    <t>DC0CV</t>
  </si>
  <si>
    <t>WOS:000368885500001</t>
  </si>
  <si>
    <t>Chrismas, NAM; Anesio, AM; Sánchez-Baracaldo, P</t>
  </si>
  <si>
    <t>Chrismas, Nathan A. M.; Anesio, Alexandre M.; Sanchez-Baracaldo, Patricia</t>
  </si>
  <si>
    <t>Multiple adaptations to polar and alpine environments within cyanobacteria: a phylogenomic and Bayesian approach</t>
  </si>
  <si>
    <t>cyanobacteria; cryosphere; evolution; SSU rRNA gene; phylogenomics; ancestral state reconstruction (ASR)</t>
  </si>
  <si>
    <t>MCMURDO DRY VALLEYS; ANTARCTIC CYANOBACTERIA; MICROBIAL MATS; MOLECULAR CHARACTERIZATION; PHORMIDIUM-AUTUMNALE; SEQUENCE ALIGNMENT; DIVERSITY; BACTERIA; WATER; ICE</t>
  </si>
  <si>
    <t>Cyanobacteria are major primary producers in the polar and alpine regions contributing significantly to nitrogen and carbon cycles in the cryosphere. Recent advancements in environmental sequencing techniques have revealed great molecular diversity of microorganisms in cold environments. However, there are no comprehensive phylogenetic analyses including the entire known diversity of cyanobacteria from these extreme environments. We present here a global phylogenetic analysis of cyanobacteria including an extensive dataset comprised of available small subunit (SSU) rRNA gene sequences of cyanobacteria from polar and high altitude environments. Furthermore, we used a large-scale multi-gene (135 proteins and 2 ribosomal RNAs) genome constraint including 57 cyanobacterial genomes. Our analyses produced the first phylogeny of cold cyanobacteria exhibiting robust deep branching relationships implementing a phylogenomic approach. We recovered several clades common to Arctic, Antarctic and alpine sites suggesting that the traits necessary for survival in the cold have been acquired by a range of different mechanisms in all major cyanobacteria lineages. Bayesian ancestral state reconstruction revealed that 20 clades each have common ancestors with high probabilities of being capable of surviving in cold environments.</t>
  </si>
  <si>
    <t>[Chrismas, Nathan A. M.; Anesio, Alexandre M.; Sanchez-Baracaldo, Patricia] Univ Bristol, Sch Geog Sci, Bristol Glaciol Ctr, Bristol BS8 1SS, Avon, England</t>
  </si>
  <si>
    <t>University of Bristol</t>
  </si>
  <si>
    <t>Sánchez-Baracaldo, P (corresponding author), Univ Bristol, Sch Geog Sci, Bristol Glaciol Ctr, Bristol BS8 1SS, Avon, England.</t>
  </si>
  <si>
    <t>p.sanchez-baracaldo@bristol.ac.uk</t>
  </si>
  <si>
    <t>Sanchez-Baracaldo, Patricia/A-5309-2017; Anesio, Alexandre/A-7597-2008</t>
  </si>
  <si>
    <t>Anesio, Alexandre/0000-0003-2990-4014; Chrismas, Nathan/0000-0002-2165-3102; Sanchez-Baracaldo, Patricia/0000-0002-5216-2664</t>
  </si>
  <si>
    <t>NERC [NE/J02399X/1]; Royal Society Dorothy Hodgkin Fellowship; NAMC; NERC [NE/J02399X/1] Funding Source: UKRI; Natural Environment Research Council [NE/J02399X/1, 1367453] Funding Source: researchfish</t>
  </si>
  <si>
    <t>NERC(UK Research &amp; Innovation (UKRI)Natural Environment Research Council (NERC)); Royal Society Dorothy Hodgkin Fellowship(Royal Society); NAMC; NERC(UK Research &amp; Innovation (UKRI)Natural Environment Research Council (NERC)); Natural Environment Research Council(UK Research &amp; Innovation (UKRI)Natural Environment Research Council (NERC))</t>
  </si>
  <si>
    <t>This research was carried out as part of the NERC GW4+ Doctoral Training Partnership in Bristol supporting NAMC. Funding support for this work came from a NERC grant (NE/J02399X/1) awarded to AMA and a Royal Society Dorothy Hodgkin Fellowship for PS-B.</t>
  </si>
  <si>
    <t>OCT 13</t>
  </si>
  <si>
    <t>10.3389/fmicb.2015.01070</t>
  </si>
  <si>
    <t>CU2ZI</t>
  </si>
  <si>
    <t>WOS:000363392400001</t>
  </si>
  <si>
    <t>Soler, GA; Edgar, GJ; Thomson, RJ; Kininmonth, S; Campbell, SJ; Dawson, TP; Barrett, NS; Bernard, ATF; Galván, DE; Willis, TJ; Alexander, TJ; Stuart-Smith, RD</t>
  </si>
  <si>
    <t>Soler, German A.; Edgar, Graham J.; Thomson, Russell J.; Kininmonth, Stuart; Campbell, Stuart J.; Dawson, Terence P.; Barrett, Neville S.; Bernard, Anthony T. F.; Galvan, David E.; Willis, Trevor J.; Alexander, Timothy J.; Stuart-Smith, Rick D.</t>
  </si>
  <si>
    <t>Reef Fishes at All Trophic Levels Respond Positively to Effective Marine Protected Areas</t>
  </si>
  <si>
    <t>SOUTHERN AUSTRALIA; CORAL-REEFS; ASSEMBLAGES; DIVERSITY; ABUNDANCE; CASCADES; IMPACTS; ECOLOGY</t>
  </si>
  <si>
    <t>Marine Protected Areas (MPAs) offer a unique opportunity to test the assumption that fishing pressure affects some trophic groups more than others. Removal of larger predators through fishing is often suggested to have positive flow-on effects for some lower trophic groups, in which case protection from fishing should result in suppression of lower trophic groups as predator populations recover. We tested this by assessing differences in the trophic structure of reef fish communities associated with 79 MPAs and open-access sites worldwide, using a standardised quantitative dataset on reef fish community structure. The biomass of all major trophic groups (higher carnivores, benthic carnivores, planktivores and herbivores) was significantly greater (by 40% - 200%) in effective no-take MPAs relative to fished open-access areas. This effect was most pronounced for individuals in large size classes, but with no size class of any trophic group showing signs of depressed biomass in MPAs, as predicted from higher predator abundance. Thus, greater biomass in effective MPAs implies that exploitation on shallow rocky and coral reefs negatively affects biomass of all fish trophic groups and size classes. These direct effects of fishing on trophic structure appear stronger than any top down effects on lower trophic levels that would be imposed by intact predator populations. We propose that exploitation affects fish assemblages at all trophic levels, and that local ecosystem function is generally modified by fishing.</t>
  </si>
  <si>
    <t>[Soler, German A.; Edgar, Graham J.; Thomson, Russell J.; Kininmonth, Stuart; Barrett, Neville S.; Stuart-Smith, Rick D.] Univ Tasmania, Inst Marine &amp; Antarctic Studies, Hobart, Tas, Australia; [Kininmonth, Stuart] Stockholm Univ, Stockholm Resilience Ctr, S-10691 Stockholm, Sweden; [Campbell, Stuart J.] Wildlife Conservat Soc, Indonesia Marine Program, Bogor, Indonesia; [Dawson, Terence P.] Univ Dundee, Sch Environm, Dundee DD1 4HN, Scotland; [Bernard, Anthony T. F.] South African Environm Observat Network Elwandle, Grahamstown, South Africa; [Bernard, Anthony T. F.] Rhodes Univ, Dept Zool &amp; Entomol, ZA-6140 Grahamstown, South Africa; [Galvan, David E.] Consejo Nacl Invest Cient &amp; Tecn, Ctr Nacl Patagon, Puerto Madryn, Chubut, Argentina; [Willis, Trevor J.] Univ Portsmouth, Sch Biol Sci, Inst Marine Sci, Portsmouth, Hants, England; [Alexander, Timothy J.] EAWAG Swiss Fed Inst Aquat Sci &amp; Technol, Dept Fish Ecol &amp; Evolut, Ctr Ecol Evolut &amp; Biogeochem, Kastanienbaum, Switzerland; [Alexander, Timothy J.] Univ Bern, Div Aquat Ecol &amp; Evolut, Inst Ecol &amp; Evolut, Bern, Switzerland</t>
  </si>
  <si>
    <t>University of Tasmania; Stockholm University; Wildlife Conservation Society - Indonesia; University of Dundee; Rhodes University; Centro Nacional Patagonico (CENPAT); Consejo Nacional de Investigaciones Cientificas y Tecnicas (CONICET); University of Portsmouth; Swiss Federal Institutes of Technology Domain; Swiss Federal Institute of Aquatic Science &amp; Technology (EAWAG); University of Bern</t>
  </si>
  <si>
    <t>Soler, GA (corresponding author), Univ Tasmania, Inst Marine &amp; Antarctic Studies, Hobart, Tas, Australia.</t>
  </si>
  <si>
    <t>gasoler@utas.edu.au</t>
  </si>
  <si>
    <t>Dawson, Terence Peter/E-4724-2011; Willis, Trevor/F-5337-2012; Edgar, Graham/AAY-3797-2020; Kininmonth, Stuart/N-9299-2013; Stuart-Smith, Rick/I-5214-2019; Stuart-Smith, Rick D/M-1829-2013; Bernard, Anthony/M-8292-2019; Thomson, Russell/H-5653-2012; Barrett, Neville/J-7593-2014</t>
  </si>
  <si>
    <t>Dawson, Terence Peter/0000-0002-4314-1378; Willis, Trevor/0000-0002-0357-1189; Edgar, Graham/0000-0003-0833-9001; Kininmonth, Stuart/0000-0001-9198-3396; Stuart-Smith, Rick/0000-0002-8874-0083; Stuart-Smith, Rick D/0000-0002-8874-0083; Bernard, Anthony/0000-0003-0482-6283; Campbell, Stuart/0000-0002-1158-3200; Thomson, Russell/0000-0003-4949-4120; Barrett, Neville/0000-0002-6167-1356; Galvan, David/0000-0001-8132-6069</t>
  </si>
  <si>
    <t>Australian Research Council, a postgraduate scholarship from IMAS-CSIRO; Marine Biodiversity Hub, a collaborative partnership funded under the Australian Government's National Environmental Research Program; National Geographic Society; Conservation International; Wildlife Conservation Society; Winifred Violet Scott Trust; Tasmanian Parks and Wildlife Service; Winston Churchill Memorial Trust; University of Tasmania; ASSEMBLE Marine</t>
  </si>
  <si>
    <t>Australian Research Council, a postgraduate scholarship from IMAS-CSIRO(Australian Research Council); Marine Biodiversity Hub, a collaborative partnership funded under the Australian Government's National Environmental Research Program; National Geographic Society(National Geographic Society); Conservation International; Wildlife Conservation Society; Winifred Violet Scott Trust; Tasmanian Parks and Wildlife Service; Winston Churchill Memorial Trust; University of Tasmania; ASSEMBLE Marine</t>
  </si>
  <si>
    <t>This study was supported by the Australian Research Council, a postgraduate scholarship from IMAS-CSIRO (to GAS), and the Marine Biodiversity Hub, a collaborative partnership funded under the Australian Government's National Environmental Research Program. Surveys were assisted by grants from the National Geographic Society, Conservation International, Wildlife Conservation Society, Winifred Violet Scott Trust, Tasmanian Parks and Wildlife Service, the Winston Churchill Memorial Trust, University of Tasmania, and ASSEMBLE Marine. The funders had no role in study design, data collection and analysis, decision to publish, or preparation of the manuscript.</t>
  </si>
  <si>
    <t>e0140270</t>
  </si>
  <si>
    <t>10.1371/journal.pone.0140270</t>
  </si>
  <si>
    <t>CT6ZJ</t>
  </si>
  <si>
    <t>WOS:000362962300076</t>
  </si>
  <si>
    <t>Herman, A</t>
  </si>
  <si>
    <t>Herman, Agnieszka</t>
  </si>
  <si>
    <t>Trends and variability of the atmosphere-ocean turbulent heat flux in the extratropical Southern Hemisphere</t>
  </si>
  <si>
    <t>GLOBAL OCEANS; ICE; WINDS</t>
  </si>
  <si>
    <t>Ocean-atmosphere interactions are complex and extend over a wide range of temporal and spatial scales. Among the key components of these interactions is the ocean-atmosphere (latent and sensible) turbulent heat flux (THF). Here, based on daily optimally-interpolated data from the extratropical Southern Hemisphere (south of 30 degrees S) from a period 1985-2013, we analyze short-term variability and trends in THF and variables influencing it. It is shown that, in spite of climate-change-related positive trends in surface wind speeds over large parts of the Southern Ocean, the range of the THF variability has been decreasing due to decreasing air-water temperature and humidity differences. Occurrence frequency of very large heat flux events decreased accordingly. Remarkably, spectral analysis of the THF data reveals, in certain regions, robust periodicity at frequencies 0.03-0.04 day(-1), corresponding exactly to frequencies of the baroclinic annular mode (BAM). Finally, it is shown that the THF is correlated with the position of the major fronts in sections of the Antarctic Circumpolar Current where the fronts are not constrained by the bottom topography and can adjust their position to the atmospheric and oceanic forcing, suggesting differential response of various sections of the Southern Ocean to the changing atmospheric forcing.</t>
  </si>
  <si>
    <t>Univ Gdansk, Inst Oceanog, PL-80952 Gdansk, Poland</t>
  </si>
  <si>
    <t>Fahrenheit Universities; University of Gdansk</t>
  </si>
  <si>
    <t>Herman, A (corresponding author), Univ Gdansk, Inst Oceanog, PL-80952 Gdansk, Poland.</t>
  </si>
  <si>
    <t>oceagah@ug.edu.pl</t>
  </si>
  <si>
    <t>Herman, Agnieszka/F-5027-2012; Herman, Agnieszka/GPS-4669-2022</t>
  </si>
  <si>
    <t>Herman, Agnieszka/0000-0001-5112-7165</t>
  </si>
  <si>
    <t>Polish Ministry of Science and Higher Education [4456/P01/2010/38]</t>
  </si>
  <si>
    <t>Polish Ministry of Science and Higher Education(Ministry of Science and Higher Education, Poland)</t>
  </si>
  <si>
    <t>This work has been supported by the Polish Ministry of Science and Higher Education (research grant No. 4456/P01/2010/38).</t>
  </si>
  <si>
    <t>OCT 9</t>
  </si>
  <si>
    <t>10.1038/srep14900</t>
  </si>
  <si>
    <t>CT0IN</t>
  </si>
  <si>
    <t>WOS:000362478500001</t>
  </si>
  <si>
    <t>Agüera, A; Collard, M; Jossart, Q; Moreau, C; Danis, B</t>
  </si>
  <si>
    <t>Aguera, Antonio; Collard, Marie; Jossart, Quentin; Moreau, Camille; Danis, Bruno</t>
  </si>
  <si>
    <t>Parameter Estimations of Dynamic Energy Budget (DEB) Model over the Life History of a Key Antarctic Species: The Antarctic Sea Star Odontaster validus Koehler, 1906</t>
  </si>
  <si>
    <t>PHOTOPERIODIC REGULATION; REPRODUCTIVE OUTPUT; COVARIATION METHOD; MCMURDO SOUND; GROWTH; GAMETOGENESIS; TEMPERATURE; BENTHOS; METABOLISM; ALLOCATION</t>
  </si>
  <si>
    <t>Marine organisms in Antarctica are adapted to an extreme ecosystem including extremely stable temperatures and strong seasonality due to changes in day length. It is now largely accepted that Southern Ocean organisms are particularly vulnerable to global warming with some regions already being challenged by a rapid increase of temperature. Climate change affects both the physical and biotic components of marine ecosystems and will have an impact on the distribution and population dynamics of Antarctic marine organisms. To predict and assess the effect of climate change on marine ecosystems a more comprehensive knowledge of the life history and physiology of key species is urgently needed. In this study we estimate the Dynamic Energy Budget (DEB) model parameters for key benthic Antarctic species the sea star Odontaster validus using available information from literature and experiments. The DEB theory is unique in capturing the metabolic processes of an organism through its entire life cycle as a function of temperature and food availability. The DEB model allows for the inclusion of the different life history stages, and thus, becomes a tool that can be used to model lifetime feeding, growth, reproduction, and their responses to changes in biotic and abiotic conditions. The DEB model presented here includes the estimation of reproduction handling rules for the development of simultaneous oocyte cohorts within the gonad. Additionally it links the DEB model reserves to the pyloric caeca an organ whose function has long been ascribed to energy storage. Model parameters described a slowed down metabolism of long living animals that mature slowly. O. validus has a large reserve that-matching low maintenance costs-allow withstanding long periods of starvation. Gonad development is continuous and individual cohorts developed within the gonads grow in biomass following a power function of the age of the cohort. The DEB model developed here for O. validus allowed us to increase our knowledge on the ecophysiology of this species, providing new insights on the role of food availability and temperature on its life cycle and reproduction strategy.</t>
  </si>
  <si>
    <t>[Aguera, Antonio; Collard, Marie; Jossart, Quentin; Moreau, Camille; Danis, Bruno] Univ Libre Bruxelles, Lab Biol Marine CP160 15, B-1050 Brussels, Belgium</t>
  </si>
  <si>
    <t>Universite Libre de Bruxelles</t>
  </si>
  <si>
    <t>Agüera, A (corresponding author), Univ Libre Bruxelles, Lab Biol Marine CP160 15, FD Roosevelt 50, B-1050 Brussels, Belgium.</t>
  </si>
  <si>
    <t>antonio.aguera@gmail.com</t>
  </si>
  <si>
    <t>Danis, Bruno/AAS-8444-2021; Agüera, Antonio/O-5498-2017</t>
  </si>
  <si>
    <t>Danis, Bruno/0000-0002-9037-7623; Agüera, Antonio/0000-0003-0076-1849; Moreau, Camille/0000-0002-0981-7442; Collard, Marie/0000-0003-3919-6250; Jossart, Quentin/0000-0002-2280-243X</t>
  </si>
  <si>
    <t>vERSO project; Belgian Science Policy Office (BELSPO) [BR/132/A1/vERSO]</t>
  </si>
  <si>
    <t>vERSO project; Belgian Science Policy Office (BELSPO)(Belgian Federal Science Policy Office)</t>
  </si>
  <si>
    <t>This work was funded by vERSO project (www.versoproject.be), funded by the Belgian Science Policy Office (BELSPO, contract no BR/132/A1/vERSO).</t>
  </si>
  <si>
    <t>e0140078</t>
  </si>
  <si>
    <t>10.1371/journal.pone.0140078</t>
  </si>
  <si>
    <t>CT0TY</t>
  </si>
  <si>
    <t>WOS:000362511200033</t>
  </si>
  <si>
    <t>Chauhan, A; Bharti, PK; Goyal, P; Varma, A; Jindal, T</t>
  </si>
  <si>
    <t>Chauhan, Abhishek; Bharti, Pawan K.; Goyal, Pankaj; Varma, Ajit; Jindal, Tanu</t>
  </si>
  <si>
    <t>Psychrophilic pseudomonas in antarctic freshwater lake at stornes peninsula, larsemann hills over east Antarctica</t>
  </si>
  <si>
    <t>SpringerPlus</t>
  </si>
  <si>
    <t>Psychrophilic Pseudomonas; Antarctic freshwater lake; East Antarctica; Stornes peninsula</t>
  </si>
  <si>
    <t>SP-NOV; ATMOSPHERIC DEPOSITION; SOILS; POND</t>
  </si>
  <si>
    <t>The Larsemann Hills is an ice-free area of approximately 50 km(2), located halfway between the Vestfold Hills and the Amery Ice Shelf on the south-eastern coast of Prydz Bay, Princess Elizabeth Land, East Antarctica (69 degrees 30'S, 76 degrees 19'58E). The ice-free area consists of two major peninsulas (Stornes and Broknes), four minor peninsulas, and approximately 130 islands. The Larsemann Hills area contains more than 150 lakes at different Islands and Peninsulas. Nine lake water samples were collected in a gamma sterilized bottles and were kept in an ice pack to prevent any changes in the microbial flora of the samples during the transportation. The water samples were transported to the lab in vertical position maintaining the temperature 1-4 degrees C with ice pack enveloped conditions. Samples were studied for Psychrophilic bacterial count, Pseudomonas spp., Staphylococcus aureus, Salmonella and Total MPN Coliform per 100 ml. Psychrophillic counts were found in the range of 12 cfu to 1.6 x 10(2) cfu in all the samples. MPN Coliform per 100 ml was found to be absent in all the samples. No growth and characteristics colonies observed when tested for Salmonella and S. aureus. Pseudomonas sp. was found in ST-2 lake water sample as characteristics colonies (Optimum Growth) were observed on selective media at 22 and 25 degrees C. Further several biochemical tests were also performed to confirm the presence of this Potential Psychrophilic Pseudomonas sp. for its further application in Science and Technology.</t>
  </si>
  <si>
    <t>[Chauhan, Abhishek; Jindal, Tanu] Amity Univ, Amity Inst Environm Toxicol Safety &amp; Management, Sect 125, Noida, Uttar Pradesh, India; [Bharti, Pawan K.] Shriram Inst Ind Res, R&amp;D Div, Antarctica Lab, Delhi 110007, India; [Goyal, Pankaj; Varma, Ajit] Amity Univ, Amity Inst Microbial Technol, Sect 125, Noida, Uttar Pradesh, India</t>
  </si>
  <si>
    <t>Amity University Noida; Amity University Noida</t>
  </si>
  <si>
    <t>Chauhan, A (corresponding author), Amity Univ, Amity Inst Environm Toxicol Safety &amp; Management, Sect 125, Noida, Uttar Pradesh, India.</t>
  </si>
  <si>
    <t>akchauhan@amity.edu</t>
  </si>
  <si>
    <t>Jindal, Tanu/N-1015-2016; Chauhan, Abhishek/ABI-3432-2020; Bharti, Pawan/F-5661-2011</t>
  </si>
  <si>
    <t>Jindal, Tanu/0000-0002-7932-0503; Chauhan, Abhishek/0000-0001-6475-1266; Bharti, Pawan/0000-0003-2456-8322</t>
  </si>
  <si>
    <t>SPRINGER INTERNATIONAL PUBLISHING AG</t>
  </si>
  <si>
    <t>CHAM</t>
  </si>
  <si>
    <t>GEWERBESTRASSE 11, CHAM, CH-6330, SWITZERLAND</t>
  </si>
  <si>
    <t>2193-1801</t>
  </si>
  <si>
    <t>SPRINGERPLUS</t>
  </si>
  <si>
    <t>OCT 7</t>
  </si>
  <si>
    <t>10.1186/s40064-015-1354-3</t>
  </si>
  <si>
    <t>CV5WR</t>
  </si>
  <si>
    <t>WOS:000364342600001</t>
  </si>
  <si>
    <t>Evjen, TJ</t>
  </si>
  <si>
    <t>Evjen, Tove Julie</t>
  </si>
  <si>
    <t>Nanomedicine in cancer treatment - hope to small particle</t>
  </si>
  <si>
    <t>TIDSSKRIFT FOR DEN NORSKE LAEGEFORENING</t>
  </si>
  <si>
    <t>Norwegian</t>
  </si>
  <si>
    <t>DELIVERY</t>
  </si>
  <si>
    <t>[Evjen, Tove Julie] Aker Biomarine Antarctic, Oslo, Norway; [Evjen, Tove Julie] Bioteknol Selskap, Oslo, Norway; [Evjen, Tove Julie] Univ Tromso, N-9001 Tromso, Norway</t>
  </si>
  <si>
    <t>UiT The Arctic University of Tromso</t>
  </si>
  <si>
    <t>Evjen, TJ (corresponding author), Aker Biomarine Antarctic, Oslo, Norway.</t>
  </si>
  <si>
    <t>tove.julie@gmail.com</t>
  </si>
  <si>
    <t>NORWEGIAN MEDICAL ASSOC</t>
  </si>
  <si>
    <t>OSLO</t>
  </si>
  <si>
    <t>AKERSGATA 2, PO BOX 1152, OSLO, 0107, NORWAY</t>
  </si>
  <si>
    <t>0029-2001</t>
  </si>
  <si>
    <t>0807-7096</t>
  </si>
  <si>
    <t>TIDSSKR NORSKE LAEGE</t>
  </si>
  <si>
    <t>Tidsskr. Nor. Laegeforen.</t>
  </si>
  <si>
    <t>OCT 6</t>
  </si>
  <si>
    <t>Medicine, General &amp; Internal</t>
  </si>
  <si>
    <t>General &amp; Internal Medicine</t>
  </si>
  <si>
    <t>DF3IW</t>
  </si>
  <si>
    <t>WOS:000371238500022</t>
  </si>
  <si>
    <t>Smith, J; O'Brien, PE; Stark, JS; Johnstone, GJ; Riddle, MJ</t>
  </si>
  <si>
    <t>Smith, Jodie; O'Brien, Philip E.; Stark, Jonathan S.; Johnstone, Glenn J.; Riddle, Martin J.</t>
  </si>
  <si>
    <t>Integrating multibeam sonar and underwater video data to map benthic habitats in an East Antarctic nearshore environment</t>
  </si>
  <si>
    <t>ESTUARINE COASTAL AND SHELF SCIENCE</t>
  </si>
  <si>
    <t>Benthic habitats; Multibeam sonar; Vestfold hills; Benthic communities; Video transects</t>
  </si>
  <si>
    <t>CANONICAL CORRESPONDENCE-ANALYSIS; VESTFOLD HILLS; SURFICIAL GEOLOGY; SCOTIAN SHELF; TOP-DOWN; COMMUNITIES; ASSEMBLAGES; CLASSIFICATION; PATTERNS; STATION</t>
  </si>
  <si>
    <t>An integrated analysis of biological and geoscientific data collected from the nearshore marine environment of the Vestfold Hills was used to identify benthic habitats and associated communities and examine relationships between benthic community composition and environmental characteristics. A 48 km(2) area was surveyed using a multibeam echosounder system (MBES) to produce high-resolution bathymetry and backscatter intensity maps of the seabed. Epibenthic community data and in situ observations of substrate composition and seafloor bedforms and features were obtained from towed underwater video. A comparison of top-down and bottom-up approaches to defining benthic habitats was used to improve understanding of the applicability of mapping methodologies. On a broad scale, both approaches produced habitat classes distinguished largely by geomorphic features, with substrate and depth identified as the main controls of benthic community composition, however, the relationship between benthic community composition and environmental characteristics is complex with many variables contributing to differences in community composition. The top-down approach was based on geomorphic units defined using abiotic characteristics and the assemblages identified within the geomorphic were very broad with only weak distinction between assemblages. Conversely, the bottom-up approach generated additional habitat classes, identified clear defining taxa for each class, greater distinction between the benthic communities, and allowed identification of additional environmental factors (i.e. sea ice cover) that influence benthic community distribution that are not discernible from geomorphic information alone. The habitat types identified and mapped using the bottom-up approach include shallow boulder fields and exposed bedrock which are dominated by dense macroalgae communities, and steep slopes, muddy basins and sandy plains which are dominated by invertebrate communities. The results indicate that a bottom-up approach is preferable for benthic habitat mapping, however, where detailed information is not available, geomorphic information provides a reasonable indication of the distribution of benthic habitats and communities. This study highlights the utility of multibeam sonar for interpretation of seafloor morphology and substrate and the multibeam data provide a physical framework for understanding benthic habitats and the distribution of benthic communities. This research provides the scientific context and spatial framework for managing the Vestfold Hills nearshore marine environment and provides a baseline for assessing environmental change. Crown Copyright (C) 2015 Published by Elsevier Ltd. All rights reserved.</t>
  </si>
  <si>
    <t>[Smith, Jodie; O'Brien, Philip E.] Geosci Australia, Canberra, ACT 2601, Australia; [Stark, Jonathan S.; Johnstone, Glenn J.; Riddle, Martin J.] Australian Antarctic Div, Kingston, Tas 7050, Australia</t>
  </si>
  <si>
    <t>Geoscience Australia; Australian Antarctic Division</t>
  </si>
  <si>
    <t>Smith, J (corresponding author), Geosci Australia, GPO Box 378, Canberra, ACT 2601, Australia.</t>
  </si>
  <si>
    <t>jodie.smith@ga.gov.au</t>
  </si>
  <si>
    <t>Smith, Jodie/H-5815-2019; Stark, Jonathan/ABF-4025-2020</t>
  </si>
  <si>
    <t>Smith, Jodie/0000-0002-4706-4269; Stark, Jonathan/0000-0002-4268-8072; Johnstone, Glenn/0000-0002-9302-4794; O'Brien, Philip/0000-0003-3446-3292</t>
  </si>
  <si>
    <t>Australian Antarctic Science (AAS) Project - Natural Variability and Human Induced Change on Antarctic Nearshore Marine Benthic Communities [2201]; Australian Antarctic Division non-science Project - Hydrographic Charting of Antarctic Waters [3259]</t>
  </si>
  <si>
    <t>Australian Antarctic Science (AAS) Project - Natural Variability and Human Induced Change on Antarctic Nearshore Marine Benthic Communities; Australian Antarctic Division non-science Project - Hydrographic Charting of Antarctic Waters</t>
  </si>
  <si>
    <t>We thank Ian Atkinson (GA), Ross Bowden, Dean Forrest, Jade Paddison and Steven Swanson (RAN) who assisted with the survey. We also thank Michele Spinoccia, Olivia Wilson and Dr Justy Siwabessy (GA) for assistance processing the multibeam datasets. Thanks also to Dr Alix Post (GA) who assisted with the interpretation and analysis of the underwater video data, and Dr Rachel Przeslawski and Dr Andrew Carrol (GA) for assistance with biological identifications. This research was a component of Australian Antarctic Science (AAS) Project 2201 - Natural Variability and Human Induced Change on Antarctic Nearshore Marine Benthic Communities (CI: Martin Riddle). The bathymetry data collection was also under the auspices of the Australian Antarctic Division non-science Project 3259 - Hydrographic Charting of Antarctic Waters. We thank Dr Mix Post (GA) and Dr Rachel Przeslawski (GA) for their critical reviews of the original manuscript. We would also like to thank two anonymous reviewers for their useful comments. This paper is published with the permission of the Chief Executive Officer, Geoscience Australia.</t>
  </si>
  <si>
    <t>ACADEMIC PRESS LTD- ELSEVIER SCIENCE LTD</t>
  </si>
  <si>
    <t>24-28 OVAL RD, LONDON NW1 7DX, ENGLAND</t>
  </si>
  <si>
    <t>0272-7714</t>
  </si>
  <si>
    <t>1096-0015</t>
  </si>
  <si>
    <t>ESTUAR COAST SHELF S</t>
  </si>
  <si>
    <t>Estuar. Coast. Shelf Sci.</t>
  </si>
  <si>
    <t>OCT 5</t>
  </si>
  <si>
    <t>10.1016/j.ecss.2015.07.036</t>
  </si>
  <si>
    <t>DA5SI</t>
  </si>
  <si>
    <t>WOS:000367862400051</t>
  </si>
  <si>
    <t>Head, MJ; Gibbard, PL</t>
  </si>
  <si>
    <t>Head, Martin J.; Gibbard, Philip L.</t>
  </si>
  <si>
    <t>Formal subdivision of the Quaternary System/Period: Past, present, and future</t>
  </si>
  <si>
    <t>QUATERNARY INTERNATIONAL</t>
  </si>
  <si>
    <t>Quaternary; Pleistocene; Holocene; Anthropocene; GSSP</t>
  </si>
  <si>
    <t>GLOBAL STRATOTYPE SECTION; GEOLOGIC TIME-SCALE; MIDDLE PLEISTOCENE TRANSITION; MATUYAMA-BRUNHES BOUNDARY; MONTALBANO JONICO; ICE-CORE; POINT GSSP; INTERNATIONAL-COMMISSION; GLACIAL MAXIMUM; CLIMATE-CHANGE</t>
  </si>
  <si>
    <t>The Quaternary System/Period represents the past 2.58 million years and is officially subdivided into the Pleistocene and Holocene series/epochs, with the base of the Holocene assigned an age of 11,700 calendar years before AD 2000. The two lowest stages of the Pleistocene, the Gelasian (base 2.58 Ma) and the Calabrian (base 1.80 Ma), have been ratified and these effectively constitute the Lower Pleistocene Subseries. All other official subdivisions are pending. For the Middle Pleistocene Subseries, three candidate global boundary stratotype sections and points (GSSPs) are under consideration: the Valle di Manche in Calabria and Montalbano Jonico in Basilicata, both in southern Italy, and the Chiba section in Japan. The Matuyama-Brunhes Chron boundary (similar to 773 ka) serves as the principal guide for the base of the Middle Pleistocene. The base of the Upper Pleistocene Subseries is generally agreed to coincide approximately with that of the last interglacial (Marine Isotope Substage 5e similar to 130 ka): the Fronte section near Taranto in southern Italy represents a possible candidate GSSP, but an Antarctic ice core might also serve this purpose. A tripartite subdivision of the Holocene, with subseries/stage boundaries at 8200 and 4200 years B.P., is also under consideration. Additional fine-scale formal subdivision of the Quaternary is being explored, with the Last Glacial Maximum serving as a test case. The Anthropocene is both an informal and undefined interval of time that includes the present day. Its duration, formal/informal status, rank, and method of definition are all under debate, with one suggestion that it be defined as a formal unit beginning with the world's first nuclear bomb explosion, on July 16th 1945. Suggested and proposed GSSPs are compared and critiqued. The history leading to ratification of the Quaternary Period in 2009 is examined drawing upon published and unpublished material. (C) 2015 Elsevier Ltd and INQUA. All rights reserved.</t>
  </si>
  <si>
    <t>[Head, Martin J.] Brock Univ, Dept Earth Sci, St Catharines, ON L2S 3A1, Canada; [Gibbard, Philip L.] Univ Cambridge, Dept Geog, Cambridge Quaternary, Cambridge CB2 3EN, England</t>
  </si>
  <si>
    <t>Brock University; University of Cambridge</t>
  </si>
  <si>
    <t>Head, MJ (corresponding author), Brock Univ, Dept Earth Sci, 500 Glenridge Ave, St Catharines, ON L2S 3A1, Canada.</t>
  </si>
  <si>
    <t>mjhead@brocku.ca</t>
  </si>
  <si>
    <t>Gibbard, Phil/AAU-8014-2021</t>
  </si>
  <si>
    <t>1040-6182</t>
  </si>
  <si>
    <t>1873-4553</t>
  </si>
  <si>
    <t>QUATERN INT</t>
  </si>
  <si>
    <t>Quat. Int.</t>
  </si>
  <si>
    <t>10.1016/j.quaint.2015.06.039</t>
  </si>
  <si>
    <t>CT9GR</t>
  </si>
  <si>
    <t>WOS:000363125500002</t>
  </si>
  <si>
    <t>Hughes, PD; Gibbard, PL</t>
  </si>
  <si>
    <t>Hughes, Philip D.; Gibbard, Philip L.</t>
  </si>
  <si>
    <t>A stratigraphical basis for the Last Glacial Maximum (LGM)</t>
  </si>
  <si>
    <t>Last Glacial Maximum LGM; Greenland Stadial 3; Event stratigraphy; Last glacial cycle; MIS 2</t>
  </si>
  <si>
    <t>PRODUCTION-RATE CALIBRATION; NORTH-ATLANTIC REGION; ICE-CORE; SEA-LEVEL; OXYGEN-ISOTOPE; CLIMATE-CHANGE; EXPOSURE AGES; EVENT STRATIGRAPHY; SPELEOTHEM RECORD; SOUTHERN ALPS</t>
  </si>
  <si>
    <t>The Last Glacial Maximum (LGM) is widely used to refer to the episode when global ice volume last reached its maximum and associated sea levels were at their lowest. However, the boundaries of the interval are ill-defined and the term and acronym have no formal stratigraphical basis. This is despite a previous proposal to define it as a chronozone in the marine records on the basis of oxygen isotopes and sea levels, spanning the interval 23-19 or 24-18 ka and centred on 21 ka. In terrestrial records the LGM is poorly represented since many sequences show a diachronous response to global climate changes during the last glacial cycle. For example, glaciers and ice sheets reached their maximum extents at widely differing times in different places. In fact, most terrestrial records display spatial variation in response to global climate fluctuations, and changes recorded on land are often diachronous, asynchronous or both, leading to difficulties in global correlation. However, variations in the global hydrological system during glacial cycles are recorded by atmospheric dust flux and this provides a signal of terrestrial changes. Whilst regional dust accumulation is recorded in loess deposits, global dust flux is best recorded in high-resolution polar ice-core records, providing an opportunity to define the LGM on land and establish a clear stratigraphical basis for its definition. On this basis, one option is to define the global LGM as an event between the top (end) of Greenland Interstadial 3 and the base (onset) of Greenland Interstadial 2, spanning the interval 27.540-23.340 ka (Greenland Stadial 3). This corresponds closely to the peak dust concentration in both the Greenland and Antarctic ice cores and to records of the global sea-level minima. This suggests that this definition includes not just the coldest and driest part of the last glacial cycle but also the peak in global ice volume. The later part of the LGM event is marked by Heinrich Event 2, which reflects the onset of the collapse of the Laurentide at c. 24 ka, together with other ice sheets in the North Atlantic region. A longer and later span for the LGM may be desirable, although defining this in chronostratigraphical terms is problematic. Whichever formal definition is chosen, this requires the contribution of the wider Quaternary community. (C) 2014 Elsevier Ltd and INQUA. All rights reserved.</t>
  </si>
  <si>
    <t>[Hughes, Philip D.] Univ Manchester, Sch Environm Educ &amp; Dev, Geog, Manchester M13 9PL, Lancs, England; [Gibbard, Philip L.] Univ Cambridge, Dept Geog, Cambridge Quaternary, Cambridge CB2 3EN, England</t>
  </si>
  <si>
    <t>University of Manchester; University of Cambridge</t>
  </si>
  <si>
    <t>Hughes, PD (corresponding author), Univ Manchester, Oxford Rd, Manchester M13 9PL, Lancs, England.</t>
  </si>
  <si>
    <t>philip.hughes@manchester.ac.uk</t>
  </si>
  <si>
    <t>Hughes, Philip/0000-0002-8284-0219</t>
  </si>
  <si>
    <t>10.1016/j.quaint.2014.06.006</t>
  </si>
  <si>
    <t>WOS:000363125500012</t>
  </si>
  <si>
    <t>Li, J; Qian, W; Xu, YH; Chen, GC; Wang, GD; Nie, SL; Shen, BX; Zhao, ZG; Liu, CY; Chen, KS</t>
  </si>
  <si>
    <t>Li, Jing; Qian, Wen; Xu, Yanghui; Chen, Guochuang; Wang, Guodong; Nie, Songliu; Shen, Bingxiang; Zhao, Zhigang; Liu, Chunyan; Chen, Kaoshan</t>
  </si>
  <si>
    <t>Activation of RAW 264.7 cells by a polysaccharide isolated from Antarctic bacterium Pseudoaltermonas sp S-5</t>
  </si>
  <si>
    <t>CARBOHYDRATE POLYMERS</t>
  </si>
  <si>
    <t>Extracellular polysaccharide; Antarctic bacterium Pseudoaltermonas sp S-5; Immunostimulatory activity; Nuclear factor-kappa B; p38 MAPK</t>
  </si>
  <si>
    <t>MACROPHAGE IMMUNOMODULATORY ACTIVITY; NITRIC-OXIDE SYNTHASE; FACTOR-KAPPA-B; PROTEIN-KINASE; INVOLVEMENT; INHIBITION; NO</t>
  </si>
  <si>
    <t>The aim of this study was to examine the effect of extracellular polysaccharide (PEP) from Antarctic bacterium Pseudoaltermonas sp. S-5 on RAW 264.7 cells together with the underlying signaling pathways. Our results illustrated that PEP induced dendritic-like morphological change in RAW 264.7 cells, and increased the productions of nitric oxide (NO) and tumor necrosis factor-alpha (TNF-alpha). PEP could also enhance phagocytic activity of RAW 264.7 cells. Results of immunofluorescence staining and immunoblotting indicated that PEP caused the nuclear translocation of nuclear factor (NF)-kappa B subunit p65, the degradation of I kappa B-alpha and up-expression of phosphorylated p38 mitogen-activated protein kinase (MAPK) in RAW 264.7 cells. According to pharmacological evaluation with specific enzyme inhibitors, both NF-kappa B and p38 MAPK signaling pathways were involved in the generation of NO and TNF-alpha induced by PEP. All these results indicated that PEP from Antarctic bacterium Pseudoaltermonas sp. S-5 activated RAW 264.7 cells through NF-kappa B and p38 MAPK signaling pathways. (C) 2015 Elsevier Ltd. All rights reserved.</t>
  </si>
  <si>
    <t>[Li, Jing; Qian, Wen; Xu, Yanghui; Wang, Guodong; Zhao, Zhigang; Liu, Chunyan; Chen, Kaoshan] Wannan Med Coll, Dept Pharm, Anhui Prov Key Lab Act Biol Macromol, Anhui Prov Engn Res Ctr Polysaccharide Drugs, Wuhu 241000, Peoples R China; [Chen, Guochuang; Chen, Kaoshan] Shandong Univ, Sch Life Sci, Jinan 250100, Peoples R China; [Chen, Guochuang; Chen, Kaoshan] Shandong Univ, Natl Glycoengn Res Ctr, Jinan 250100, Peoples R China; [Chen, Kaoshan] Shandong Univ, State Key Lab Microbial Technol, Jinan 250100, Peoples R China; [Li, Jing; Nie, Songliu; Shen, Bingxiang] Anhui Med Univ, Luan Affiliated Hosp, Dept Pharm, Luan 237000, Peoples R China</t>
  </si>
  <si>
    <t>Wannan Medical College; Shandong University; Shandong University; Shandong University; Anhui Medical University</t>
  </si>
  <si>
    <t>Chen, KS (corresponding author), Shandong Univ, Res Ctr, Sch Life Sci &amp; Natl Glycoengn, 27 South Shanda Rd, Jinan 250100, Peoples R China.</t>
  </si>
  <si>
    <t>ksc313@126.com</t>
  </si>
  <si>
    <t>Wang, Guodong/GWC-3701-2022</t>
  </si>
  <si>
    <t>Wang, Guodong/0000-0003-0398-6373</t>
  </si>
  <si>
    <t>National Basic Research Program of China [2012CB822102]; High Technology Research and Development Program of China (863 Program) [2012AA021501]; Anhui Provincial Natural Science Foundation [1408085MH197, 1508085MH191]; Key Program for the Excellent Young Talents in College of Anhui Province [2013SQRL054ZD]; Program of Anhui Province Key Laboratory of Active Biological Macro-molecules Research [LAB201405]</t>
  </si>
  <si>
    <t>National Basic Research Program of China(National Basic Research Program of China); High Technology Research and Development Program of China (863 Program)(National High Technology Research and Development Program of China); Anhui Provincial Natural Science Foundation(Natural Science Foundation of Anhui Province); Key Program for the Excellent Young Talents in College of Anhui Province; Program of Anhui Province Key Laboratory of Active Biological Macro-molecules Research</t>
  </si>
  <si>
    <t>This study was supported by National Basic Research Program of China (no. 2012CB822102), High Technology Research and Development Program of China (863 Program) (no. 2012AA021501), Anhui Provincial Natural Science Foundation (no. 1408085MH197 and 1508085MH191), the Key Program for the Excellent Young Talents in College of Anhui Province (no. 2013SQRL054ZD) and the Program of Anhui Province Key Laboratory of Active Biological Macro-molecules Research (no. LAB201405).</t>
  </si>
  <si>
    <t>0144-8617</t>
  </si>
  <si>
    <t>1879-1344</t>
  </si>
  <si>
    <t>CARBOHYD POLYM</t>
  </si>
  <si>
    <t>Carbohydr. Polym.</t>
  </si>
  <si>
    <t>10.1016/j.carbpol.2015.04.070</t>
  </si>
  <si>
    <t>Chemistry, Applied; Chemistry, Organic; Polymer Science</t>
  </si>
  <si>
    <t>Chemistry; Polymer Science</t>
  </si>
  <si>
    <t>CL8SR</t>
  </si>
  <si>
    <t>WOS:000357244900012</t>
  </si>
  <si>
    <t>Gergócs, V; Hufnagel, L</t>
  </si>
  <si>
    <t>Gergocs, Veronika; Hufnagel, Levente</t>
  </si>
  <si>
    <t>Global pattern of oribatid mites (Acari: Oribatida) revealed by fractions of beta diversity and multivariate analysis</t>
  </si>
  <si>
    <t>INTERNATIONAL JOURNAL OF ACAROLOGY</t>
  </si>
  <si>
    <t>Jaccard index; global patterns; Simpson index; oribatid mites; beta diversity; simplex</t>
  </si>
  <si>
    <t>BIOGEOGRAPHICAL REGIONS; SPATIAL TURNOVER; VASCULAR PLANTS; DISTRIBUTIONS; NESTEDNESS; ANTARCTICA; DISPERSAL; FRAMEWORK; ABUNDANCE; GRADIENT</t>
  </si>
  <si>
    <t>Global patterns of organisms have long been investigated by calculating the (dis)similarity among geographical units followed by multivariate analysis. Beta-diversity-related structural characteristics of world-scale data, such as nestedness or species replacement may also be considered as an additional tool in revealing distributional patterns more accurately. To achieve this objective, our study combines cluster analysis and ordination based on Jaccard and Simpson dissimilarity with the decomposition of beta diversity into meaningful fractions. As a model group, the oribatid mite fauna of the seven biogeographic realms was analysed at three taxonomic levels, i.e. species, genus and family. The highest overall similarity was obtained between the Palaearctic and Nearctic realms and the lowest richness resulted for the Antarctic realm. The classifications and ordinations usually differed with the two dissimilarity indices. Beta diversity decomposition showed that these discrepancies were caused by different patterns of nestedness and taxon richness. Our study is the first to demonstrate that such a complex approach may disclose several features of biogeographic data not apparent otherwise and therefore may improve our understanding of inter-regional relationships.</t>
  </si>
  <si>
    <t>[Gergocs, Veronika] Eotvos Lorand Univ, Hungarian Acad Sci, MTA ELTE MTM Ecol Res Grp, Inst Biol, Budapest, Hungary; [Hufnagel, Levente] Szent Istvan Univ, Fac Agr &amp; Environm Sci, Inst Crop Prod, Godollo, Hungary</t>
  </si>
  <si>
    <t>Eotvos Lorand University; Hungarian Academy of Sciences; Hungarian Research Network; Office for Supported Research Groups (ELKH); Hungarian University of Agriculture &amp; Life Sciences</t>
  </si>
  <si>
    <t>Gergócs, V (corresponding author), Eotvos Lorand Univ, Hungarian Acad Sci, MTA ELTE MTM Ecol Res Grp, Inst Biol, Budapest, Hungary.</t>
  </si>
  <si>
    <t>veronika.gergocs@ttk.elte.hu; leventehufnagel@gmail.com</t>
  </si>
  <si>
    <t>Hufnagel, Levente/0000-0003-0438-2432</t>
  </si>
  <si>
    <t>Research Centre of Excellence [8526-5/2014/TUDPOL]</t>
  </si>
  <si>
    <t>Research Centre of Excellence</t>
  </si>
  <si>
    <t>Our research was supported by Research Centre of Excellence-8526-5/2014/TUDPOL.</t>
  </si>
  <si>
    <t>TAYLOR &amp; FRANCIS INC</t>
  </si>
  <si>
    <t>PHILADELPHIA</t>
  </si>
  <si>
    <t>530 WALNUT STREET, STE 850, PHILADELPHIA, PA 19106 USA</t>
  </si>
  <si>
    <t>0164-7954</t>
  </si>
  <si>
    <t>1945-3892</t>
  </si>
  <si>
    <t>INT J ACAROL</t>
  </si>
  <si>
    <t>Int. J. Acarol.</t>
  </si>
  <si>
    <t>OCT 3</t>
  </si>
  <si>
    <t>10.1080/01647954.2015.1084044</t>
  </si>
  <si>
    <t>Entomology</t>
  </si>
  <si>
    <t>CR5IO</t>
  </si>
  <si>
    <t>WOS:000361374700004</t>
  </si>
  <si>
    <t>Tomova, I; Stoilova-Disheva, M; Lazarkevich, I; Vasileva-Tonkova, E</t>
  </si>
  <si>
    <t>Tomova, Iva; Stoilova-Disheva, Margarita; Lazarkevich, Irina; Vasileva-Tonkova, Evgenia</t>
  </si>
  <si>
    <t>Antimicrobial activity and resistance to heavy metals and antibiotics of heterotrophic bacteria isolated from sediment and soil samples collected from two Antarctic islands</t>
  </si>
  <si>
    <t>FRONTIERS IN LIFE SCIENCE</t>
  </si>
  <si>
    <t>Antarctic bacteria; Deception Island; Galindez Island; resistance to antibiotics; resistance to heavy metals; plasmids; antimicrobial activity</t>
  </si>
  <si>
    <t>PSYCHROTROPHIC BACTERIA; MICROORGANISMS; SEAWATER; STRAINS; GENES</t>
  </si>
  <si>
    <t>In this study, 24 Antarctic bacteria, isolated from sediment and soil samples from Deception and Galindez Islands, were characterized for their antimicrobial activity and response to 13 antibiotics and seven heavy metals. Multiple antibiotic resistance was observed for 67% of sediment isolates and 92% of soil isolates, suggesting medium anthropogenic impact in these Antarctic regions. The results revealed a varying response of the Antarctic bacteria to the tested heavy metals. All isolates showed multiple metal resistance towards two to six heavy metals, with minimum inhibitory concentrations ranging from 1.0mM to 23.2mM. The majority of the strains in both groups were resistant to lead, nickel, copper and zinc. Plasmids were detected in 21% of isolates. A consortium of highly metal-resistant bacteria could be developed with potential application for biological treatment of wastewaters. Strains that are highly sensitive to cadmium would be promising for developing biosensors to detect this highly toxic heavy metal in environmental samples. All Antarctic bacteria were found to inhibit the growth of one to all eight of the tested indicator bacteria, and 87% inhibited the growth of one to all four of the yeast indicator cultures. Promising psychrotolerant strains were detected as a valuable source of new antimicrobial compounds.</t>
  </si>
  <si>
    <t>[Tomova, Iva; Stoilova-Disheva, Margarita; Lazarkevich, Irina; Vasileva-Tonkova, Evgenia] Bulgarian Acad Sci, Stephan Angeloff Inst Microbiol, Dept Gen Microbiol, BU-1113 Sofia, Bulgaria</t>
  </si>
  <si>
    <t>Bulgarian Academy of Sciences; Stephan Angeloff Institute of Microbiology, Bulgarian Academy of Sciences</t>
  </si>
  <si>
    <t>Vasileva-Tonkova, E (corresponding author), Bulgarian Acad Sci, Stephan Angeloff Inst Microbiol, Dept Gen Microbiol, Acad Georgi Bonchev Str,Bl 26, BU-1113 Sofia, Bulgaria.</t>
  </si>
  <si>
    <t>evaston@yahoo.com</t>
  </si>
  <si>
    <t>National Fund for Scientific Research of the Bulgarian Ministry of Education and Science [DNTS/Ukraine 01/1-2012]</t>
  </si>
  <si>
    <t>National Fund for Scientific Research of the Bulgarian Ministry of Education and Science</t>
  </si>
  <si>
    <t>The authors thank the National Fund for Scientific Research of the Bulgarian Ministry of Education and Science for financial support of this work [grant DNTS/Ukraine 01/1-2012].</t>
  </si>
  <si>
    <t>2155-3769</t>
  </si>
  <si>
    <t>2155-3777</t>
  </si>
  <si>
    <t>FRONT LIFE SCI</t>
  </si>
  <si>
    <t>Front. Life Sci.</t>
  </si>
  <si>
    <t>OCT 2</t>
  </si>
  <si>
    <t>10.1080/21553769.2015.1044130</t>
  </si>
  <si>
    <t>DA4UW</t>
  </si>
  <si>
    <t>WOS:000367797900005</t>
  </si>
  <si>
    <t>Passo, A; Rodriguez, JM; Chiapella, J</t>
  </si>
  <si>
    <t>Passo, A.; Rodriguez, J. M.; Chiapella, J.</t>
  </si>
  <si>
    <t>New records of Antarctic lichens</t>
  </si>
  <si>
    <t>NEW ZEALAND JOURNAL OF BOTANY</t>
  </si>
  <si>
    <t>Antarctic Peninsula; distribution; lichenised fungi; South Shetlands Island; taxonomy</t>
  </si>
  <si>
    <t>USNEA PARMELIACEAE; ASCOMYCOTA; NEUROPOGON</t>
  </si>
  <si>
    <t>Recent collections from King George Island, Deception Island and the Antarctic Peninsula provide evidence of the presence of previously unrecorded lichen taxa in the Antarctic flora. Parmelia sulcata, previously cited for South Georgia, and Usnea neuropogonoides are recorded for the first time from maritime Antarctica. The distributions of Psoroma buchananii and U. acromelana are extended to the Antarctic Peninsula and to Deception Island, respectively. The taxonomic position of an abnormal form of U. aurantiaco-atra is discussed.</t>
  </si>
  <si>
    <t>[Passo, A.] Univ Nacl Comahue, CONICET, INIBIOMA, Inst Invest Biodiversidad &amp; Med Ambiente, San Carlos De Bariloche, Rio Negro, Argentina; [Rodriguez, J. M.] Univ Nacl Cordoba, CERNAR, Ctr Ecol &amp; Recursos Nat Renovables, RA-5000 Cordoba, Argentina; [Rodriguez, J. M.] Univ Nacl Cordoba, CONICET, IIByT, RA-5000 Cordoba, Argentina; [Chiapella, J.] Univ Nacl Cordoba, CONICET, IMBIV, Inst Multidisciplinario Biol Vegetal, RA-5000 Cordoba, Argentina</t>
  </si>
  <si>
    <t>Consejo Nacional de Investigaciones Cientificas y Tecnicas (CONICET); Universidad Nacional del Comahue; National University of Cordoba; Consejo Nacional de Investigaciones Cientificas y Tecnicas (CONICET); National University of Cordoba; National University of Cordoba; Consejo Nacional de Investigaciones Cientificas y Tecnicas (CONICET)</t>
  </si>
  <si>
    <t>Passo, A (corresponding author), Univ Nacl Comahue, CONICET, INIBIOMA, Inst Invest Biodiversidad &amp; Med Ambiente, San Carlos De Bariloche, Rio Negro, Argentina.</t>
  </si>
  <si>
    <t>alfredo.passo@crub.uncoma.edu.ar</t>
  </si>
  <si>
    <t>Chiapella, Jorge O./AAI-2433-2021</t>
  </si>
  <si>
    <t>Chiapella, Jorge O./0000-0003-1686-1211</t>
  </si>
  <si>
    <t>ANPCyT-DNA [PICTO 2010-0095]</t>
  </si>
  <si>
    <t>ANPCyT-DNA</t>
  </si>
  <si>
    <t>This work was funded by Project PICTO 2010-0095 (ANPCyT-DNA) to JC.</t>
  </si>
  <si>
    <t>4 PARK SQUARE, MILTON PARK, ABINGDON OX14 4RN, OXON, ENGLAND</t>
  </si>
  <si>
    <t>0028-825X</t>
  </si>
  <si>
    <t>1175-8643</t>
  </si>
  <si>
    <t>NEW ZEAL J BOT</t>
  </si>
  <si>
    <t>N. Z. J. Bot.</t>
  </si>
  <si>
    <t>10.1080/0028825X.2015.1057185</t>
  </si>
  <si>
    <t>CZ0QM</t>
  </si>
  <si>
    <t>WOS:000366811000005</t>
  </si>
  <si>
    <t>Miskelly, CM</t>
  </si>
  <si>
    <t>Miskelly, C. M.</t>
  </si>
  <si>
    <t>Records of three vagrant Antarctic seal species (Family Phocidae) from New Zealand: crabeater seal (Lobodon carcinophaga), Weddell seal (Leptonychotes weddellii) and Ross seal (Ommatophoca rossii)</t>
  </si>
  <si>
    <t>NEW ZEALAND JOURNAL OF MARINE AND FRESHWATER RESEARCH</t>
  </si>
  <si>
    <t>crabeater seal; Lobodon carcinophaga; Weddell seal; Leptonychotes weddellii; Ross seal; Ommatophoca rossii; New Zealand records; Australian records</t>
  </si>
  <si>
    <t>Records of three vagrant Antarctic seal species from New Zealand are summarised. Crabeater seals (Lobodon carcinophaga) occurred on eight occasions between 1885 and 2015, and Weddell seals (Leptonychotes weddellii) on five occasions between 1926 and 2007. There was a single record of a Ross seal (Ommatophoca rossii), from Paekakariki in 2002. The majority of occurrences for all three species were from the southern North Island, particularly Wellington, where five of the crabeater seals either swam up the Hutt River or were on the adjacent Petone Beach. There are no known verifiable records from any of New Zealand's subantarctic islands. Specimens of nine animals (six crabeater seals and three Weddell seals) are held by New Zealand museums.</t>
  </si>
  <si>
    <t>[Miskelly, C. M.] Museum New Zealand Papa Tongarewa, Wellington, New Zealand</t>
  </si>
  <si>
    <t>Miskelly, CM (corresponding author), Museum New Zealand Papa Tongarewa, Wellington, New Zealand.</t>
  </si>
  <si>
    <t>colin.miskelly@tepapa.govt.nz</t>
  </si>
  <si>
    <t>0028-8330</t>
  </si>
  <si>
    <t>1175-8805</t>
  </si>
  <si>
    <t>NEW ZEAL J MAR FRESH</t>
  </si>
  <si>
    <t>N. Z. J. Mar. Freshw. Res.</t>
  </si>
  <si>
    <t>10.1080/00288330.2015.1080173</t>
  </si>
  <si>
    <t>Fisheries; Marine &amp; Freshwater Biology; Oceanography</t>
  </si>
  <si>
    <t>CY7TR</t>
  </si>
  <si>
    <t>WOS:000366612700004</t>
  </si>
  <si>
    <t>Chen, K; Stilwell, JD; Mays, C</t>
  </si>
  <si>
    <t>Chen, Kevin; Stilwell, Jeffrey D.; Mays, Chris</t>
  </si>
  <si>
    <t>Palaeoenvironmental reconstruction of Livingston Island, Antarctic Peninsula, in the Early Cretaceous: interpretations from the Walker Bay erratics</t>
  </si>
  <si>
    <t>ALCHERINGA</t>
  </si>
  <si>
    <t>South Shetland Islands; Antarctic Peninsula; Cretaceous; moraine; palynology; palaeontology; palaeoenvironments</t>
  </si>
  <si>
    <t>SOUTH SHETLAND ISLANDS; CERRO-NEGRO FORMATION; SANTA-CRUZ PROVINCE; AUSTRAL BASIN; BYERS GROUP; KACHAIKE FORMATION; ALEXANDER-ISLAND; PALYNOLOGY; ARC; BIOSTRATIGRAPHY</t>
  </si>
  <si>
    <t>Chen, K., Stilwell, J.D. &amp; Mays, C., 12.3.2015. Palaeoenvironmental reconstruction of Livingston Island, Antarctic Peninsula in the Early Cretaceous: interpretations from the Walker Bay erratics. Alcheringa 39, 000-000. ISSN 0311-551Fossiliferous, volcaniclastic sandstone erratics, containing abundant plant fragments, palynomorphs and a possible insect wing, were extracted from the previously unstudied Walker Bay moraine, Livingston Island (ca 62 degrees 36'S, 60 degrees 42'W). These samples provide new insights into high southern latitude ecosystems of the South Shetland Islands region during the Early Cretaceous greenhouse interval. The palynofloral assemblage, in particular the co-occurrence of Ischyosporites punctatus, Concavissimisporites penolaensis and Reticulatisporites pudens, suggests that deposition could have occurred between the early Aptian and mid-Albian (ca 125-109 Ma), but was most likely early to mid-Albian (ca 112-109 Ma). The high relative abundance of the pteridophyte taxon, Cyathidites and associated fungal disaster taxa, together with significant quantities of volcaniclastic material, indicates a volcanically perturbed post-eruption riparian environment. Petrologic evidence suggests that the volcanic sediments were deposited rapidly in the above-mentioned fluvial setting. Comparisons to geological studies conducted on Livingston Island reveal an affinity of the Walker Bay erratics to the Byers Group; the unique palynofloral assemblage and petrological features of the erratics suggesting that the volcanogenic lithic sandstone facies may represent a previously undescribed unit of the upper Cerro Negro Formation.</t>
  </si>
  <si>
    <t>[Chen, Kevin; Stilwell, Jeffrey D.; Mays, Chris] Monash Univ, Fac Sci, Sch Earth Atmosphere &amp; Environm, Clayton, Vic 3800, Australia; [Stilwell, Jeffrey D.] Australian Museum, Sydney, NSW 2000, Australia</t>
  </si>
  <si>
    <t>Monash University; Australian Museum</t>
  </si>
  <si>
    <t>Chen, K (corresponding author), Monash Univ, Fac Sci, Sch Earth Atmosphere &amp; Environm, Clayton, Vic 3800, Australia.</t>
  </si>
  <si>
    <t>kevin.chen@monash.edu; jeffrey.stilwell@monash.edu; chris.mays@monash.edu</t>
  </si>
  <si>
    <t>Mays, Chris/0000-0002-5416-2289; Stilwell, Jeffrey Darl/0000-0002-9853-1322</t>
  </si>
  <si>
    <t>Aurora Expeditions; Earth, Atmosphere and Environment</t>
  </si>
  <si>
    <t>First, we thank Aurora Expeditions, who co-sponsored this project and made it possible, as well as the staff and crew onboard the Polar Pioneer, whose expertise in all things Antarctic ensured the trip was a success. Also, thanks to Drs Massimo Raveggi and Chris Folkes of Monash University, for their insights into the geochemical and petrographic aspects of this study, respectively; and Dr Sarah Martin (Geological Survey of Western Australia) for her help with the putative insect wing. We thank Prof. David Cantrill (Royal Botanic Gardens Melbourne) for sharing his knowledge of Livingston Island and making suggestions as to how to approach this study, as well as Rebecca Malcolm (Australian Antarctic Division), who granted us permission to collect the samples. Finally, thanks to Global Geolab Limited and the University of Tasmania (CODES) for their technical assistance with the palynomorph and geochemical sample preparations, respectively. This study was also supported by a Monash University School of Geosciences (now Earth, Atmosphere and Environment) Support Grant to JDS and Aurora Expeditions.</t>
  </si>
  <si>
    <t>0311-5518</t>
  </si>
  <si>
    <t>1752-0754</t>
  </si>
  <si>
    <t>Alcheringa</t>
  </si>
  <si>
    <t>10.1080/03115518.2015.1029734</t>
  </si>
  <si>
    <t>Paleontology</t>
  </si>
  <si>
    <t>CT3PE</t>
  </si>
  <si>
    <t>WOS:000362718200004</t>
  </si>
  <si>
    <t>Jeyabaskaran, R; Prema, D; Kripa, V; Valsala, KK</t>
  </si>
  <si>
    <t>Jeyabaskaran, R.; Prema, D.; Kripa, V.; Valsala, K. K.</t>
  </si>
  <si>
    <t>Occurrence of Antarctic flying squid Todarodes filippovae Adam, 1975 in Southern Indian Ocean</t>
  </si>
  <si>
    <t>INDIAN JOURNAL OF GEO-MARINE SCIENCES</t>
  </si>
  <si>
    <t>Antarctic flying squid; Todarodes filippovae; hand jig; heavy metals; Southern Indian Ocean</t>
  </si>
  <si>
    <t>TASMANIA</t>
  </si>
  <si>
    <t>Antarctic flying squid Todarodes filippovae is poorly known in Southern Indian Ocean. About 27 kg of T. filippovae consisting of 37 individuals were opportunistically collected on 1st February 2011 at 38 degrees 59'S, 57 degrees 29'E of northern Subtropical Convergence during the 5th Indian Expedition to Southern Ocean. Among the 37 individuals, 36 were females with dorsal mantle length (ML) of 331 +/- 21 mm. The ML of single male was 210 mm. Heavy metals detected in mantle samples were, Pb</t>
  </si>
  <si>
    <t>[Jeyabaskaran, R.; Prema, D.; Kripa, V.; Valsala, K. K.] Cent Marine Fisheries Res Inst, Post Box 1603, Kochi 682018, Kerala, India</t>
  </si>
  <si>
    <t>Indian Council of Agricultural Research (ICAR); ICAR - Central Marine Fisheries Research Institute</t>
  </si>
  <si>
    <t>Jeyabaskaran, R (corresponding author), Cent Marine Fisheries Res Inst, Post Box 1603, Kochi 682018, Kerala, India.</t>
  </si>
  <si>
    <t>jbcmfri@gmail.com</t>
  </si>
  <si>
    <t>NATL INST SCIENCE COMMUNICATION-NISCAIR</t>
  </si>
  <si>
    <t>NEW DELHI</t>
  </si>
  <si>
    <t>DR K S KRISHNAN MARG, PUSA CAMPUS, NEW DELHI 110 012, INDIA</t>
  </si>
  <si>
    <t>0379-5136</t>
  </si>
  <si>
    <t>0975-1033</t>
  </si>
  <si>
    <t>INDIAN J GEO-MAR SCI</t>
  </si>
  <si>
    <t>Indian J. Geo-Mar. Sci.</t>
  </si>
  <si>
    <t>OCT</t>
  </si>
  <si>
    <t>DQ8HQ</t>
  </si>
  <si>
    <t>WOS:000379451200018</t>
  </si>
  <si>
    <t>Hospitaleche, CA; Gelfo, JN</t>
  </si>
  <si>
    <t>Acosta Hospitaleche, Carolina; Gelfo, Javier N.</t>
  </si>
  <si>
    <t>New Antarctic findings of Upper Cretaceous and lower Eocene loons (Ayes: Gaviiformes)</t>
  </si>
  <si>
    <t>ANNALES DE PALEONTOLOGIE</t>
  </si>
  <si>
    <t>Gaviiformes; Antarctica; Upper Cretaceous; Lower Eocene</t>
  </si>
  <si>
    <t>JAMES-ROSS-BASIN; MIDDLE EOCENE; SEYMOUR ISLAND; FOSSIL LOON; VEGA ISLAND; AVES; STRATIGRAPHY; PALEOGENE; SKELETON; BIRDS</t>
  </si>
  <si>
    <t>The new remains of Gaviiformes collected from the Maastrichtian Sandwich Bluff Member (Lopez de Bertodano Formation in Vega Island), the Maastrichtian Klb 9 (Lopez de Bertodano Formation in Seymour Island), the Maastrichtian Snow Hill Formation (Vega Island), and the Ypresian Submeseta Formation (Seymour Island), Antarctica, are described. A specialized foot-propelled diving morphology is already present in the Antarctic Polarornis gregorii, the Chilean Neogaeornis wetzelli and the new specimens here reported, suggesting that such diving skills were developed at least since the Upper Cretaceous. The occurrence of Gaviiformes in the Southern Hemisphere during the Upper Cretaceous-lower Eocene times is consistent with recent phylogenetic proposals relating this group to Sphenisciformes and Procellariiformes, birds already recorded in Antarctica. The fossil record also supports the idea that the hemisphere displacement observed in Gaviiformes could be a response to increasing competition for resources with Sphenisciformes. The phylogenetic proximity of penguins and loons plus their similar trophic behavior, suggest that competitive exclusion could have triggered the gaviiform migration to the Northern Hemisphere and explain their extinction from Southern continents. (C) 2015 Elsevier Masson SAS. All rights reserved.</t>
  </si>
  <si>
    <t>[Acosta Hospitaleche, Carolina; Gelfo, Javier N.] UNLP, Fac Ciencias Nat &amp; Museo, Museo La Plata, CONICET,Div Paleontol Vertebrados, Paseo Bosque S-N,B1900FWA, La Plata, Buenos Aires, Argentina</t>
  </si>
  <si>
    <t>Consejo Nacional de Investigaciones Cientificas y Tecnicas (CONICET); National University of La Plata; Museo La Plata</t>
  </si>
  <si>
    <t>Hospitaleche, CA (corresponding author), UNLP, Fac Ciencias Nat &amp; Museo, Museo La Plata, CONICET,Div Paleontol Vertebrados, Paseo Bosque S-N,B1900FWA, La Plata, Buenos Aires, Argentina.</t>
  </si>
  <si>
    <t>acostacaro@fcnym.unlp.edu.ar</t>
  </si>
  <si>
    <t>Gelfo, Javier N./AAW-1905-2021; Gelfo, Javier N./KFQ-7820-2024; Acosta Hospitaleche, Carolina/E-5740-2017</t>
  </si>
  <si>
    <t>Gelfo, Javier N./0000-0002-9989-5902; Acosta Hospitaleche, Carolina/0000-0002-2614-1448</t>
  </si>
  <si>
    <t>[PICTO 0093]; [PICT 2011 0284]; [PIP 2012 0031]</t>
  </si>
  <si>
    <t>; ;</t>
  </si>
  <si>
    <t>We are grateful to Dr. Marcelo Reguero (Museo de La Plata, La Plata, Argentina) for granting access to the material here studied, Dra. Mariana B.J. Picasso (Museo de La Plata, La Plata, Argentina), and Yolanda Davies (Museo Argentino de Ciencias Naturales, Buenos Aires, Argentina) for access to comparison materials. PICTO 0093, PICT 2011 0284 and PIP 2012 0031 partially supported this research. We also thank the Instituto Antartico Argentino-Direccion Nacional del Antartico (IAA-DNA) and Fuerza Aerea Argentina for logistic support, the rest of the Heidi Group who participated in the field work, and Dra. Cecilia Morgan who improved English grammar.</t>
  </si>
  <si>
    <t>MASSON EDITEUR</t>
  </si>
  <si>
    <t>MOULINEAUX CEDEX 9</t>
  </si>
  <si>
    <t>21 STREET CAMILLE DESMOULINS, ISSY, 92789 MOULINEAUX CEDEX 9, FRANCE</t>
  </si>
  <si>
    <t>0753-3969</t>
  </si>
  <si>
    <t>1778-3666</t>
  </si>
  <si>
    <t>ANN PALEONTOL</t>
  </si>
  <si>
    <t>Ann. Paleontol.</t>
  </si>
  <si>
    <t>OCT-DEC</t>
  </si>
  <si>
    <t>10.1016/j.annpal.2015.10.002</t>
  </si>
  <si>
    <t>DL6ED</t>
  </si>
  <si>
    <t>WOS:000375731500005</t>
  </si>
  <si>
    <t>Culleton, TS</t>
  </si>
  <si>
    <t>Sandra Culleton, Tamara</t>
  </si>
  <si>
    <t>ARGENTINA AND THE RESCUE OF OTTO NORDENSKJOLD'S ANTARCTIC EXPEDITION (1901-1903). A PERSPECTIVE FROM THE PRESS AT THE TIME</t>
  </si>
  <si>
    <t>REVISTA ESTUDIOS HEMISFERICOS Y POLARES</t>
  </si>
  <si>
    <t>Spanish</t>
  </si>
  <si>
    <t>Antarctica; Swedish Expedition; Argentina; Argentine Sovereignty</t>
  </si>
  <si>
    <t>This work is mainly focused on analyzing the impact Argentina's participation in the rescue of Otto Nordenskjold's (1901-1903) expedition had on the Argentine society. For it, publications from the La Nacion, La Prensa newspapers and Caras y Caretas magazine between 1903 and January 1904 were reviewed. We attempted to collect the statements that were part of the narrative about the rescue of the sailors from the Antarctic on board the Uruguay. The latter, under captain's Irizar command, rushed on the race to save the Swedish expeditioners. This fact marks, to a certain extent, the first step of Argentina's uninterrupted presence in the Antarctic continent, allowing us to assess the early stages of the official message that sought to legitimize Argentina's sovereignty over a portion of the Antarctic land mass.</t>
  </si>
  <si>
    <t>[Sandra Culleton, Tamara] Univ Nacl Mar del Plata, Buenos Aires, DF, Argentina</t>
  </si>
  <si>
    <t>National University of Mar del Plata</t>
  </si>
  <si>
    <t>Culleton, TS (corresponding author), 11 Septiembre 3165,3 A, RA-7600 Mar Del Plata, Buenos Aires, Argentina.</t>
  </si>
  <si>
    <t>tamculleton@gmail.com</t>
  </si>
  <si>
    <t>CENTRO ESTUDIOS HEMISFERICOS &amp; POLARES</t>
  </si>
  <si>
    <t>VINA DEL MAR</t>
  </si>
  <si>
    <t>CALLE ROMA, 116, CALETA ABARCA, VINA DEL MAR, 2580060, CHILE</t>
  </si>
  <si>
    <t>0718-9230</t>
  </si>
  <si>
    <t>REV ESTUD HEMISFERIC</t>
  </si>
  <si>
    <t>Rev. Estud. Hemisfericos Polares</t>
  </si>
  <si>
    <t>Area Studies</t>
  </si>
  <si>
    <t>DG9ZV</t>
  </si>
  <si>
    <t>WOS:000372443200001</t>
  </si>
  <si>
    <t>Edwards, EF; Hall, C; Moore, TJ; Sheredy, C; Redfern, JV</t>
  </si>
  <si>
    <t>Edwards, Elizabeth F.; Hall, Candice; Moore, Thomas J.; Sheredy, Corey; Redfern, Jessica V.</t>
  </si>
  <si>
    <t>Global distribution of fin whales Balaenoptera physalus in the post-whaling era (1980-2012)</t>
  </si>
  <si>
    <t>MAMMAL REVIEW</t>
  </si>
  <si>
    <t>cetacean density; cetacean detections; equatorial hiatus; seasonal; migration</t>
  </si>
  <si>
    <t>LINE-TRANSECT SURVEYS; LOW-FREQUENCY WHALE; SEASONAL DISTRIBUTION; RELATIVE ABUNDANCE; SPECIES OCCURRENCE; MEDITERRANEAN SEA; RADIO TRACKING; ATLANTIC OCEAN; BALEEN WHALES; CETACEANS</t>
  </si>
  <si>
    <t>1. The global distribution of fin whales Balaenoptera physalus is not fully understood. Existing maps can be divided into two conflicting categories: one showing a continuous global distribution and another showing an equatorial hiatus (gap in the global distribution) between approximately 20 degrees N and 20 degrees S. Questions also remain about the seasonal distribution of fin whales. 2. To explore the suggested equatorial hiatus and seasonal distribution patterns, we synthesised information on fin whale distribution in the post-whaling era (1980-2012) from published literature, publicly available reports and studies conducted by various organisations. We created four seasonally stratified maps showing line-transect density estimates, line-transect survey effort, acoustic detections, and sightings. 3. An equatorial hiatus in the global distribution of fin whales during the post-whaling era is supported by numerous line-transect surveys and by the rarity of equatorial acoustic detections and sightings, and corroborated by whaling era reports, morphological analyses, and genetic analyses. 4. Our synthesis of post-whaling era data is consistent with results from other studies indicating that fin whales are more abundant at higher latitudes during warmer months and more abundant at lower latitudes (although these latitudes are still greater than 20 degrees) during colder months. However, our synthesis and results from other studies also indicate that some fin whales in both hemispheres remain in higher latitudes (50 degrees-60 degrees north or south) during colder months and in lower latitudes (to approximately 20 degrees-30 degrees north or south) during warmer months, indicating that seasonal fin whale movements differ from the seasonal migrations of blue whales Balaenoptera musculus and humpback whales Megaptera novaeangliae. 5. Our maps of global fin whale distribution provide a comprehensive picture of current knowledge and highlight important geographical and temporal data gaps. Surveys should be conducted within the identified data gaps in order to increase fine-scale spatial and temporal knowledge of distribution patterns, improve fin whale taxonomy, and identify areas of elevated fin whale densities that may require management of threats, such as ship strikes.</t>
  </si>
  <si>
    <t>[Edwards, Elizabeth F.; Moore, Thomas J.; Redfern, Jessica V.] NOAA, Natl Marine Fisheries Serv, SW Fisheries Sci Ctr, Marine Mammal &amp; Turtle Div, 8901 La Jolla Shores Dr, La Jolla, CA 92037 USA; [Hall, Candice] Roffers Ocean Fishing Forecasting Serv Inc, West Melbourne, FL 32904 USA; [Sheredy, Corey] Amec Earth &amp; Environm, San Diego, CA 92123 USA</t>
  </si>
  <si>
    <t>National Oceanic Atmospheric Admin (NOAA) - USA</t>
  </si>
  <si>
    <t>Edwards, EF (corresponding author), NOAA, Natl Marine Fisheries Serv, SW Fisheries Sci Ctr, Marine Mammal &amp; Turtle Div, 8901 La Jolla Shores Dr, La Jolla, CA 92037 USA.</t>
  </si>
  <si>
    <t>Elizabeth.Edwards@noaa.gov; canned_ice5@hotmail.com; Thomas.J.Moore@noaa.gov; csheredy@gmail.com; Jessica.Redfern@noaa.gov</t>
  </si>
  <si>
    <t>Moore, T.J./AAP-9346-2020</t>
  </si>
  <si>
    <t>Moore, T.J./0000-0002-0243-6049</t>
  </si>
  <si>
    <t>FEDER; FCT; CETAMARH; TRACE; Azorean Regional Government; Association of the Tuna Canning Industries</t>
  </si>
  <si>
    <t>FEDER(European Union (EU)Spanish Government); FCT(Fundacao para a Ciencia e a Tecnologia (FCT)); CETAMARH; TRACE; Azorean Regional Government; Association of the Tuna Canning Industries</t>
  </si>
  <si>
    <t>This study was significantly improved through the generosity of many organisations and individuals willing to share original fin whale sightings data. Our use of contributed data conforms to the terms and conditions specified by each contributing organisation, or if no terms were specified, our data use conforms to the comprehensive regulations specified in the 'Terms and Conditions for use of data provided by the Joint Nature Conservation Committee'. We gratefully acknowledge valuable contributions from: the Azores Islands Marine Research/Department of Oceanography and Fisheries of the University of the Azores, IMAR-DOP/UA data, with funding from FEDER, FCT, CETAMARH and TRACE, Azorean Regional Government, Shipowners Proprietors and Association of the Tuna Canning Industries, data contributed by Dr Monica Silva; the British Columbia Cetacean Sightings Network (BCCSN) data, 2012, Vancouver Aquarium Marine Science Centre and Fisheries and Oceans Canada, Vancouver, BC, data contributed by Dr John Ford and Ms Heather Lord; the Hebridean Whale and Dolphin Trust (HWDT), online sightings database, records available at http://whaledolphintrust.co.uk; the Irish Whale and Dolphin Group (IDWG), online sightings database, all records are validated and available on http://www.iwdg.ie, data advisor Dr Padraig Whooley; the International Whaling Commission (IWC), IDCR and SOWER data, contributed by Drs Cherry Allison and Marion Hughes; JNCC (the Joint Nature Conservation Committee), data from various sources, contributed by Drs Jim Reid, Tim Dunn, Mark Lewis, Carolyn Stone-Barton and Karen Hall; the MARINElife/Biscay Bay Dolphin Project, data contributed by Drs Tom Brereton and Colin MacLeod; the National Marine Mammal Laboratory (NMML), data from various sources, contributed by Dr Sally Mizroch; NASS survey data collected by Norway, data contributed by Dr Nils Oien; NASS survey data collected by Iceland and the Faroe Islands, data contributed by Dr T. Gunnlaugsson, permission given to use the Faroe Islands data by Dr B. Mikkelsen; NASS survey data collected by Greenland, data contributed by Dr M. P. Heide-Jorgensen; CODA survey data, data contributed by Dr Phil Hammond; SCANS and SCANS-II survey data contributed by Dr Phil Hammond; SWF (Sea Watch Foundation), data contributed by Dr Peter Evans; SWFSC (Southwest Fisheries Science Center) tuna vessel observer data, contributed by Mr Al Jackson.; We also thank the following contributors to OBIS-SEAMAP, who kindly granted us permission to use their organisation's data: AADC-NWDSSD (Australian Antarctic Data Centre National Whale and Dolphin Sightings and Strandings Database; permission statement on OBIS- SEAMAP website), AADC-CSSSOCP (Australian Antarctic Data Centre Cetacean Sightings Survey and Southern Ocean Cetacean Program; permission statement on OBIS-SEAMAP website), Fauk Huettmann (CWS/PIROP: Canadian Wildlife Service-PIROP), Daniel Kerem (IMMRAC: Israel Marine Mammal Research and Assistance Center), Robin Baird (Cascadia Research Collective), Jay Barlow (SWFSC/NMFS/NOAA), Sagarminaga van Buiten (ALNITAK; Alboran Sea cetacean monitoring program), Janet Clark (NMML/NMFS/NOAA), Tim Cole (NEFSC/NMFS/NOAA), Lea David (EcoOcean Institute and partners SCS, CybellePlanete, ParticipeFutur, EPHE, WWF-France, FNH), Dan DenDanto (College of the Atlantic, Allied Whale), Bruno Diaz-Lopez (BDRI: The Bottlenose Dolphin Research Institute), Annie Douglas (Cascadia Research Collective), Charlotte Dunn (Bahamas Marine Mammal Research Organization), Megan Ferguson (NMML/NMFS/NOAA and BOEM), Carmelo Franizza (JDC, Jonian Dolphin Conservation), Sylvia Frey (OceanCare), P. Gauffier (CIRCE: Conservation, Information and Study on Cetaceans), Tim Gerrodette (SWFSC/NMFS/NOAA), Oriol Giralt (RecercaiConservacio, AssociacioCetacea), Guido Gnone (Acquario di Genova), Patricia Gozalbes (InstitutoCavanilles de Biodiversidad y BiologiaEvolutiva, Unidad de Zoologia Marina, University of Valencia), Rod Hobbs (AFSC/NMML/NMFS/NOAA), Poul Holm (HMAP - History of Marine Animal Populations), Meike Holst (Lamont-Doherty/LGL-Limited), Erich Hoyt, for Olga Filatova (RCHP: Russian Cetacean Habitat Project), Lewis Incze (Gulf of Maine Census of Marine Life Program), iOBIS and Argentinean RON (references on OBIS- SEAMAP website), Arthur Kopelman (Coastal Research and Education Society of Long Island), Ben Maughan (UK Hydrographic Office, UK Royal Navy), William McLellan (The Marine Mammal Program, UNC, Wilmington), MMS: Minerals Management Service (final report references on OBIS-SEAMAP website), Debra Palka (NEFSC/NMFS/NOAA), Richard Sears (Minghan Island Cetacean Study), Mari Smultea and Cathy Bacon (Smultea Environmental Services, LLC, and US NAVY NAVFAC SW), Dana Spontak (HDR Environmental, Operations, and Construction, Inc., and US Fleet Forces Command and NAVFAC Atlantic), Zach Swaim (Duke University Marine Laboratory), and Janice Waite (NMML/NMFS/NOAA and BOEM).</t>
  </si>
  <si>
    <t>0305-1838</t>
  </si>
  <si>
    <t>1365-2907</t>
  </si>
  <si>
    <t>MAMMAL REV</t>
  </si>
  <si>
    <t>Mammal Rev.</t>
  </si>
  <si>
    <t>10.1111/mam.12048</t>
  </si>
  <si>
    <t>DB4US</t>
  </si>
  <si>
    <t>WOS:000368509700001</t>
  </si>
  <si>
    <t>Falk, U; Sala, H</t>
  </si>
  <si>
    <t>Falk, Ulrike; Sala, Hernan</t>
  </si>
  <si>
    <t>WINTER MELT CONDITIONS OF THE INLAND ICE CAP ON KING GEORGE ISLAND, ANTARCTIC PENINSULA</t>
  </si>
  <si>
    <t>ERDKUNDE</t>
  </si>
  <si>
    <t>Antarctica; climate change; Southern Annular Mode; adiabatic temperature lapse rate; winter melt</t>
  </si>
  <si>
    <t>HIGH SOUTHERN LATITUDES; SURFACE-ENERGY BALANCE; MASS-BALANCE; SHETLAND ISLANDS; SEVERNAYA-ZEMLYA; GLACIAL CHANGES; CLIMATE-CHANGE; ANNULAR MODE; TEMPERATURE; TRENDS</t>
  </si>
  <si>
    <t>The South Shetland Islands are located at the northern tip of the Antarctic Peninsula (AP) which is among the fastest warming regions on Earth. Surface air temperature increases (similar to 3 K in 50 years) are concurrent with retreating glacier fronts, an increase in melt areas, ice surface lowering and rapid break-up and disintegration of ice shelves. We have compiled a unique meteorological dataset for the King George Island (KGI)/Isla 25 de Mayo, the largest of the South Shetland Islands. It comprises high-temporal resolution and spatially distributed observations of surface air temperature, wind directions and wind velocities, glacier ice temperatures in profile with a fully equipped automatic weather station as well as snow accumulation and ablation measurements on the Warszawa Icefield, since November 2010 and ongoing. In combination with long-term synoptic datasets (40 and 10 years, respectively) and atmospheric circulation indices datasets, we have looked at changes in the climatological drivers of the glacial melt processes, and the sensitivity of the inland ice cap with regard to winter melting periods and pressure anomalies. The analysis has revealed a positive trend of 5 K over four decades in minimum surface air temperatures for winter months, clearly exceeding the published annual mean statistics, associated to a negative trend in mean monthly winter sea level pressure. This concurs with a positive trend in the Southern Annular Mode (SAM) index, which gives a measure for the strength and extension of the Antarctic vortex. We connect this trend with a higher frequency of low-pressure systems hitting the South Shetland Islands during austral winter, bringing warm and moist air masses from lower latitudes. A revision of spatial and seasonal changes in adiabatic air temperature lapse rates reveals the high sensitivity of the upper ice cap to free atmospheric flow and synoptic changes. Observed surface air temperature lapse rates show a high variability during winter months (standard deviations up to +/- 1.0 K/100 m), and a distinct spatial variability reflecting the impact of synoptic weather patterns especially during winter glacial mass accumulation periods. The increased mesocyclonic activity during the winter time in the study area results in intensified advection of warm, moist air with high temperatures and rain, and leads to melt conditions on the ice cap, fixating surface air temperatures to the melting point. This paper assesses the impact of long-term change in large-scale atmospheric circulation and variability and climatic changes on the atmospheric surface layer and glacier mass accumulation of the upper ice cap during winter season for the Warszawa Icefield on KGI. Supplementary data are available at http://dx.doi.org/10.1594/PANGAEA.848704</t>
  </si>
  <si>
    <t>[Falk, Ulrike] Univ Bonn, Ctr Remote Sensing Land Surfaces ZFL, D-53113 Bonn, Germany; [Sala, Hernan] Direcc Nacl Antartico, Inst Antartico Argentino, Buenos Aires, DF, Argentina</t>
  </si>
  <si>
    <t>University of Bonn; Instituto Antartico Argentino</t>
  </si>
  <si>
    <t>Falk, U (corresponding author), Univ Bonn, Ctr Remote Sensing Land Surfaces ZFL, Walter Flex Str 3, D-53113 Bonn, Germany.</t>
  </si>
  <si>
    <t>ulrike.falk@gmail.com; hersala@gmail.com</t>
  </si>
  <si>
    <t>Alfred Wegener Institute (AWI) from Germany; Instituto Antartico Argentino - Direccion Nacional del Antartico (IAA-DNA) from Argentina; IMCONet Project [FP7-PEOPLE-2012-IRSES]; Germany (Univ. of Bonn); Germany (Univ. of Erlangen); Germany (BMBF); Argentina (IAA-DNA)</t>
  </si>
  <si>
    <t>Alfred Wegener Institute (AWI) from Germany; Instituto Antartico Argentino - Direccion Nacional del Antartico (IAA-DNA) from Argentina; IMCONet Project; Germany (Univ. of Bonn); Germany (Univ. of Erlangen); Germany (BMBF)(Federal Ministry of Education &amp; Research (BMBF)); Argentina (IAA-DNA)</t>
  </si>
  <si>
    <t>We would like to thank the Alfred Wegener Institute (AWI) from Germany and the Instituto Antartico Argentino - Direccion Nacional del Antartico (IAA-DNA) from Argentina for their support in Antarctica. A special acknowledgement goes to the overwintering scientists at Carlini Station and Dallmann Laboratory: Dr. Damian Lopez, Daniel Viqueira and Juan Piscicelli. During the period 2010-2014, the overwintering crews from the Ejercito Argentino at Carlini Station continuously supported our scientific tasks. All photos were taken, processed and provided by the 2012 overwinterer Dr. Damian Lopez, which we are very grateful for. All graphs in this paper were produced using the R programming language (R CORE TEAM 2014); We also thank the funding support provided by the IMCONet Project (FP7-PEOPLE-2012-IRSES) and the associated institutions at Germany (Univ. of Bonn, Univ. of Erlangen and the BMBF) and Argentina (IAA-DNA).</t>
  </si>
  <si>
    <t>UNIV BONN, GEOGRAPHISCHES INST</t>
  </si>
  <si>
    <t>BONN</t>
  </si>
  <si>
    <t>MECKENHEIMER ALLEE 166, BONN, GERMANY</t>
  </si>
  <si>
    <t>0014-0015</t>
  </si>
  <si>
    <t>Erdkunde</t>
  </si>
  <si>
    <t>10.3112/erdkunde.2015.04.04</t>
  </si>
  <si>
    <t>DA0EY</t>
  </si>
  <si>
    <t>WOS:000367471000004</t>
  </si>
  <si>
    <t>Enberg, S; Piiparinen, J; Majaneva, M; Vähätalo, AV; Autio, R; Rintala, JM</t>
  </si>
  <si>
    <t>Enberg, Sara; Piiparinen, Jonna; Majaneva, Markus; Vahatalo, Anssi V.; Autio, Riitta; Rintala, Janne-Markus</t>
  </si>
  <si>
    <t>Solar PAR and UVR modify the community composition and photosynthetic activity of sea ice algae</t>
  </si>
  <si>
    <t>FEMS MICROBIOLOGY ECOLOGY</t>
  </si>
  <si>
    <t>UVR; sea ice; algae; photosynthetic activity; Baltic Sea</t>
  </si>
  <si>
    <t>ULTRAVIOLET-B RADIATION; BALTIC SEA; PHYTOPLANKTON PHOTOSYNTHESIS; ANTARCTIC PHYTOPLANKTON; OPTICAL-PROPERTIES; LIGHT-INTENSITY; AMINO-ACIDS; GROWTH; ASSEMBLAGES; RESPONSES</t>
  </si>
  <si>
    <t>The effects of increased photosynthetically active radiation (PAR) and ultraviolet radiation (UVR) on species diversity, biomass and photosynthetic activity were studied in fast ice algal communities. The experimental set-up consisted of nine 1.44 m(2) squares with three treatments: untreated with natural snow cover (UNT), snow-free (PAR + UVR) and snow-free ice covered with a UV screen (PAR). The total algal biomass, dominated by diatoms and dinoflagellates, increased in all treatments during the experiment. However, the smaller biomass growth in the top 10-cm layer of the PAR + UVR treatment compared with the PAR treatment indicated the negative effect of UVR. Scrippsiella complex (mainly Scrippsiella hangoei, Biecheleria baltica and Gymnodinium corollarium) showed UV sensitivity in the top 5-cm layer, whereas Heterocapsa arctica ssp. frigida and green algae showed sensitivity to both PAR and UVR. The photosynthetic activity was highest in the top 5-cm layer of the PAR treatment, where the biomass of the pennate diatom Nitzschia frigida increased, indicating the UV sensitivity of this species. This study shows that UVR is one of the controlling factors of algal communities in Baltic Sea ice, and that increased availability of PAR together with UVR exclusion can cause changes in algal biomass, photosynthetic activity and community composition.</t>
  </si>
  <si>
    <t>[Enberg, Sara; Piiparinen, Jonna; Majaneva, Markus; Rintala, Janne-Markus] Univ Helsinki, Tvarminne Zool Stn, FI-10900 Hango, Finland; [Enberg, Sara; Majaneva, Markus; Rintala, Janne-Markus] Univ Helsinki, Dept Environm Sci, FI-00014 Helsinki, Finland; [Piiparinen, Jonna; Autio, Riitta] Ctr Marine Res, Finnish Environm Inst, FI-00251 Helsinki, Finland; [Vahatalo, Anssi V.] Univ Jyvaskyla, Dept Biol &amp; Environm Sci, FI-40014 Jyvaskyla, Finland</t>
  </si>
  <si>
    <t>University of Helsinki; University of Helsinki; Finnish Environment Institute; University of Jyvaskyla</t>
  </si>
  <si>
    <t>Enberg, S (corresponding author), Univ Helsinki, Dept Environm Sci, Sara Viikinkaari 1,POB 65, FI-00014 Helsinki, Finland.</t>
  </si>
  <si>
    <t>sara.enberg@helsinki.fi</t>
  </si>
  <si>
    <t>Majaneva, Markus/0000-0003-3884-2548; Vahatalo, Anssi/0000-0003-3434-5915; Piiparinen, Jonna/0000-0002-6464-7802; Rintala, Janne-Markus/0000-0002-3514-6582</t>
  </si>
  <si>
    <t>Walter and Andree de Nottbeck Foundation</t>
  </si>
  <si>
    <t>The Walter and Andree de Nottbeck Foundation provided financial support for this work. The field and laboratory work was made possible by the facilities at Tvarminne Zoological Station, University of Helsinki.</t>
  </si>
  <si>
    <t>OXFORD UNIV PRESS</t>
  </si>
  <si>
    <t>GREAT CLARENDON ST, OXFORD OX2 6DP, ENGLAND</t>
  </si>
  <si>
    <t>0168-6496</t>
  </si>
  <si>
    <t>1574-6941</t>
  </si>
  <si>
    <t>FEMS MICROBIOL ECOL</t>
  </si>
  <si>
    <t>FEMS Microbiol. Ecol.</t>
  </si>
  <si>
    <t>fiv102</t>
  </si>
  <si>
    <t>10.1093/femsec/fiv102</t>
  </si>
  <si>
    <t>CY7OO</t>
  </si>
  <si>
    <t>WOS:000366598300002</t>
  </si>
  <si>
    <t>Gientka, I; Blazejak, S; Stasiak-Rózanska, L; Chlebowska-Smigiel, A</t>
  </si>
  <si>
    <t>Gientka, Iwona; Blazejak, Stanislaw; Stasiak-Rozanska, Lidia; Chlebowska-Smigiel, Anna</t>
  </si>
  <si>
    <t>EXOPOLYSACCHARIDES FROM YEAST: INSIGHT INTO OPTIMAL CONDITIONS FOR BIOSYNTHESIS, CHEMICAL COMPOSITION AND FUNCTIONAL PROPERTIES - REVIEW</t>
  </si>
  <si>
    <t>ACTA SCIENTIARUM POLONORUM-TECHNOLOGIA ALIMENTARIA</t>
  </si>
  <si>
    <t>yeast; exopolysaccharides; EPS</t>
  </si>
  <si>
    <t>HOLSTII NRRL Y-2448; EXTRACELLULAR POLYSACCHARIDE; RHODOTORULA-GLUTINIS; ANTARCTIC YEAST; CANDIDA-UTILIS; GLUCOMANNAN; LAURENTII; MANNAN; PRODUCT; CULTURE</t>
  </si>
  <si>
    <t>The yeast exopolysaccharides (EPS) are not a well-established group of metabolites. An industrial scale of this EPS production is limited mainly by low yield biosynthesis. Until now, enzymes and biosynthesis pathways, as well as the role of regulatory genes, have not been described. Some of yeast EPS show antitumor, immunostimulatory and antioxidant activity. Others, absorb heavy metals and can function as bioactive components of food. Also, the potential of yeast EPS as thickeners or stabilizers can be found. Optimal conditions for the biosynthesis of yeast exopolysaccharides require strong oxygenation and low temperature of the culture, due to the physiology of the producer strains. The medium should contain sucrose as a carbon source and ammonium sulfate as inorganic nitrogen source, wherein the C: N ratio in the substrate should be 15: 1. The cultures are long and the largest accumulation of polymers is observed after 4 or 5 days of culturing. The structure of yeast EPS is complex which affects the strain and culture condition. The EPS from yeast are linear mannans, pullulan, glucooligosaccharides, galactooligosaccharides and other heteropolysaccharides containing alpha-1,2; alpha-1,3; alpha-1,6; beta-1,3; beta-1,4 bonds. Mannose and glucose have the largest participation of carbohydrates forming EPS.</t>
  </si>
  <si>
    <t>[Gientka, Iwona; Blazejak, Stanislaw; Stasiak-Rozanska, Lidia; Chlebowska-Smigiel, Anna] Warsaw Univ Life Sci SGGW, Dept Biotechnol Microbiol &amp; Food Evaluat, PL-02776 Warsaw, Poland</t>
  </si>
  <si>
    <t>Warsaw University of Life Sciences</t>
  </si>
  <si>
    <t>Gientka, I (corresponding author), Warsaw Univ Life Sci SGGW, Dept Biotechnol Microbiol &amp; Food Evaluat, Nowoursynowska 159C, PL-02776 Warsaw, Poland.</t>
  </si>
  <si>
    <t>iwona_gientka@sggw.pl</t>
  </si>
  <si>
    <t>Blazejak, Stanislaw/0000-0002-4928-3721; Chlebowska - Smigiel, Anna/0000-0002-2211-5170; Gientka, Iwona/0000-0002-4589-2976; Stasiak-Rozanska, Lidia/0000-0002-9682-3639</t>
  </si>
  <si>
    <t>POZNAN UNIV LIFE SCIENCES</t>
  </si>
  <si>
    <t>POZNAN</t>
  </si>
  <si>
    <t>UL WITOSA 45, POZNAN, 61-693, POLAND</t>
  </si>
  <si>
    <t>1644-0730</t>
  </si>
  <si>
    <t>1898-9594</t>
  </si>
  <si>
    <t>ACTA SCI POLON-TECHN</t>
  </si>
  <si>
    <t>Acta Sci. Polon.-Technol. Aliment.</t>
  </si>
  <si>
    <t>10.17306/J.AFS.2015.4.29</t>
  </si>
  <si>
    <t>Food Science &amp; Technology</t>
  </si>
  <si>
    <t>CY1ZA</t>
  </si>
  <si>
    <t>Green Submitted, hybrid</t>
  </si>
  <si>
    <t>WOS:000366206100001</t>
  </si>
  <si>
    <t>Barczewski, S</t>
  </si>
  <si>
    <t>Barczewski, Stephanie</t>
  </si>
  <si>
    <t>Class and Colonialism in Antarctic Exploration, 1750-1920</t>
  </si>
  <si>
    <t>AMERICAN HISTORICAL REVIEW</t>
  </si>
  <si>
    <t>Book Review</t>
  </si>
  <si>
    <t>[Barczewski, Stephanie] Clemson Univ, Clemson, SC 29631 USA</t>
  </si>
  <si>
    <t>Clemson University</t>
  </si>
  <si>
    <t>Barczewski, S (corresponding author), Clemson Univ, Clemson, SC 29631 USA.</t>
  </si>
  <si>
    <t>0002-8762</t>
  </si>
  <si>
    <t>1937-5239</t>
  </si>
  <si>
    <t>AM HIST REV</t>
  </si>
  <si>
    <t>Am. Hist. Rev.</t>
  </si>
  <si>
    <t>10.1093/ahr/120.4.1447</t>
  </si>
  <si>
    <t>History</t>
  </si>
  <si>
    <t>Social Science Citation Index (SSCI); Arts &amp; Humanities Citation Index (A&amp;HCI)</t>
  </si>
  <si>
    <t>CX6KN</t>
  </si>
  <si>
    <t>WOS:000365809700029</t>
  </si>
  <si>
    <t>Allen, KJ; Lee, G; Ling, F; Allie, S; Willis, M; Baker, PJ</t>
  </si>
  <si>
    <t>Allen, Kathryn J.; Lee, Greg; Ling, Fiona; Allie, Stuart; Willis, Mark; Baker, Patrick J.</t>
  </si>
  <si>
    <t>Palaeohydrology in climatological context: Developing the case for use of remote predictors in Australian streamflow reconstructions</t>
  </si>
  <si>
    <t>APPLIED GEOGRAPHY</t>
  </si>
  <si>
    <t>Streamflow; Tree rings; Southeastern Australia; Wood properties; Climatology</t>
  </si>
  <si>
    <t>RING-BASED RECONSTRUCTION; COOL-SEASON RAINFALL; CLIMATE-CHANGE; TREE-RINGS; EL-NINO; EASTERN AUSTRALIA; FLOW VARIABILITY; WINTER RAINFALL; LA-NINA; RECORD</t>
  </si>
  <si>
    <t>The dry continent of Australia experiences frequent periods of devastating regional drought, making high quality palaeohydrological reconstructions essential for water resource management and planning. In other parts of the world tree-rings form a core component of such reconstructions. Yet for much of Australia, annually resolved palaeohydrological reconstructions derived from tree-rings have proven elusive. The island state of Tasmania in the far south is an important exception, with over 50 tree-ring chronologies available. Coupled ocean-atmosphere processes that drive precipitation across mainland Australia also influence Tasmanian precipitation. Here, we provide a basic analysis of how geographic relationships between important drivers of seasonal Tasmanian streamflow and potential streamflow predictors such as tree-ring chronologies may extend the spatial applicability of Tasmania's tree-ring predictors beyond the local context. We find clear geographically and seasonally defined patterns in Tasmanian streamflow that are reflected in the relationships between individual Tasmanian tree-ring chronologies and their relationships with streamflows. We find strong evidence that quality Tasmanian summer (DJF) streamflow reconstructions based on tree-rings are possible. Evidence also suggests that streamflow reconstructions for other seasons are also likely to be possible, especially as additional chronologies based on wood properties such as tracheid radial diameter, microfibril angle, density and cell wall thickness become available. Based on the relationships between streamflows and tree-ring chronologies, and between streamflows and major precipitation drivers across Australia, we conclude that Tasmanian tree-ring chronologies are likely to prove useful as predictors for seasonal streamflow reconstructions, particularly in eastern Australia. Successful streamflow reconstructions for a much broader portion of Australia than currently available will be invaluable for future water resource management and planning. (C) 2015 Elsevier Ltd. All rights reserved.</t>
  </si>
  <si>
    <t>[Allen, Kathryn J.; Baker, Patrick J.] Univ Melbourne, Sch Ecosyst &amp; Forest Sci, 500 Yarra Blvd, Richmond 3121, Australia; [Lee, Greg] Univ Tasmania, Antarctic Climate &amp; Ecosyst Cooperat Res Ctr, Hobart, Tas 7001, Australia; [Ling, Fiona] Entura Consulting, Cambridge 7170, Australia; [Allie, Stuart; Willis, Mark] Hydro Tasmania, Hobart, Tas 7000, Australia</t>
  </si>
  <si>
    <t>University of Melbourne; Antarctic Climate &amp; Ecosystems Cooperative Research Centre (ACE CRC); University of Tasmania</t>
  </si>
  <si>
    <t>Allen, KJ (corresponding author), Univ Melbourne, Sch Ecosyst &amp; Forest Sci, 500 Yarra Blvd, Richmond 3121, Australia.</t>
  </si>
  <si>
    <t>Kathryn.Allen@unimelb.edu.au</t>
  </si>
  <si>
    <t>Ling, Fiona/AAV-9315-2020; Allen, Kathryn/AAH-8535-2019; Stetler-Stevenson, William/AAE-3501-2020</t>
  </si>
  <si>
    <t>Ling, Fiona/0000-0003-2357-3779; Allen, Kathryn/0000-0002-8403-4552; Stetler-Stevenson, William/0000-0002-5500-5808; Allie, Stuart/0000-0002-7111-6911; Baker, Patrick/0000-0002-6560-7124</t>
  </si>
  <si>
    <t>Australian Research Council [LP12020811]; Landscapes and Policy Research Hub part of the Australian Government's National Environmental Research Program</t>
  </si>
  <si>
    <t>Australian Research Council(Australian Research Council); Landscapes and Policy Research Hub part of the Australian Government's National Environmental Research Program</t>
  </si>
  <si>
    <t>Streamflow data for this study were provided by Hydro Tasmania (Greg Carson) and the Tasmanian Department of Primary Industry, Parks, Water and Environment (Bryce Graham). Without Rob Evans we would not have been able to obtain the silviscan data, and Scott Nichols assisted with sample processing. Bryce Graham also provided advice about DPIPWE gauges used in this study. Mike Pook provided an updated copy of the Blocking Index and both James Risbey and Mike Pook provided constructive comments on preliminary analyses for this paper. We also thank Gary Meyers for his input and advice. Tree-ring sites used in this study are located on land managed by Hydro Tasmania, Forestry Tasmania and Parks and Wildlife Tasmania, and were accessed under permits and permissions issued by these organisations. GL was supported by the Landscapes and Policy Research Hub, part of the Australian Government's National Environmental Research Program. More information is available at: www.nerplandscapes.edu.au. This work is part of a project funded by Australian Research Council LP12020811.</t>
  </si>
  <si>
    <t>0143-6228</t>
  </si>
  <si>
    <t>1873-7730</t>
  </si>
  <si>
    <t>APPL GEOGR</t>
  </si>
  <si>
    <t>Appl. Geogr.</t>
  </si>
  <si>
    <t>10.1016/j.apgeog.2015.09.007</t>
  </si>
  <si>
    <t>Geography</t>
  </si>
  <si>
    <t>CY2FU</t>
  </si>
  <si>
    <t>WOS:000366225000013</t>
  </si>
  <si>
    <t>Sasmal, S; Palit, S; Chakrabarti, SK</t>
  </si>
  <si>
    <t>Sasmal, Sudipta; Palit, Sourav; Chakrabarti, Sandip K.</t>
  </si>
  <si>
    <t>Modeling of long-path propagation characteristics of VLF radio waves as observed from Indian Antarctic station Maitri</t>
  </si>
  <si>
    <t>ionosphere; VLF radio wave propagation; Antarctica; numerical modeling</t>
  </si>
  <si>
    <t>IONOSPHERIC D-REGION; EAST-WEST; IONIZATION; SIGNALS; SUBCONTINENT; CAMPAIGNS; CHEMISTRY; SUMMER; WINTER</t>
  </si>
  <si>
    <t>Propagation of very low frequency (VLF) radio signal through the Earth-ionosphere waveguide depends strongly on the plasma properties of the ionospheric D layer. Solar extreme ultraviolet radiation plays the central role in controlling physical and chemical properties of the lower ionospheric layers and hence determining the propagation characteristics of a VLF signal. The nature of interference among different propagating modes varies widely with the length of the propagation path. For a very long path, exposure of solar radiation and thus the degree of ionization vary by a large amount along the path. This influences the VLF signal profile by modulating the sky wave propagation. To understand the propagation characteristics over such a long path, we need a thorough investigation of the chemical reactions of the lower ionosphere which is lacking in the literature. Study of radio signal characteristics in the Antarctic region during summer period in the Southern Hemisphere gives us a unique opportunity to explore such a possibility. In addition, there is an extra feature in this paththe presence of solar radiation and hence the D region for the whole day during summer in at least some sections of the path. In this paper, we present long-distance propagation characteristics of VLF signals transmitted from VTX (18.2kHz) and NWC (19.8kHz) transmitters recorded at the Indian permanent station Maitri (latitude 70 degrees 45S, longitude 114 degrees 40E) in 2007-2008. A very stable diurnal variation of the signal has been obtained with no signature of nighttime fluctuation due the presence of 24h of sunlight. Using ion production and recombination profiles by solar irradiance and incorporating D region ion chemistry processes, we calculate the electron density profile at different heights. Using this profile in the Long Wavelength Propagation Capability code, we are able to reproduce the amplitude of VLF signal.</t>
  </si>
  <si>
    <t>[Sasmal, Sudipta; Palit, Sourav; Chakrabarti, Sandip K.] Indian Ctr Space Phys, Kolkata, India; [Chakrabarti, Sandip K.] SN Bose Natl Ctr Basic Sci, Kolkata, India</t>
  </si>
  <si>
    <t>Department of Science &amp; Technology (India); SN Bose National Centre for Basic Science (SNBNCBS)</t>
  </si>
  <si>
    <t>Sasmal, S (corresponding author), Indian Ctr Space Phys, Kolkata, India.</t>
  </si>
  <si>
    <t>meet2ss25@gmail.com</t>
  </si>
  <si>
    <t>Sasmal, Sudipta/ABH-2752-2021</t>
  </si>
  <si>
    <t>National Centre for Antarctic and Ocean Research (NCAOR); Ministry of Earth Science (MoES)</t>
  </si>
  <si>
    <t>The authors acknowledge National Centre for Antarctic and Ocean Research (NCAOR) and Ministry of Earth Science (MoES) for financial and logistics support. The authors acknowledge Sujay Pal for interactive and significant discussions and his assistance in drawing Figure 4. SEM data can be accessed at http://www.usc.edu/dept/space_science/OLD_WEB/sem_first1.htm. IRI data can be accessed at http://omniweb.gsfc.nasa.gov/vitmo/iri2012_vitmo.html.</t>
  </si>
  <si>
    <t>10.1002/2015JA021400</t>
  </si>
  <si>
    <t>CY0ZI</t>
  </si>
  <si>
    <t>WOS:000366135200051</t>
  </si>
  <si>
    <t>Forsythe, VV; Makarevich, RA</t>
  </si>
  <si>
    <t>Forsythe, Victoriya V.; Makarevich, Roman A.</t>
  </si>
  <si>
    <t>Dual radar investigation of E region plasma waves in the southern polar cap</t>
  </si>
  <si>
    <t>plasma irregularities; E region; polar cap</t>
  </si>
  <si>
    <t>AURORAL COHERENT ECHOES; ELECTRON-DRIFT VELOCITY; IONOSPHERIC IRREGULARITIES; FUTURE-DIRECTIONS; SUPERDARN RADARS; CHATANIKA RADAR; HIGH-LATITUDES; HF-RADARS; BACKSCATTER; RADIO</t>
  </si>
  <si>
    <t>Origins and characteristics of small-scale plasma irregularities in the polar ionosphere are investigated using a dual radar setup in which the E region is probed from opposite directions by two Super Dual Auroral Radar Network facilities at the McMurdo and Dome Concordia Antarctic stations. In certain time intervals, velocity agreement is observed when velocities are compared at the same physical location in the horizontal plane. Such an agreement is widely expected if velocity at a given location is largely controlled by the convection electric field. In other cases, however, velocity agreement is unexpectedly observed when measurements are considered at the same slant range (distance along the radar beam) for both radars. This implies that it is not the electric field at a given location that is a controlling factor. Raytracing results show that the same range agreement may be explained for certain E region density conditions when echo altitude increases with radar range. Backscatter observations under generally unfavorable conditions for irregularity generation and the critical role of propagation conditions in the polar cap are discussed. The observed E region velocity in the polar cap is demonstrated to depend indirectly on the plasma density distribution, which is important for establishing the fundamental dependence on the convection electric field.</t>
  </si>
  <si>
    <t>[Forsythe, Victoriya V.; Makarevich, Roman A.] Univ Alaska Fairbanks, Inst Geophys, Fairbanks, AK 99775 USA; [Forsythe, Victoriya V.; Makarevich, Roman A.] Univ Alaska Fairbanks, Dept Phys, Fairbanks, AK 99775 USA</t>
  </si>
  <si>
    <t>University of Alaska System; University of Alaska Fairbanks; University of Alaska System; University of Alaska Fairbanks</t>
  </si>
  <si>
    <t>Makarevich, RA (corresponding author), Univ Alaska Fairbanks, Inst Geophys, Fairbanks, AK 99775 USA.</t>
  </si>
  <si>
    <t>rmakarevich@alaska.edu</t>
  </si>
  <si>
    <t>Forsythe, Victoriya/0000-0003-0894-2951</t>
  </si>
  <si>
    <t>NSF [ANT-1139806]; Committee on Space Research (COSPAR); International Union of Radio Science (URSI); Directorate For Geosciences; Office of Polar Programs (OPP) [1139806] Funding Source: National Science Foundation</t>
  </si>
  <si>
    <t>NSF(National Science Foundation (NSF)); Committee on Space Research (COSPAR); International Union of Radio Science (URSI); Directorate For Geosciences; Office of Polar Programs (OPP)(National Science Foundation (NSF)NSF - Directorate for Geosciences (GEO))</t>
  </si>
  <si>
    <t>This work was supported by NSF grant ANT-1139806. SuperDARN data are freely available through the SuperDARN website at Virginia Polytechnic Institute and State University http://vt.superdarn.org/. The International Reference Ionosphere model is sponsored by the Committee on Space Research (COSPAR) and the International Union of Radio Science (URSI). The IRI model is freely available from the Community Coordinated Modeling Center (CCMC) at http://ccmc.gsfc.nasa.gov/. The DMSP ion drift meter data are available at http://satdat.ngdc.noaa.gov/dmsp/. The authors thank W.A. Bristow for providing the original Fortran source code for raytracing simulations. The developed IDL raytracing code is available from the corresponding author.</t>
  </si>
  <si>
    <t>10.1002/2015JA021664</t>
  </si>
  <si>
    <t>WOS:000366135200070</t>
  </si>
  <si>
    <t>Nair, A; Mohan, R; Manoj, MC; Thamban, M</t>
  </si>
  <si>
    <t>Nair, Abhilash; Mohan, Rahul; Manoj, M. C.; Thamban, Meloth</t>
  </si>
  <si>
    <t>Glacial-interglacial variability in diatom abundance and valve size: Implications for Southern Ocean paleoceanography</t>
  </si>
  <si>
    <t>Antarctic sea ice; Southern Ocean; diatoms; morphometry; diatom productivity</t>
  </si>
  <si>
    <t>SEA-SURFACE TEMPERATURE; PHYTOPLANKTON BLOOM; LATE QUATERNARY; INDIAN SECTOR; CROZET PLATEAU; FRAGILARIOPSIS-KERGUELENSIS; COMMUNITY STRUCTURE; ATLANTIC SECTOR; ICE; IRON</t>
  </si>
  <si>
    <t>Antarctic sea ice extent along with Southern Ocean biological productivity varied considerably during glacial-interglacial periods, and both are known to have played a considerable role in regulating atmospheric CO2 variations in the past. Here we present data on diatom absolute abundance (valves/g of sediment) and size over the past 42ka B.P. and how they link to glacial-interglacial changes in Antarctic sea ice extent, Southern Ocean frontal systems, and aeolian dust flux. Our records of sea ice and permanent open ocean zone diatom abundances suggest a shift in the Antarctic winter sea ice limit and Polar Front respectively up to the modern-day Polar Frontal Zone during marine isotopic stages (MIS) 2 and late MIS 3. In addition to glacial shifts in the Polar Front, diatom assemblages also recorded a plausible northward shifts in Polar Front during few intervals of MIS 1. Glacial periods north of the Polar Front in the Indian sector of the Southern Ocean were characterized by higher total diatom abundance, larger Fragilariopsis kerguelensis apical length, and Thalassiosira lentiginosa radius. This is probably a consequence of (1) a northward expansion of the opal belt, a region characterized by high production and export of biogenic silica; (2) an increase in terrigenous input, via erosion of Crozet Islands; and (3) the alleviation of iron deficit by high input of Fe-bearing dust. The larger and highly silicified diatoms such as F. kerguelensis and T. lentiginosa may have mainly contributed in transporting biogenic silica and organic carbon to the seabed for the last 42ka, in the northern Polar Frontal Zone of the Indian sector of the Southern Ocean.</t>
  </si>
  <si>
    <t>[Nair, Abhilash; Mohan, Rahul; Thamban, Meloth] Govt India, Minist Earth Sci, Earth Syst Sci Org, Natl Ctr Antarctic &amp; Ocean Res, Vasco, India; [Manoj, M. C.] Birbal Sahni Inst Paleobot, Dept Sci &amp; Technol, Lucknow, Uttar Pradesh, India</t>
  </si>
  <si>
    <t>Ministry of Earth Sciences (MoES) - India; National Centre for Polar and Ocean Research (NCPOR); Earth System Science Organization (ESSO); Department of Science &amp; Technology (India); Birbal Sahni Institute of Palaeobotany (BSIP)</t>
  </si>
  <si>
    <t>Mohan, R (corresponding author), Govt India, Minist Earth Sci, Earth Syst Sci Org, Natl Ctr Antarctic &amp; Ocean Res, Vasco, India.</t>
  </si>
  <si>
    <t>rahulmohan@ncaor.gov.in</t>
  </si>
  <si>
    <t>Manoj, M C/AAR-1882-2020</t>
  </si>
  <si>
    <t>Manoj, M C/0000-0001-8112-6315; Thamban, Meloth/0000-0003-3379-8189</t>
  </si>
  <si>
    <t>NCAOR; Ministry of Earth Sciences (MoES), India</t>
  </si>
  <si>
    <t>We wish to thank the Director, NCAOR, and Ministry of Earth Sciences (MoES), India, for providing the funds for the research program at NCAOR. We would also like to express our gratitude toward the members of the pilot expedition to the Southern Ocean and Antarctic Sciences division, NCAOR for the contributions made toward this study. The authors would like to thank G. Cortese and an anonymous reviewer for their thoughtful reviews of the manuscript and the Editor C. Charles for the constructive comments on the manuscript. The data for this paper can be accessed through the supporting information or by direct request to the corresponding author of the paper Rahul Mohan. (rahulmohan@ncaor.gov.in) This is NCAOR contribution 30/2015.</t>
  </si>
  <si>
    <t>10.1002/2014PA002680</t>
  </si>
  <si>
    <t>CX9XZ</t>
  </si>
  <si>
    <t>WOS:000366061400002</t>
  </si>
  <si>
    <t>Petersen, SV; Schrag, DP</t>
  </si>
  <si>
    <t>Petersen, S. V.; Schrag, D. P.</t>
  </si>
  <si>
    <t>Antarctic ice growth before and after the Eocene-Oligocene transition: New estimates from clumped isotope paleothermometry</t>
  </si>
  <si>
    <t>Eocene-Oligocene transition; Clumped isotopes; Antarctic ice sheet</t>
  </si>
  <si>
    <t>SEA-SURFACE TEMPERATURES; GLOBAL CARBON-CYCLE; LATE MIDDLE EOCENE; SOUTHERN-OCEAN; MAUD RISE; SEDIMENTOLOGICAL EVIDENCE; CALCITE COMPENSATION; BIPOLAR GLACIATION; SHEET EXPANSION; C-13-O-18 BONDS</t>
  </si>
  <si>
    <t>Across the Eocene-Oligocene transition, the oxygen isotopic composition (O-18) of benthic and planktonic foraminifera increased by over 1. This shift is thought to represent a combination of global cooling and the growth of a large ice sheet on the Antarctic continent. To determine the contribution of each of these factors to the total change in O-18, we measured the clumped isotopic composition of planktonic foraminifera tests from Ocean Drilling Program Site 689 in the Southern Ocean. Near-surface temperatures were similar to 12 degrees C in the intervals 0-1.5Myr before and 1-2Myr after the major (Oi-1) transition, in agreement with estimates made using other proxies at nearby sites. Temperatures cooled by 0.41.1 degrees C between these intervals, indicating that the long-term change in O-18 seen in planktonic foraminifera at this site is predominantly due to changes in ice volume. A larger instantaneous cooling may have occurred during Oi-1 but is not captured in this study due to sampling resolution. The corresponding change in the isotopic composition of seawater (O-18(sw)) is 0.750.23 parts per thousand, which is within the range of previous estimates, and represents global ice growth equivalent to roughly similar to 110-120% of the volume of the modern Antarctic ice sheet or similar to 80-90m of eustatic sea level change.</t>
  </si>
  <si>
    <t>[Petersen, S. V.; Schrag, D. P.] Harvard Univ, Dept Earth &amp; Planetary Sci, Cambridge, MA 02138 USA</t>
  </si>
  <si>
    <t>Harvard University</t>
  </si>
  <si>
    <t>Petersen, SV (corresponding author), Univ Michigan, Dept Earth &amp; Environm Sci, Ann Arbor, MI 48109 USA.</t>
  </si>
  <si>
    <t>sierravp@umich.edu</t>
  </si>
  <si>
    <t>Petersen, Sierra/0000-0002-4498-9776</t>
  </si>
  <si>
    <t>Harvard University GSAS Merit Fellowship</t>
  </si>
  <si>
    <t>The data collected in this study are available in the supporting information. This work was supported by Henry and Wendy Breck and by the Harvard University GSAS Merit Fellowship. The authors would like to thank G. Eischeid, S. Manley, J. Shakun, and F. Chen for laboratory assistance. We would also like to thank two reviewers for their helpful comments.</t>
  </si>
  <si>
    <t>10.1002/2014PA002769</t>
  </si>
  <si>
    <t>WOS:000366061400005</t>
  </si>
  <si>
    <t>Yu, TZ; Liu, B</t>
  </si>
  <si>
    <t>Yu, Tianzi; Liu, Bo</t>
  </si>
  <si>
    <t>Asymmetric Total Synthesis of 3-Furanoeudesmene, A Metabolite from Antarctic Gorgonian and Determination of Its Absolute Configuration</t>
  </si>
  <si>
    <t>CHINESE JOURNAL OF ORGANIC CHEMISTRY</t>
  </si>
  <si>
    <t>Chinese</t>
  </si>
  <si>
    <t>eudesmane; sesquiterpenoid; furan; total synthesis; absolute configuration</t>
  </si>
  <si>
    <t>The first total synthesis of 3-furanoeudesmene, an eudesmane-type sesquiterpenoid, is reported herein. Starting from the commercially available (+)-verbenone, the target molecule was achieved stereoselectively over eight steps, with ring closing metathesis and three-step synthesis of furan as the keypoints. The absolute configuration of 3-furanoeudesmene was determined by comparison of the optical rotation value of the synthetic sample with that of the natural product.</t>
  </si>
  <si>
    <t>[Yu, Tianzi; Liu, Bo] Sichuan Univ, Coll Chem, Chengdu 610064, Peoples R China</t>
  </si>
  <si>
    <t>Sichuan University</t>
  </si>
  <si>
    <t>Yu, TZ (corresponding author), Sichuan Univ, Coll Chem, Chengdu 610064, Peoples R China.</t>
  </si>
  <si>
    <t>chembliu@scu.edu.cn</t>
  </si>
  <si>
    <t>Liu, Bo/C-1643-2013</t>
  </si>
  <si>
    <t>Liu, Bo/0000-0002-6235-1573</t>
  </si>
  <si>
    <t>National Natural Science Foundation of China [21172154]</t>
  </si>
  <si>
    <t>National Natural Science Foundation of China(National Natural Science Foundation of China (NSFC))</t>
  </si>
  <si>
    <t>Project supported by the National Natural Science Foundation of China (No. 21172154).</t>
  </si>
  <si>
    <t>SCIENCE PRESS</t>
  </si>
  <si>
    <t>BEIJING</t>
  </si>
  <si>
    <t>16 DONGHUANGCHENGGEN NORTH ST, BEIJING 100717, PEOPLES R CHINA</t>
  </si>
  <si>
    <t>0253-2786</t>
  </si>
  <si>
    <t>CHINESE J ORG CHEM</t>
  </si>
  <si>
    <t>Chin. J. Org. Chem.</t>
  </si>
  <si>
    <t>10.6023/cjoc201505001</t>
  </si>
  <si>
    <t>Chemistry, Organic</t>
  </si>
  <si>
    <t>Chemistry</t>
  </si>
  <si>
    <t>CX6SX</t>
  </si>
  <si>
    <t>WOS:000365833100016</t>
  </si>
  <si>
    <t>Fogwill, CJ; Phipps, SJ; Turney, CSM; Golledge, NR</t>
  </si>
  <si>
    <t>Fogwill, C. J.; Phipps, S. J.; Turney, C. S. M.; Golledge, N. R.</t>
  </si>
  <si>
    <t>Sensitivity of the Southern Ocean to enhanced regional Antarctic ice sheet meltwater input</t>
  </si>
  <si>
    <t>EARTHS FUTURE</t>
  </si>
  <si>
    <t>Antarctic Bottom Water; Southern Ocean; Amundsen Sea; Meltwater; West Antarctic Ice Sheet</t>
  </si>
  <si>
    <t>SEA-LEVEL RISE; PULSE 1A; COLLAPSE; DISCHARGE; DYNAMICS; DRIVEN</t>
  </si>
  <si>
    <t>Despite advances in our understanding of the processes driving contemporary sea level rise, the stability of the Antarctic ice sheets and their contribution to sea level under projected future warming remains uncertain due to the influence of strong ice-climate feedbacks. Disentangling these feedbacks is key to reducing uncertainty. Here we present a series of climate system model simulations that explore the potential effects of increased West Antarctic Ice Sheet (WAIS) meltwater flux on Southern Ocean dynamics. We project future changes driven by sectors of the WAIS, delivering spatially and temporally variable meltwater flux into the Amundsen, Ross, and Weddell embayments over future centuries. Focusing on the Amundsen Sea sector of the WAIS over the next 200 years, we demonstrate that the enhanced meltwater flux rapidly stratifies surface waters, resulting in a significant decrease in the rate of Antarctic Bottom Water (AABW) formation. This triggers rapid pervasive ocean warming (&gt;1 degrees C) at depth due to advection from the original site(s) of meltwater input. The greatest warming is predicted along sectors of the ice sheet that are highly sensitized to ocean forcing, creating a feedback loop that could enhance basal ice shelf melting and grounding line retreat. Given that we do not include the effects of rising CO(2)predicted to further reduce AABW formationour experiments highlight the urgent need to develop a new generation of fully coupled ice sheet climate models, which include feedback mechanisms such as this, to reduce uncertainty in climate and sea level projections.</t>
  </si>
  <si>
    <t>[Fogwill, C. J.; Phipps, S. J.; Turney, C. S. M.] Univ New S Wales, Climate Change Res Ctr, Sch Biol Earth &amp; Environm Sci, Sydney, NSW, Australia; [Phipps, S. J.] Univ New S Wales, ARC Ctr Excellence Climate Syst Sci, Sydney, NSW, Australia; [Phipps, S. J.] Univ Tasmania, Inst Marine &amp; Antarctic Studies, Hobart, Tas, Australia; [Golledge, N. R.] Victoria Univ Wellington, Antarctic Res Ctr, Wellington, New Zealand; [Golledge, N. R.] GNS Sci, Lower Hutt, New Zealand</t>
  </si>
  <si>
    <t>University of New South Wales Sydney; University of New South Wales Sydney; ARC Centre of Excellence for Climate System Science; University of Tasmania; Victoria University Wellington; GNS Science - New Zealand</t>
  </si>
  <si>
    <t>Fogwill, CJ (corresponding author), Univ New S Wales, Climate Change Res Ctr, Sch Biol Earth &amp; Environm Sci, Sydney, NSW, Australia.</t>
  </si>
  <si>
    <t>c.fogwill@unsw.edu.au</t>
  </si>
  <si>
    <t>Fogwill, Chris/AAW-3502-2021; Fogwill, Christopher/HPF-1150-2023; Turney, Chris/P-8701-2018; Phipps, Steven/B-3135-2008</t>
  </si>
  <si>
    <t>Fogwill, Chris/0000-0002-6471-1106; Turney, Chris/0000-0001-6733-0993; Phipps, Steven/0000-0001-5657-8782; Golledge, Nicholas/0000-0001-7676-8970</t>
  </si>
  <si>
    <t>Australian Research Council [FT120100004, FL100100195, FT100100443]; Faculty of Science, UNSW Australia; Australian Research Council [FT120100004, FT100100443] Funding Source: Australian Research Council</t>
  </si>
  <si>
    <t>Australian Research Council(Australian Research Council); Faculty of Science, UNSW Australia; Australian Research Council(Australian Research Council)</t>
  </si>
  <si>
    <t>This work was supported by the Australian Research Council (FT120100004, FL100100195, and FT100100443). This research includes computations using the Linux computational cluster Katana supported by the Faculty of Science, UNSW Australia. The simulations explored here are on the UNSW Data Archive.</t>
  </si>
  <si>
    <t>2328-4277</t>
  </si>
  <si>
    <t>Earth Future</t>
  </si>
  <si>
    <t>10.1002/2015EF000306</t>
  </si>
  <si>
    <t>Environmental Sciences; Geosciences, Multidisciplinary; Meteorology &amp; Atmospheric Sciences</t>
  </si>
  <si>
    <t>Environmental Sciences &amp; Ecology; Geology; Meteorology &amp; Atmospheric Sciences</t>
  </si>
  <si>
    <t>CX5PM</t>
  </si>
  <si>
    <t>WOS:000365754400001</t>
  </si>
  <si>
    <t>van Sebille, E; Waterman, S; Barthel, A; Lumpkin, R; Keating, SR; Fogwill, C; Turney, C</t>
  </si>
  <si>
    <t>van Sebille, Erik; Waterman, Stephanie; Barthel, Alice; Lumpkin, Rick; Keating, Shane R.; Fogwill, Chris; Turney, Chris</t>
  </si>
  <si>
    <t>Pairwise surface drifter separation in the western Pacific sector of the Southern Ocean</t>
  </si>
  <si>
    <t>RELATIVE DISPERSION; STATISTICS; PATTERNS; GULF; DIFFUSIVITY; CIRCULATION; DYNAMICS</t>
  </si>
  <si>
    <t>The Southern Ocean plays a critical role in global climate, yet the mixing properties of the circulation in this part of the ocean remain poorly understood. Here dispersion in the vicinity of the Southern Antarctic Circumpolar Current Front, one of the branches of the Antarctic Circumpolar Current, is studied using 10 pairs of surface drifters deployed systematically across the frontal jet and its flanks. Drifter pairs were deployed with an initial separation of 13 m and report their position every hour. The separation of the pairs over 7 months, in terms of their Finite-Scale Lyapunov Exponents (FSLE), dispersion, and diffusivity, is characterized and related to expected behavior from Quasi-Geostrophic (QG) and Surface Quasi-Geostrophic (SQG) theories. The FSLE analysis reveals two submesoscale regimes, with SQG-like behavior at scales below 3.2 km and mixed QG/SQG behavior at scales between 3.2 and 73 km. The dispersion analysis, however, suggests QG-like behavior for the smallest scales. Both dispersion and diffusivity appear isotropic for scales up to 500 km. Finally, there is no clear indication of a cross-jet variation of drifter dispersion.</t>
  </si>
  <si>
    <t>[van Sebille, Erik; Waterman, Stephanie; Barthel, Alice; Fogwill, Chris; Turney, Chris] Univ New S Wales, Sch Biol Earth &amp; Environm Sci, Sydney, NSW, Australia; [van Sebille, Erik; Waterman, Stephanie; Barthel, Alice; Keating, Shane R.] Univ New S Wales, Climate Change Res Ctr, ARC Ctr Excellence Climate Syst Sci, Sydney, NSW, Australia; [van Sebille, Erik] Univ London Imperial Coll Sci Technol &amp; Med, Grantham Inst, London, England; [van Sebille, Erik] Univ London Imperial Coll Sci Technol &amp; Med, Dept Phys, London, England; [Waterman, Stephanie] Univ British Columbia, Dept Earth Ocean &amp; Atmospher Sci, Vancouver, BC V5Z 1M9, Canada; [Lumpkin, Rick] NOAA, Atlantic Oceanog &amp; Meteorol Lab, Miami, FL 33149 USA; [Keating, Shane R.] Univ New S Wales, Sch Math &amp; Stat, Sydney, NSW, Australia</t>
  </si>
  <si>
    <t>University of New South Wales Sydney; University of New South Wales Sydney; ARC Centre of Excellence for Climate System Science; Imperial College London; Imperial College London; University of British Columbia; National Oceanic Atmospheric Admin (NOAA) - USA; Atlantic Oceanographic &amp; Meteorological Laboratory (AOML); University of New South Wales Sydney</t>
  </si>
  <si>
    <t>van Sebille, E (corresponding author), Univ New S Wales, Sch Biol Earth &amp; Environm Sci, Sydney, NSW, Australia.</t>
  </si>
  <si>
    <t>E.van-Sebille@imperial.ac.uk</t>
  </si>
  <si>
    <t>Waterman, Stephanie/AAY-6033-2020; van Sebille, Erik/F-6781-2010; Lumpkin, Rick/C-9615-2009; Fogwill, Chris/AAW-3502-2021; Barthel, Alice/AHE-2973-2022; Fogwill, Christopher/HPF-1150-2023; Keating, Shane/Y-4462-2019; Turney, Chris/P-8701-2018</t>
  </si>
  <si>
    <t>Waterman, Stephanie/0000-0001-5797-1092; Lumpkin, Rick/0000-0002-6690-1704; Fogwill, Chris/0000-0002-6471-1106; Barthel, Alice/0000-0002-2481-8646; Keating, Shane/0000-0002-6817-925X; Turney, Chris/0000-0001-6733-0993; van Sebille, Erik/0000-0003-2041-0704</t>
  </si>
  <si>
    <t>Australasian Antarctic Expedition; Australian Research Council [DE130101336, DE120102927, FL100100195, FT120100004, DP130104156]; University of New South Wales; NOAA's Climate Program Office; Atlantic Oceanographic and Meteorological Laboratory (AOML); CNES; Australian Research Council [DE120102927] Funding Source: Australian Research Council</t>
  </si>
  <si>
    <t>Australasian Antarctic Expedition; Australian Research Council(Australian Research Council); University of New South Wales; NOAA's Climate Program Office(National Oceanic Atmospheric Admin (NOAA) - USA); Atlantic Oceanographic and Meteorological Laboratory (AOML)(National Oceanic Atmospheric Admin (NOAA) - USA); CNES(Centre National D'etudes Spatiales); Australian Research Council(Australian Research Council)</t>
  </si>
  <si>
    <t>This work was supported by the Australasian Antarctic Expedition 2013-2014, the Australian Research Council (DE130101336, DE120102927, FL100100195, FT120100004, and DP130104156), and the University of New South Wales. R.L. received support from NOAA's Climate Program Office and the Atlantic Oceanographic and Meteorological Laboratory (AOML). We thank Shaun Dolk and Erik Valdez at the NOAA AOML GDP for their help with the drifters and data and members of the AAE 2013-2014 for the deployment of the drifters. The trajectories of the 2013/2014 AAE drifters are available through the NOAA GDP Drifter Data Assembly Center (http://www.aoml.noaa.gov/phod/dac/dacdata.php). The altimeter products were produced by Ssalto/Duacs and distributed by Aviso, with support from CNES (http://www.aviso.oceanobs.com/duacs/). MODIS Aqua sea-surface temperature data are distributed by NASA (http://oceancolor.gsfc.nasa.gov). Insightful comments by Joe LaCasce and two anonymous reviewers proved extremely valuable.</t>
  </si>
  <si>
    <t>10.1002/2015JC010972</t>
  </si>
  <si>
    <t>CX2PS</t>
  </si>
  <si>
    <t>WOS:000365539700010</t>
  </si>
  <si>
    <t>Kool, J; Appleyard, S; Bax, N; Ford, J; Hillman, K; Howe, S; Jackson, EL; Kirkman, H; Parr, A; Slawinski, D; Stafford-Bell, R</t>
  </si>
  <si>
    <t>Kool, Johnathan; Appleyard, Sharon; Bax, Nicholas; Ford, John; Hillman, Karen; Howe, Steffan; Jackson, Emma L.; Kirkman, Hugh; Parr, Amanda; Slawinski, Dirk; Stafford-Bell, Richard</t>
  </si>
  <si>
    <t>Lessons learned at the interface of marine ecology and environmental management in Australia</t>
  </si>
  <si>
    <t>BULLETIN OF MARINE SCIENCE</t>
  </si>
  <si>
    <t>POPULATION CONNECTIVITY; CONSERVATION; BIODIVERSITY; OBJECTIVES; FISHERIES; RESERVES; MISMATCHES; DESIGN</t>
  </si>
  <si>
    <t>Marine scientists and environmental managers engaged in a roundtable discussion at the Australian Marine Sciences Association conference in July 2014 to identify areas where linkages could be improved between the two groups. Here, we summarize the key themes and outcomes from the discussion, including the need to clearly define management objectives, to identify the scale of the issue, to conduct effective science communication, to address uncertainty, and to perform iterative engagement. We also discuss some of the challenges inherent in establishing new linkages, and provide a set of examples where effective collaborations have been achieved between marine ecologists and environmental managers working in Australia.</t>
  </si>
  <si>
    <t>[Kool, Johnathan] Geosci Australia, Canberra, ACT 2601, Australia; [Appleyard, Sharon] CSIRO Oceans &amp; Atmosphere Flagship, Hobart, Tas 7001, Australia; [Bax, Nicholas] Inst Marine &amp; Antarctic Studies, Battery Point, Tas 7004, Australia; [Ford, John] Univ Melbourne, Dept Zool, Melbourne, Vic 3010, Australia; [Hillman, Karen] BMT Ocean Pty Ltd, Wembley, WA 6913, Australia; [Howe, Steffan] Pk Victoria, Melbourne, Vic 3000, Australia; [Jackson, Emma L.] Cent Queensland Univ, Sch Med &amp; Appl Sci, Gladstone, Qld 4680, Australia; [Parr, Amanda] Pk Australia, Dept Environm, Kingston, Tas 7050, Australia; [Slawinski, Dirk] CSIRO Oceans &amp; Atmosphere Flagship, Wembley, WA 6913 USA; [Stafford-Bell, Richard] Victoria Univ, Inst Sustainabil &amp; Innovat, Melbourne, Vic 8001, Australia</t>
  </si>
  <si>
    <t>Geoscience Australia; Commonwealth Scientific &amp; Industrial Research Organisation (CSIRO); University of Tasmania; University of Melbourne; Melbourne Bioinformatics; Central Queensland University; Victoria University</t>
  </si>
  <si>
    <t>Kool, J (corresponding author), Geosci Australia, GPO Box 378, Canberra, ACT 2601, Australia.</t>
  </si>
  <si>
    <t>johnathan.kool@ga.gov.au</t>
  </si>
  <si>
    <t>Jackson, Emma L./X-2779-2019; appleyard, sharon/D-6076-2012; Appleyard, Sharon/AAJ-9942-2020; Slawinski, Dirk/C-6186-2013; Bax, Nicholas/A-2321-2012</t>
  </si>
  <si>
    <t>Jackson, Emma L./0000-0003-1708-4776; appleyard, sharon/0000-0002-3105-1690; Appleyard, Sharon/0000-0002-3105-1690; Kool, Johnathan/0000-0002-9902-3522; Slawinski, Dirk/0000-0003-2358-446X; Bax, Nicholas/0000-0002-9697-4963</t>
  </si>
  <si>
    <t>The authors thank Australia's National Environmental Research Program's Marine Biodiversity Hub for sponsoring the roundtable discussion, and Bryony Bennett for her input into the 'six steps to common ground'. The Marine Biodiversity Hub is a collaborative partnership supported through funding from the Australian Government's National Environmental Research Program (NERP), administered by the Department of the Environment. NERP Marine Biodiversity Hub partners include the Institute for Marine and Antarctic Studies, University of Tasmania; CSIRO, Geoscience Australia, Australian Institute of Marine Science, Museum Victoria, Charles Darwin University and the University of Western Australia. This paper is published with the permission of the CEO, Geoscience Australia.</t>
  </si>
  <si>
    <t>ROSENSTIEL SCH MAR ATMOS SCI</t>
  </si>
  <si>
    <t>MIAMI</t>
  </si>
  <si>
    <t>4600 RICKENBACKER CAUSEWAY, MIAMI, FL 33149 USA</t>
  </si>
  <si>
    <t>0007-4977</t>
  </si>
  <si>
    <t>1553-6955</t>
  </si>
  <si>
    <t>B MAR SCI</t>
  </si>
  <si>
    <t>Bull. Mar. Sci.</t>
  </si>
  <si>
    <t>10.5343/bms.2015.1006</t>
  </si>
  <si>
    <t>CW2KV</t>
  </si>
  <si>
    <t>WOS:000364822000006</t>
  </si>
  <si>
    <t>Mernild, SH; Beckerman, AP; Yde, JC; Hanna, E; Malmros, JK; Wilson, R; Zemp, M</t>
  </si>
  <si>
    <t>Mernild, Sebastian H.; Beckerman, Andrew P.; Yde, Jacob C.; Hanna, Edward; Malmros, Jeppe K.; Wilson, Ryan; Zemp, Micheal</t>
  </si>
  <si>
    <t>Mass loss and imbalance of glaciers along the Andes Cordillera to the sub-Antarctic islands</t>
  </si>
  <si>
    <t>GLOBAL AND PLANETARY CHANGE</t>
  </si>
  <si>
    <t>Accumulation area ratio; EOF; Glaciers; Imbalance; Mass-balance observations; South America; Sub-Antarctic islands</t>
  </si>
  <si>
    <t>CENTRAL CHILE; SOUTHERN OSCILLATION; SEMIARID ANDES; CLIMATE-CHANGE; EL-NINO; BALANCE; SEA; 20TH-CENTURY; VARIABILITY; BLANCA</t>
  </si>
  <si>
    <t>Here, we examine available glacier mass-balance records between 1993 and 2012 for Andes Cordillera, South America (6.5 degrees N-45.8 degrees S), and the sub-Antarctic islands around the northern tip of the Antarctic Peninsula (62.7 degrees S-63.8 degrees S) to determine their recent mass loss and imbalance with the present climate. The mean annual observed mass-balance B-a changed from similar to 620 +/- 390 (1993-2002) to -740 +/- 240 kg m(-2) yr(-1) (2003-2012) and for this past decade showed a decrease in Ba from south to north. These glaciers had a mean accumulation area ratio of 0.42, which is below the AAR value for glaciers in equilibrium, reflecting mean area and volume imbalances of 23% and 27%, respectively. Glaciers in the northern part of Andes Cordillera are most out of balance with the present climate (33%), while glaciers on the sub-Antarctic islands are only slightly out of balance (4%). We identified a spatiotemporal cycle of B-a that distinguishes glaciers on the sub-Antarctic islands from glaciers in the Andes using an Empirical Orthogonal Function analysis. This analysis also revealed that South America should be divided into three individual glacier regions, and not two regions as earlier stated. Overall, the spatiotemporal cycles identified correlate to the multivariate El Nino Southern Oscillation Index instantaneously (zero-year lag-time) and to the Pacific Decadal Oscillation with an approximately eight-year lag-time. (C) 2015 Elsevier B.V. All rights reserved.</t>
  </si>
  <si>
    <t>[Mernild, Sebastian H.; Malmros, Jeppe K.; Wilson, Ryan] Ctr Estudios Cient, Glaciol &amp; Climate Change Lab, Ctr Sci Studies, Valdivia 5110466, Chile; [Beckerman, Andrew P.] Univ Sheffield, Dept Anim &amp; Plant Sci, Sheffield S10 2TN, S Yorkshire, England; [Yde, Jacob C.] Sogn Fjordane Univ Coll, Fac Sci &amp; Engn, Sogndal, Norway; [Hanna, Edward] Univ Sheffield, Dept Geog, Sheffield S10 2TN, S Yorkshire, England; [Malmros, Jeppe K.] Univ Copenhagen, Dept Geosci &amp; Nat Resource Management, DK-1168 Copenhagen, Denmark; [Zemp, Micheal] Univ Zurich, Dept Geog, Zurich, Switzerland</t>
  </si>
  <si>
    <t>University of Sheffield; Western Norway University of Applied Sciences; University of Sheffield; University of Copenhagen; University of Zurich</t>
  </si>
  <si>
    <t>Mernild, SH (corresponding author), Ctr Estudios Cient, Glaciol &amp; Climate Change Lab, Ctr Sci Studies, Ave Arturo Prat 514, Valdivia 5110466, Chile.</t>
  </si>
  <si>
    <t>smernild@gmail.com</t>
  </si>
  <si>
    <t>Yde, Jacob/M-8839-2017; Beckerman, Andrew P/D-3020-2011; Hanna, Edward/H-2219-2016; Hanna, Edward/W-5927-2019; Malmros, Jeppe/E-2638-2015; Mernild, Sebastian H./M-5516-2013</t>
  </si>
  <si>
    <t>Beckerman, Andrew P/0000-0002-4797-9143; Hanna, Edward/0000-0002-8683-182X; Hanna, Edward/0000-0002-8683-182X; Malmros, Jeppe/0000-0002-1175-3660; Wilson, Ryan/0000-0001-9063-8021; Mernild, Sebastian H./0000-0003-0797-3975; Yde, Jacob Clement/0000-0002-6211-2601</t>
  </si>
  <si>
    <t>Chilean FONDECYT [1140172]</t>
  </si>
  <si>
    <t>Chilean FONDECYT(Comision Nacional de Investigacion Cientifica y Tecnologica (CONICYT)CONICYT FONDECYT)</t>
  </si>
  <si>
    <t>This study was funded by Chilean FONDECYT (Project: #1140172). We extend a very special thank to World Glacier Monitoring Service (WGMS) for providing us with data from the WGMS database. In addition, we thank the principal investigators of the WGMS network for sharing their observations with the community. The authors have no conflict of interest</t>
  </si>
  <si>
    <t>0921-8181</t>
  </si>
  <si>
    <t>1872-6364</t>
  </si>
  <si>
    <t>GLOBAL PLANET CHANGE</t>
  </si>
  <si>
    <t>Glob. Planet. Change</t>
  </si>
  <si>
    <t>10.1016/j.gloplacha.2015.08.009</t>
  </si>
  <si>
    <t>CW5RG</t>
  </si>
  <si>
    <t>WOS:000365053700011</t>
  </si>
  <si>
    <t>Singh, AD; Rai, AK; Tiwari, M; Naidu, PD; Verrna, K; Chaturvedi, M; Niyogi, A; Pandey, D</t>
  </si>
  <si>
    <t>Singh, A. D.; Rai, A. K.; Tiwari, M.; Naidu, P. D.; Verrna, K.; Chaturvedi, M.; Niyogi, A.; Pandey, D.</t>
  </si>
  <si>
    <t>Fluctuations of Mediterranean Outflow Water circulation in the Gulf of Cadiz during MIS 5 to 7: Evidence from benthic foraminiferal assemblage and stable isotope records</t>
  </si>
  <si>
    <t>Gulf of Cadiz; Mediterranean Outflow Water; Paleoceanography; Benthic foraminifera</t>
  </si>
  <si>
    <t>DEEP-SEA FORAMINIFERA; THERMOHALINE CIRCULATION; COMMUNITY STRUCTURE; CONTINENTAL-MARGIN; DISSOLVED-OXYGEN; INDIAN-OCEAN; SALINITY; SEDIMENTS; STRAIT; PLEISTOCENE</t>
  </si>
  <si>
    <t>We studied variations in benthic foraminiferal assemblages and delta C-13 for the last 225 kyr at IODP site U1387 which is currently bathed by upper core of the Mediterranean Outflow Water (MOW). The MOW paleocirculation and sea-floor environment (oxygen level, trophic condition, bottom current strength) have been inferred from faunal composition; species diversity, abundances of selected index species/groups, microhabitat preferences combined with delta C-13 record of the epifaunal Cibicidoides pachyderma. The faunal and isotope records indicate relatively better ventilation at sea-floor and low trophic condition during MIS 1, 5 and 7 possibly due to increased influence of upper MOW in the Gulf of Cadiz. Our multi-proxy record reflects significant and rapid changes during cold (stadial) and warm (interstadial) phases within the interglacials MISS and 7 and at Termination II. The faunal and isotope records reveal strong MOW flow and better ventilated, oligotrophic bottom-water conditions during stadials MIS 5b, 5d, 7b and 7d. The study further demonstrates weakened MOW intensity associated with poor ventilation and increased trophic level at sea-floor during interstadials MIS 5a, 5e, 7a and 7c. MOW flow was relatively sluggish at Termination II, followed by its strengthening at the end of MIS 5e. The chronology of these events suggests that periods of weakened MOW correlate with sapropel layers of the Mediterranean Sea, implying strong coupling between glacial-interglacial climate and MOW circulation in the Gulf of Cadiz. (C) 2015 Elsevier B.V. All rights reserved.</t>
  </si>
  <si>
    <t>[Singh, A. D.; Verrna, K.; Chaturvedi, M.; Niyogi, A.] Banaras Hindu Univ, Ctr Adv Study Geol, Varanasi 221005, Uttar Pradesh, India; [Rai, A. K.] Univ Allahabad, Dept Earth &amp; Planetary Sci, Allahabad 211002, Uttar Pradesh, India; [Tiwari, M.; Pandey, D.] Natl Ctr Antarctic &amp; Ocean Res, Vasco Da Gama 403804, Goa, India; [Naidu, P. D.] CSIR Natl Inst Oceanog, Panaji 403004, Goa, India</t>
  </si>
  <si>
    <t>Banaras Hindu University (BHU); University of Allahabad; Ministry of Earth Sciences (MoES) - India; National Centre for Polar and Ocean Research (NCPOR); Council of Scientific &amp; Industrial Research (CSIR) - India; CSIR - National Institute of Oceanography (NIO)</t>
  </si>
  <si>
    <t>Singh, AD (corresponding author), Banaras Hindu Univ, Ctr Adv Study Geol, Varanasi 221005, Uttar Pradesh, India.</t>
  </si>
  <si>
    <t>arundeosingh@yahoo.com</t>
  </si>
  <si>
    <t>NIYOGI, ANURAG/AAC-6626-2019; Pandey, Dhananjai/S-3843-2019; Naidu, Pothuri Divakar/AAH-1613-2019</t>
  </si>
  <si>
    <t>Pandey, Dhananjai/0000-0001-6899-8995; Tiwari, Manish/0000-0003-3143-1658; NIYOGI, ANURAG/0000-0002-0963-1947</t>
  </si>
  <si>
    <t>IODP-India, National Centre for Antarctic and Ocean Research, MoFS [NCAOR/IODP/17.7/10]; ISRO-GBP [ISRO-GBP-PRLCCD-881/NCAOR02/MT]</t>
  </si>
  <si>
    <t>IODP-India, National Centre for Antarctic and Ocean Research, MoFS; ISRO-GBP</t>
  </si>
  <si>
    <t>We thank two anonymous referees for their constructive reviews that have helped to improve the manuscript This research used samples provided by the Integrated Ocean Drilling Programme (IODP). We are thankful to shipboard team (Co-chief scientists, staff scientist and other scientists and technical staff on-board JOIDES RESOLUTION) of the IODP Expedition 339. We thankfully acknowledge the analytical assistance by Vishvesh K. Pathak, Siddhesh S. Nagoji, Rupal Dubey and Govind K. Mourya. Financial support was received from the IODP-India, National Centre for Antarctic and Ocean Research, MoFS (grant no. NCAOR/IODP/17.7/10). MT also thanks ISRO-GBP for support through grant ISRO-GBP-PRLCCD-881/NCAOR02/MT. The AMS radiocarbon dating was done at the NSF-Arizona AMS Laboratory, University of Arizona.</t>
  </si>
  <si>
    <t>10.1016/j.gloplacha.2015.08.005</t>
  </si>
  <si>
    <t>WOS:000365053700013</t>
  </si>
  <si>
    <t>Maldonado, A; Dalziel, IWD; Leat, PT</t>
  </si>
  <si>
    <t>Maldonado, Andres; Dalziel, Ian W. D.; Leat, Philip T.</t>
  </si>
  <si>
    <t>The global relevance of the Scotia Arc: An introduction (vol 123, pg A1, 2015)</t>
  </si>
  <si>
    <t>Correction</t>
  </si>
  <si>
    <t>[Maldonado, Andres] UGR, CSIC, Inst Andaluz Ciencias Tierra, Fac Ciencias, Granada 18002, Spain; [Dalziel, Ian W. D.] Univ Texas Austin, Inst Geophys, Jackson Sch Geosci, Austin, TX 78758 USA; [Leat, Philip T.] British Antarctic Survey, Cambridge CB3 0ET, England; [Leat, Philip T.] Univ Leicester, Dept Geol, Leicester LE1 7RH, Leics, England</t>
  </si>
  <si>
    <t>Consejo Superior de Investigaciones Cientificas (CSIC); CSIC - Instituto Andaluz de Ciencias de la Tierra (IACT); University of Granada; University of Texas System; University of Texas Austin; UK Research &amp; Innovation (UKRI); Natural Environment Research Council (NERC); NERC British Antarctic Survey; University of Leicester</t>
  </si>
  <si>
    <t>Maldonado, A (corresponding author), UGR, CSIC, Inst Andaluz Ciencias Tierra, Fac Ciencias, Campus Fuentenueva S-N, Granada 18002, Spain.</t>
  </si>
  <si>
    <t>amaldona@ugr.es; ian@utig.ig.utexas.edu; ptle@bas.ac.uk</t>
  </si>
  <si>
    <t>Dalziel, Ian W. D./G-5926-2010; ALMEIDA, IVAN HERNANDEZ/G-3134-2015</t>
  </si>
  <si>
    <t>ALMEIDA, IVAN HERNANDEZ/0000-0002-9329-8357</t>
  </si>
  <si>
    <t>10.1016/j.gloplacha.2014.12.006</t>
  </si>
  <si>
    <t>WOS:000365053700033</t>
  </si>
  <si>
    <t>Olson, PA; Ensor, P; Olavarria, C; Bott, N; Constantine, R; Weir, J; Childerhouse, S; van der Linde, M; Schmitt, N; Miller, BS; Double, MC</t>
  </si>
  <si>
    <t>Olson, Paula A.; Ensor, Paul; Olavarria, Carlos; Bott, Nadine; Constantine, Rochelle; Weir, Jody; Childerhouse, Simon; van der Linde, Miranda; Schmitt, Natalie; Miller, Brian S.; Double, Michael C.</t>
  </si>
  <si>
    <t>New Zealand Blue Whales: Residency, Morphology, and Feeding Behavior of a Little-Known Population</t>
  </si>
  <si>
    <t>PACIFIC SCIENCE</t>
  </si>
  <si>
    <t>Blue whales are infrequently reported from New Zealand and their taxonomic status is unclear. Here we present new information on the residency, external morphology, and habitat use of blue whales encountered in New Zealand waters. Thirty-one blue whales were photo-identified around the North and South Islands of New Zealand from 2004 to 2014 in seven different months of the year. One photographic match was found between June 2011 and March 2013: the first evidence that an individual blue whale has remained in or returned to New Zealand waters in different years and seasons. Observations of the external morphology of blue whales encountered off the South Island confirm that there is a shorter, non-Antarctic form of blue whale occurring near New Zealand. Body length and proportion, head shape, body condition, and skin condition were similar to Australian but not Antarctic blue whales. In 2013, feeding behavior was observed off the South Island's west coast and strong evidence of feeding was observed off the east coast and is the first reported occurrence of feeding for these locations. Feeding behavior was also observed in the Hauraki Gulf in November 2010. Feeding in these widely spread locations, in addition to the recently reported foraging ground in the South Taranaki Bight, suggest that New Zealand coastal waters are a feeding area for blue whales.</t>
  </si>
  <si>
    <t>[Olson, Paula A.] NOAA, Marine Mammal &amp; Turtle Div, Southwest Fisheries Sci Ctr, NMFS, La Jolla, CA 92037 USA; [Ensor, Paul; Olavarria, Carlos; Schmitt, Natalie; Miller, Brian S.; Double, Michael C.] Australian Antarctic Div, Australian Marine Mammal Ctr, Kingston, Tas 7050, Australia; [Bott, Nadine] Wellington Dist Off, Dept Conservat, Wellington, New Zealand; [Constantine, Rochelle] Univ Auckland, Sch Biol Sci, Auckland 1, New Zealand; [Weir, Jody] Kaikoura Ocean Res Inst Inc, Kaikoura 7300, New Zealand; [Childerhouse, Simon] Blue Planet Marine, Canberra, ACT, Australia</t>
  </si>
  <si>
    <t>National Oceanic Atmospheric Admin (NOAA) - USA; Australian Antarctic Division; University of Auckland</t>
  </si>
  <si>
    <t>Olson, PA (corresponding author), NOAA, Marine Mammal &amp; Turtle Div, Southwest Fisheries Sci Ctr, NMFS, 8901 La Jolla Shores Dr, La Jolla, CA 92037 USA.</t>
  </si>
  <si>
    <t>Paula.Olson@noaa.gov</t>
  </si>
  <si>
    <t>Miller, Brian/0000-0001-7615-3044; van der Linde, Miranda/0000-0003-1307-2321; Constantine, Rochelle/0000-0003-3260-539X</t>
  </si>
  <si>
    <t>U.S. National Oceanic and Atmospheric Administration; OMV New Zealand Ltd.; Transact Management; Bell Tea New Zealand Ltd.; Heberley Family; New Zealand Whale and Dolphin Trust</t>
  </si>
  <si>
    <t>U.S. National Oceanic and Atmospheric Administration(National Oceanic Atmospheric Admin (NOAA) - USA); OMV New Zealand Ltd.; Transact Management; Bell Tea New Zealand Ltd.; Heberley Family; New Zealand Whale and Dolphin Trust</t>
  </si>
  <si>
    <t>The U.S. National Oceanic and Atmospheric Administration funded the participation of Paula Olson during the voyage. OMV New Zealand Ltd., Transact Management, Bell Tea New Zealand Ltd., and the Heberley Family supported the Cook Strait whale project. The New Zealand Whale and Dolphin Trust sponsored Miranda van der Linde's and Brian Miller's fieldwork in 2007. Manuscript accepted 22 February 2015.</t>
  </si>
  <si>
    <t>UNIV HAWAII PRESS</t>
  </si>
  <si>
    <t>HONOLULU</t>
  </si>
  <si>
    <t>2840 KOLOWALU ST, HONOLULU, HI 96822 USA</t>
  </si>
  <si>
    <t>0030-8870</t>
  </si>
  <si>
    <t>1534-6188</t>
  </si>
  <si>
    <t>PAC SCI</t>
  </si>
  <si>
    <t>Pac. Sci.</t>
  </si>
  <si>
    <t>10.2984/69.4.4</t>
  </si>
  <si>
    <t>Marine &amp; Freshwater Biology; Zoology</t>
  </si>
  <si>
    <t>CW8FW</t>
  </si>
  <si>
    <t>WOS:000365235900004</t>
  </si>
  <si>
    <t>Matear, RJ; O'Kane, TJ; Risbey, JS; Chamberlain, M</t>
  </si>
  <si>
    <t>Matear, Richard J.; O'Kane, Terence J.; Risbey, James S.; Chamberlain, Matt</t>
  </si>
  <si>
    <t>Sources of heterogeneous variability and trends in Antarctic sea-ice</t>
  </si>
  <si>
    <t>IN-SITU; OCEAN; TEMPERATURE; CIRCULATION; WIND; IMPACTS</t>
  </si>
  <si>
    <t>While the Northern Hemisphere sea-ice has uniformly declined over the past several decades, the observed sea-ice in the Southern Hemisphere has exhibited regions of increase and decrease. Here we use a comprehensive set of ocean-sea-ice simulations (1990-2007) to elucidate the drivers of the observed heterogeneous sea-ice trends. We show wind variability is an important determinant of the heterogeneous pattern of the variability and trends in Southern Hemisphere sea-ice. Only in the West Pacific region does Southern Annular Mode wind forcing contribute significantly to the trend in sea-ice duration. El Nino Southern Oscillation wind forcing contribution to the sea-ice duration trend is confined to the Atlantic and Pacific. In the Indian Ocean, weather is a significant driver of the sea-ice duration trend. Only in the East Pacific region is wind forcing alone insufficient to give rise to the observed sea-ice decline and must be augmented by warming to reproduce the observations.</t>
  </si>
  <si>
    <t>[Matear, Richard J.; O'Kane, Terence J.; Risbey, James S.; Chamberlain, Matt] CSIRO Oceans &amp; Atmosphere, Hobart, Tas 7001, Australia</t>
  </si>
  <si>
    <t>Commonwealth Scientific &amp; Industrial Research Organisation (CSIRO)</t>
  </si>
  <si>
    <t>Matear, RJ (corresponding author), CSIRO Oceans &amp; Atmosphere, GPO Box 1538, Hobart, Tas 7001, Australia.</t>
  </si>
  <si>
    <t>richard.matear@csiro.au</t>
  </si>
  <si>
    <t>Chamberlain, Matthew/D-4805-2012; Risbey, James/M-8419-2013; O'Kane, Terence/AAV-1123-2021; O'Kane, Terence J/B-1655-2009; matear, richard/C-5133-2011</t>
  </si>
  <si>
    <t>Risbey, James/0000-0003-3202-9142; O'Kane, Terence/0000-0002-2137-5915; O'Kane, Terence J/0000-0002-2137-5915; matear, richard/0000-0002-3225-0800; Chamberlain, Matthew/0000-0002-3287-3282</t>
  </si>
  <si>
    <t>CSIRO Oceans and Atmosphere; Australian Climate Change Science Program; Managing Climate Variability Program; Climate Program; Australian Research Council</t>
  </si>
  <si>
    <t>CSIRO Oceans and Atmosphere; Australian Climate Change Science Program; Managing Climate Variability Program; Climate Program; Australian Research Council(Australian Research Council)</t>
  </si>
  <si>
    <t>We acknowledge the funding support for this work from the CSIRO Oceans and Atmosphere, the Australian Climate Change Science Program, the Managing Climate Variability Program, and the Climate Program. T.J.O. acknowledges funding support from the Australian Research Council Future Fellow program. The authors appreciate the contributions of the reviewers that led to significant improvements to this manuscript.</t>
  </si>
  <si>
    <t>10.1038/ncomms9656</t>
  </si>
  <si>
    <t>CW4BI</t>
  </si>
  <si>
    <t>Green Published, gold, Green Accepted</t>
  </si>
  <si>
    <t>WOS:000364935700003</t>
  </si>
  <si>
    <t>Xu, ZL; Zhang, JY; Ji, JL; Zhang, KX</t>
  </si>
  <si>
    <t>Xu Zenglian; Zhang Jianyu; Ji Junliang; Zhang Kexin</t>
  </si>
  <si>
    <t>The Mid-Miocene Pollen Record of the Xunhua Basin, NE Tibetan Plateau: Implications for Global Climate Change</t>
  </si>
  <si>
    <t>ACTA GEOLOGICA SINICA-ENGLISH EDITION</t>
  </si>
  <si>
    <t>pollen; mid-miocene; aridification; Xunhua basin; northeastern Tibetan Plateau</t>
  </si>
  <si>
    <t>ASIAN MONSOON; EOLIAN DEPOSITION; PHASED UPLIFT; SOUTHERN ASIA; MA; MAGNETOSTRATIGRAPHY; EVOLUTION; CIRCULATION; NINGXIA; GUYUAN</t>
  </si>
  <si>
    <t>The northeastern Tibetan Plateau is located at the convergence of the Asian winter and summer monsoons and westerlies; thus, this area has witnessed historic climate changes. The Xunhua basin is an intermontane basin on the northeastern margin of the Tibetan Plateau. The basin contains more than 2000 m of Cenozoic fluvial-lacustrine sediments, recording a long history of climate and environmental changes. We collected the mid-Miocene sediments from the Xunhua basin and used palynological methods to discuss the relationship between aridification in the interior of Asia, global cooling, and uplift of the Tibetan Plateau. Based on the palynological analysis of the Xigou section, Xunhua basin, the palynological diagram is subdivided into three pollen zones and past vegetation and climate are reconstructed. Zone I, Ephedripites-Nitraridites-Chenopodipollis-Quercoidites (14.0-12.5 Ma), represents mixed shrub steppe vegetation with a dry and cold climate. In zone II, Pinaceae-Betulaepollenites-Ephedripites-Chenopodipollis-Graminidites (12.5-8.0 Ma), the vegetation and climate conditions improved, even though the vegetation was still dominated by shrub steppe taxa. Zone III, Ephedripites-Nitrariadites-Chenopodipollis (8.0-5.0 Ma), represents desert steppe vegetation with drier and colder climate. The palynological records suggest that shrub steppe dominated the whole Xigou section and the content gradually increased, implying a protracted aridification process, although there was an obvious climate improvement during 12.5-8.0 Ma. The aridification in the Xunhua basin and surrounding mountains during 14.0-12.5 Ma was probably related to global cooling induced by the rapid expansion of the East Antarctic ice-sheets and the relatively higher evaporation rate. During the 12.5-8.0 Ma period, although topographic changes (uplift of Jishi Shan) decreased precipitation and strengthened aridification in the Xunhua basin on leeward slopes, the improved vegetation and climate conditions were probably controlled by the decrease in evaporation rates as a result of continuous cooling. From 8.0 to 5.0 Ma, the rapid development of the desert steppe can be attributed to global cooling and uplift of the Tibetan Plateau.</t>
  </si>
  <si>
    <t>[Xu Zenglian; Ji Junliang; Zhang Kexin] China Univ Geosci, Sch Earth Sci, Wuhan 430074, Peoples R China; [Xu Zenglian; Ji Junliang; Zhang Kexin] China Univ Geosci, State Key Lab Biogeol &amp; Envicronmental Geol, Wuhan 430074, Peoples R China; [Zhang Jianyu] China Geol Survey, Wuhan Ctr, Wuhan 430205, Peoples R China</t>
  </si>
  <si>
    <t>China University of Geosciences; China University of Geosciences; China Geological Survey; Wuhan Center, China Geological Survey</t>
  </si>
  <si>
    <t>Zhang, KX (corresponding author), China Univ Geosci, Sch Earth Sci, Wuhan 430074, Peoples R China.</t>
  </si>
  <si>
    <t>lz_xu870601@126.com</t>
  </si>
  <si>
    <t>zhang, ke/AAH-8217-2019</t>
  </si>
  <si>
    <t>Foundation of Geological Survey of China [1212011121261]; National Natural Science Foundation [40902049]; State Key Laboratory of Biogeology and Environmental Geology, China University of Geosciences [GBL11307]</t>
  </si>
  <si>
    <t>Foundation of Geological Survey of China(China Geological Survey); National Natural Science Foundation(National Natural Science Foundation of China (NSFC)); State Key Laboratory of Biogeology and Environmental Geology, China University of Geosciences</t>
  </si>
  <si>
    <t>We are grateful to anonymous reviewers for their valuable suggestions and careful corrections to the first version of the manuscript. This work was supported by Foundation of Geological Survey of China (no. 1212011121261), the National Natural Science Foundation (no.40902049), and the State Key Laboratory of Biogeology and Environmental Geology, China University of Geosciences (no.GBL11307).</t>
  </si>
  <si>
    <t>1000-9515</t>
  </si>
  <si>
    <t>1755-6724</t>
  </si>
  <si>
    <t>ACTA GEOL SIN-ENGL</t>
  </si>
  <si>
    <t>Acta Geol. Sin.-Engl. Ed.</t>
  </si>
  <si>
    <t>CW1CJ</t>
  </si>
  <si>
    <t>WOS:000364726900018</t>
  </si>
  <si>
    <t>Nemirovskaya, IA; Lisitzin, AP; Kravchishina, MD; Redzhepova, ZY</t>
  </si>
  <si>
    <t>Nemirovskaya, I. A.; Lisitzin, A. P.; Kravchishina, M. D.; Redzhepova, Z. Yu.</t>
  </si>
  <si>
    <t>Influence of frontal zones on the distribution of particulate matter and organic compounds in surface waters of the Atlantic and Southern Oceans</t>
  </si>
  <si>
    <t>DOKLADY EARTH SCIENCES</t>
  </si>
  <si>
    <t>VARIABILITY; SECTORS</t>
  </si>
  <si>
    <t>Particulate matter and organic compounds (chlorophyll, lipids, and hydrocarbons) were analyzed in surface waters along the routes of R/Vs Akademik Fedorov (cruise 32) and Akademik Treshnikov (cruise 2) in February-May of 2012 and 2014, respectively, in the course of the 57th and 59th Russian Antarctic expeditions. It was found that the frontal zones exert the primary influence on the concentrations of the mentioned components in the Southern Ocean and in the western part of the Atlantic Ocean. The supply of pollutants into the Eastern Atlantic Ocean on the shelf of the Iberian peninsula results in a pronounced increase in the concentrations of lipids and hydrocarbons causing local anthropogenic pollution zones.</t>
  </si>
  <si>
    <t>[Nemirovskaya, I. A.; Lisitzin, A. P.; Kravchishina, M. D.; Redzhepova, Z. Yu.] Russian Acad Sci, PP Shirshov Oceanol Inst, Moscow, Russia</t>
  </si>
  <si>
    <t>Russian Academy of Sciences; Shirshov Institute of Oceanology</t>
  </si>
  <si>
    <t>Nemirovskaya, IA (corresponding author), Russian Acad Sci, PP Shirshov Oceanol Inst, Moscow, Russia.</t>
  </si>
  <si>
    <t>nemir@ocean.ru</t>
  </si>
  <si>
    <t>Lisitzin, Alexander/S-8300-2018; Nemirovskaya, Inna/G-2392-2017; Kravchishina, Marina/B-3741-2017</t>
  </si>
  <si>
    <t>Kravchishina, Marina/0000-0001-9967-2891</t>
  </si>
  <si>
    <t>Russian Scientific Foundation of the World Ocean in the 21th Century: Climate, Ecosystems, Resources, and Catastrophes [14-50-00095]; [0149-2014-0038]</t>
  </si>
  <si>
    <t>Russian Scientific Foundation of the World Ocean in the 21th Century: Climate, Ecosystems, Resources, and Catastrophes(Russian Science Foundation (RSF));</t>
  </si>
  <si>
    <t>This study was supported by the project no. 14-50-00095 of the Russian Scientific Foundation of the World Ocean in the 21th Century: Climate, Ecosystems, Resources, and Catastrophes, and State Task no. 0149-2014-0038.</t>
  </si>
  <si>
    <t>MAIK NAUKA/INTERPERIODICA/SPRINGER</t>
  </si>
  <si>
    <t>233 SPRING ST, NEW YORK, NY 10013-1578 USA</t>
  </si>
  <si>
    <t>1028-334X</t>
  </si>
  <si>
    <t>1531-8354</t>
  </si>
  <si>
    <t>DOKL EARTH SCI</t>
  </si>
  <si>
    <t>Dokl. Earth Sci.</t>
  </si>
  <si>
    <t>10.1134/S1028334X15100074</t>
  </si>
  <si>
    <t>CV7AJ</t>
  </si>
  <si>
    <t>WOS:000364423700009</t>
  </si>
  <si>
    <t>Willis, MJ; Melkonian, AK; Pritchard, ME</t>
  </si>
  <si>
    <t>Willis, Michael J.; Melkonian, Andrew K.; Pritchard, Matthew E.</t>
  </si>
  <si>
    <t>Outlet glacier response to the 2012 collapse of the Matusevich Ice Shelf, Severnaya Zemlya, Russian Arctic</t>
  </si>
  <si>
    <t>FRANZ-JOSEF-LAND; ANTARCTIC PENINSULA; NOVAYA-ZEMLYA; LOSS RATES; SEA-ICE; ACCELERATION; SVALBARD; ICEFIELD; WIDESPREAD; RETREAT</t>
  </si>
  <si>
    <t>The Matusevich Ice Shelf (MIS), located within the Severnaya Zemlya Archipelago in the Russian Arctic, rapidly broke apart between 10 August and 7 September 2012. We examine the response of the outlet glaciers that fed the MIS from local ice caps to the removal of the ice shelf. We use spaceborne laser altimetry and multiple optically derived digital elevation models to track ice surface elevation change rates (dh/dt) between 1984 and 2014. Glacier speeds are measured by pixel-tracking from optical and RADAR imagery between 2010 and 2014 and interferometric synthetic aperture radar in 1995 to compare precollapse and postcollapse velocities. We find that the three main outlet glaciers that fed the MIS are thinning an order of magnitude more rapidly than most of the rest of Severnaya Zemyla, based upon ICESat data from 2003 to 2009. Recent, 2012 to 2014 thinning rates are three to four times faster than the 30 year average thinning rate, calculated between 1984 and 2014. The springtime speeds of the largest outlet glacier (Issledovateley) have increased more than 200% at the terminus between April 2010 and April 2014. To date, changes in surface elevation (dh/dt) and velocity at the outlet glaciers near MIS are smaller than glacier responses to ice shelf collapse in Antarctica. It is possible that the MIS was already very weak prior to the 2012 collapse and unable to support back stress. Further observations are required to assess whether the thinning and nonmelt season glacier speeds are continuing to accelerate.</t>
  </si>
  <si>
    <t>[Willis, Michael J.; Melkonian, Andrew K.; Pritchard, Matthew E.] Cornell Univ, Earth &amp; Atmospher Sci, Ithaca, NY 14850 USA; [Willis, Michael J.] Univ N Carolina, Geol Sci, Chapel Hill, NC USA</t>
  </si>
  <si>
    <t>Cornell University; University of North Carolina; University of North Carolina Chapel Hill</t>
  </si>
  <si>
    <t>Willis, MJ (corresponding author), Cornell Univ, Earth &amp; Atmospher Sci, Ithaca, NY 14850 USA.</t>
  </si>
  <si>
    <t>mike.willis@cornell.edu</t>
  </si>
  <si>
    <t>Pritchard, Matthew/L-5892-2015</t>
  </si>
  <si>
    <t>Pritchard, Matthew/0000-0003-3616-3373</t>
  </si>
  <si>
    <t>NASA grants from the Science Mission Directorate [NNX11AR14G, NNX12AO31G]; U.S. NSF grant [ANT-1043681]; NASA [12359, NNX12AO31G, 137949, NNX11AR14G] Funding Source: Federal RePORTER</t>
  </si>
  <si>
    <t>NASA grants from the Science Mission Directorate; U.S. NSF grant(National Science Foundation (NSF)); NASA(National Aeronautics &amp; Space Administration (NASA))</t>
  </si>
  <si>
    <t>This work was funded by NASA grants NNX11AR14G and NNX12AO31G from the Science Mission Directorate. TerraSAR-X data were provided through TerraSAR-X proposals GEO1523 and GEO1524. DigitalGlobe imagery was provided via the Polar Geospatial Center under U.S. NSF grant ANT-1043681. We thank Geir Moholdt for providing ICESat profiles and ice outlines and R.P. Bassford, T.J. Benham, J.A. Dowdeswell, A.F. Glazovsky, and Y.Y. Macheret for subglacial bed elevations and ice thickness measurements. We thank the University of North Carolina at Chapel Hill Research Computing group for providing computational resources that have contributed to these research results. We thank the Assistant Editor and three reviewers for their constructive comments that greatly improved the paper. Ice speeds are available from the corresponding author. Unfiltered 3 m resolution DEMs produced during this work are available through the University of Minnesota Polar Geospatial Center at http://www.pgc.umn.edu/elevation/stereo/matusevich.</t>
  </si>
  <si>
    <t>10.1002/2015JF003544</t>
  </si>
  <si>
    <t>CW3FE</t>
  </si>
  <si>
    <t>WOS:000364876600005</t>
  </si>
  <si>
    <t>Malenovsky, Z; Turnbull, JD; Lucieer, A; Robinson, SA</t>
  </si>
  <si>
    <t>Malenovsky, Zbynek; Turnbull, Johanna D.; Lucieer, Arko; Robinson, Sharon A.</t>
  </si>
  <si>
    <t>Antarctic moss stress assessment based on chlorophyll content and leaf density retrieved from imaging spectroscopy data</t>
  </si>
  <si>
    <t>NEW PHYTOLOGIST</t>
  </si>
  <si>
    <t>Bryum pseudotriquetrum; Ceratodon purpureus; hyperspectral remote sensing; leaf density (LD); moss chlorophyll content (Cab); Schistidium antarctici; stress imaging spectroscopy; turf water content (TWC)</t>
  </si>
  <si>
    <t>SUPPORT VECTOR REGRESSION; CONTINUUM REMOVAL; ULTRAVIOLET-RADIATION; PIGMENT COMPOSITION; HYPERSPECTRAL DATA; CLIMATE-CHANGE; WATER-CONTENT; REFLECTANCE; FLUORESCENCE; CANOPY</t>
  </si>
  <si>
    <t>The health of several East Antarctic moss-beds is declining as liquid water availability is reduced due to recent environmental changes. Consequently, a noninvasive and spatially explicit method is needed to assess the vigour of mosses spread throughout rocky Antarctic landscapes. Here, we explore the possibility of using near-distance imaging spectroscopy for spatial assessment of moss-bed health. Turf chlorophyll a and b, water content and leaf density were selected as quantitative stress indicators. Reflectance of three dominant Antarctic mosses Bryum pseudotriquetrum, Ceratodon purpureus and Schistidium antarctici was measured during a drought-stress and recovery laboratory experiment and also with an imaging spectrometer outdoors on water-deficient (stressed) and well-watered (unstressed) moss test sites. The stress-indicating moss traits were derived from visible and near infrared turf reflectance using a nonlinear support vector regression. Laboratory estimates of chlorophyll content and leaf density were achieved with the lowest systematic/unsystematic root mean square errors of 38.0/235.2 nmol g(-1) DW and 0.8/1.6 leaves mm(-1), respectively. Subsequent combination of these indicators retrieved from field hyperspectral images produced small-scale maps indicating relative moss vigour. Once applied and validated on remotely sensed airborne spectral images, this methodology could provide quantitative maps suitable for long-term monitoring of Antarctic moss-bed health.</t>
  </si>
  <si>
    <t>[Malenovsky, Zbynek; Turnbull, Johanna D.; Robinson, Sharon A.] Univ Wollongong, Sch Biol Sci, Ctr Sustainable Ecosyst Solut, Wollongong, NSW 2522, Australia; [Malenovsky, Zbynek; Lucieer, Arko] Univ Tasmania, Sch Land &amp; Food, Surveying &amp; Spatial Sci Grp, Hobart, Tas 7001, Australia</t>
  </si>
  <si>
    <t>University of Wollongong; University of Tasmania</t>
  </si>
  <si>
    <t>Malenovsky, Z (corresponding author), Univ Wollongong, Sch Biol Sci, Ctr Sustainable Ecosyst Solut, Northfields Ave, Wollongong, NSW 2522, Australia.</t>
  </si>
  <si>
    <t>zbynek.malenovsky@gmail.com</t>
  </si>
  <si>
    <t>Robinson, Sharon/B-2683-2008; Malenovský, Zbyněk/A-7819-2011; Lucieer, Arko/F-1247-2013</t>
  </si>
  <si>
    <t>Robinson, Sharon/0000-0002-7130-9617; Malenovský, Zbyněk/0000-0002-1271-8103; Lucieer, Arko/0000-0002-9468-4516; Turnbull, Johanna/0000-0002-4214-1675</t>
  </si>
  <si>
    <t>Australian Research Council [DP110101714]; Antarctic Science [4046]</t>
  </si>
  <si>
    <t>Australian Research Council(Australian Research Council); Antarctic Science</t>
  </si>
  <si>
    <t>This study was funded by Discovery grant DP110101714 from the Australian Research Council and Antarctic Science Grant no. 4046. The authors thank Anna Nydahl and Jessica Bramley-Alves for their indispensable field and laboratory assistance, Dr Catherine E. Lovelock for providing the moss dataset collected at Casey in 1999, Tony Veness and Darren Turner for technical assistance with the hyperspectral scanning equipment, and all participants of the Casey station Australian Antarctic expedition 2012-2013 for their genuine help. Authors are thankful for the constructive comments of anonymous reviewers that strengthened the scientific quality of the manuscript. Finally, the Australian Antarctic Division is acknowledged for field and logistic support.</t>
  </si>
  <si>
    <t>0028-646X</t>
  </si>
  <si>
    <t>1469-8137</t>
  </si>
  <si>
    <t>NEW PHYTOL</t>
  </si>
  <si>
    <t>New Phytol.</t>
  </si>
  <si>
    <t>10.1111/nph.13524</t>
  </si>
  <si>
    <t>CW0BN</t>
  </si>
  <si>
    <t>Bronze, Green Submitted</t>
  </si>
  <si>
    <t>WOS:000364654200029</t>
  </si>
  <si>
    <t>Heuchert, B; Sancho, LG; Braun, U; Hawksworth, DL</t>
  </si>
  <si>
    <t>Heuchert, Bettina; Sancho, Leopoldo G.; Braun, Uwe; Hawksworth, David L.</t>
  </si>
  <si>
    <t>Bicoloromyces kyffinensis: a new genus and species of lichen-inhabiting conidial fungi from 83°46′S</t>
  </si>
  <si>
    <t>ANTARCTIC SCIENCE</t>
  </si>
  <si>
    <t>black fungi; hyphomycetes; lichenicolous fungi; merismatic fungi; rock-inhabiting fungi; Taeniolella; Trimmatostroma</t>
  </si>
  <si>
    <t>LICHENICOLOUS FUNGI; BLACK FUNGI; BIODIVERSITY; ANTARCTICA; PHYLOGENY; CHECKLIST</t>
  </si>
  <si>
    <t>The new genus and species Bicoloromyces kyffinensis is described as new to science from a sterile crustose lichen, perhaps Lecanora fuscobrunnea or Lecidella sp. from Ebony Ridge of Mount Kyffin, Antarctica. The fungus recalls superficially the lichenicolous species referred to Taeniolella, but differs in having semi-macronematous conidiophores, tissues encrusted with calcium oxalate, aeruginose to blue-black colouration under the microscope, and conidia which are distoseptate and formed in basipetal chains. Energy dispersive spectroscopy established that the encrustations were of calcium oxalate. Differences from genera of rock-inhabiting fungi described from the Antarctic are discussed. This appears to be the furthest south any lichen-inhabiting fungus has been reported.</t>
  </si>
  <si>
    <t>[Heuchert, Bettina; Braun, Uwe] Univ Halle Wittenberg, Inst Biol, Dept Geobot &amp; Bot Garden, Herbarium, D-06099 Halle, Germany; [Sancho, Leopoldo G.; Hawksworth, David L.] Univ Complutense Madrid, Fac Farm, Dept Biol Vegetal 2, E-28040 Madrid, Spain; [Hawksworth, David L.] Nat Hist Museum, Dept Life Sci, London SW7 5BD, England; [Hawksworth, David L.] Royal Bot Gardens, Mycol Sect, Richmond TW9 3DS, England</t>
  </si>
  <si>
    <t>Martin Luther University Halle Wittenberg; Complutense University of Madrid; Natural History Museum London; Royal Botanic Gardens, Kew</t>
  </si>
  <si>
    <t>Hawksworth, DL (corresponding author), Univ Complutense Madrid, Fac Farm, Dept Biol Vegetal 2, Plaza Ramon &amp; Cajal, E-28040 Madrid, Spain.</t>
  </si>
  <si>
    <t>d.hawksworth@nhm.ac.uk</t>
  </si>
  <si>
    <t>SANCHO, LEOPOLDO/G-9120-2015</t>
  </si>
  <si>
    <t>SANCHO, LEOPOLDO/0000-0002-4751-7475</t>
  </si>
  <si>
    <t>Antarctica New Zealand; Ministerio de Educacion y Ciencia of Spain [CGL 2006-12179-C02-01, CGL 2007-64635]; Ministerio de Economia y Competitividad of Spain [CTM2012-38222-C02-01, CGL2011-25003]</t>
  </si>
  <si>
    <t>Antarctica New Zealand; Ministerio de Educacion y Ciencia of Spain(Spanish Government); Ministerio de Economia y Competitividad of Spain(Spanish Government)</t>
  </si>
  <si>
    <t>The expeditions on which the fungus described here was collected were organized and supported by Antarctica New Zealand and partially funded by grants from the Ministerio de Educacion y Ciencia of Spain (project CGL 2006-12179-C02-01) and the Ministerio de Economia y Competitividad of Spain (project CTM2012-38222-C02-01). Very special thanks go to Allan Green, for planning and making the Antarctic expeditions possible and to Ian Hogg, head of the 2011 field trip. We are indebted to Sybren de Hoog and Laura Selbmann for repeated attempts to culture the fungus for us so it could be sequenced, to Jacek Wierzchos for preparing the scanning electron micrographs, and to Sergio Perez Ortega for discussions on the identity of the host lichen, including obtaining molecular sequences of the putative host lichens from the type locality. We also appreciated comments of two anonymous referees on our original submission. Studies on the lichenicolous fungus were carried out while D.L.H. was in receipt of grants from the Ministerio de Educacion y Ciencia of Spain (project CGL 2007-64635) and the Ministerio de Economia y Competitividad of Spain (project CGL2011-25003).</t>
  </si>
  <si>
    <t>0954-1020</t>
  </si>
  <si>
    <t>1365-2079</t>
  </si>
  <si>
    <t>ANTARCT SCI</t>
  </si>
  <si>
    <t>Antarct. Sci.</t>
  </si>
  <si>
    <t>10.1017/S0954102015000048</t>
  </si>
  <si>
    <t>Environmental Sciences; Geography, Physical; Geosciences, Multidisciplinary</t>
  </si>
  <si>
    <t>Environmental Sciences &amp; Ecology; Physical Geography; Geology</t>
  </si>
  <si>
    <t>CV0LN</t>
  </si>
  <si>
    <t>WOS:000363942300002</t>
  </si>
  <si>
    <t>Giraldo, C; Mayzaud, P; Tavernier, E; Boutoute, M; Penot, F; Koubbi, P</t>
  </si>
  <si>
    <t>Giraldo, Carolina; Mayzaud, Patrick; Tavernier, Eric; Boutoute, Marc; Penot, Florian; Koubbi, Philippe</t>
  </si>
  <si>
    <t>Lipid dynamics and trophic patterns in Pleuragramma antarctica life stages</t>
  </si>
  <si>
    <t>fatty acids; feeding patterns; ontogenetic changes</t>
  </si>
  <si>
    <t>DUMONT DURVILLE SEA; SPATIAL-DISTRIBUTION; INTERANNUAL VARIATIONS; NOTOTHENIOID FISH; FEEDING ECOLOGY; EAST ANTARCTICA; MCMURDO SOUND; FATTY-ACIDS; ROSS SEA; FOOD-WEB</t>
  </si>
  <si>
    <t>The aim of this study was to clarify the trophic patterns of the key species Pleuragramma antarctica in the Dumont d'Urville Sea, through its development and possible changes according to sampling locations. Variability in diet composition of larvae, juvenile and adult P. antarctica was analysed using fatty acid markers. Analysis of lipid class in P. antarctica reflected lipid accumulation with increasing size at all sampling stations. The fatty acid composition of triacylglycerol highlighted ontogenetic changes in the diet. Phytoplankton markers, such as C16PUFA:C16 and EPA:DHA ratios &gt;1, and carnivorous markers in larvae suggested an omnivorous diet. Comparison between the fatty acid signature of P. antarctica older stages (juveniles and adults) and zooplankton species using OPLS-discriminant analysis indicated that juveniles fed mainly on euphausiid larvae and to a minor extent on copepods, and confirmed that non-herbivorous copepods were the main prey for adults. Our results suggest that different feeding patterns and a generalist strategy in P. antarctica with juveniles feeding on bigger prey than adults, probably as a result of prey availability according to their vertical segregation pattern.</t>
  </si>
  <si>
    <t>[Giraldo, Carolina; Penot, Florian; Koubbi, Philippe] Univ Paris 06, Unite Mixte Rech 7093, Lab Oceanog Villefranche, F-06234 Villefranche Sur Mer, France; [Giraldo, Carolina; Mayzaud, Patrick; Boutoute, Marc; Penot, Florian; Koubbi, Philippe] CNRS, Unite Mixte Rech 7093, Lab Oceanog Villefranche, F-06234 Villefranche Sur Mer, France; [Tavernier, Eric] Univ Lille Nord France, F-59000 Lille, France; [Tavernier, Eric] Univ Littoral Cote dOpale, Lab Oceanol &amp; Geosci, F-62930 Wimereux, France</t>
  </si>
  <si>
    <t>Sorbonne Universite; Sorbonne Universite; Centre National de la Recherche Scientifique (CNRS); Universite de Lille; Universite du Littoral-Cote-d'Opale</t>
  </si>
  <si>
    <t>Mayzaud, P (corresponding author), CNRS, Unite Mixte Rech 7093, Lab Oceanog Villefranche, F-06234 Villefranche Sur Mer, France.</t>
  </si>
  <si>
    <t>mayzaud@obs-vlfr.fr</t>
  </si>
  <si>
    <t>Koubbi, Philippe/D-5873-2015</t>
  </si>
  <si>
    <t>Giraldo, Carolina/0000-0003-0278-522X</t>
  </si>
  <si>
    <t>French Polar Institute (IPEV); ANR Glides; ANR Antflocks</t>
  </si>
  <si>
    <t>French Polar Institute (IPEV); ANR Glides(Agence Nationale de la Recherche (ANR)); ANR Antflocks(Agence Nationale de la Recherche (ANR))</t>
  </si>
  <si>
    <t>The Umitaka Maru and l'Astrolabe cruises were part of the CEAMARC which was a contribution to the Census of Antarctic Marine Life. This study was part of the ICO2TA French project supported by the French Polar Institute (IPEV) with the aim of collecting information on the composition of Antarctic communities on the Antarctic continental shelf. The authors thank the crew, captains and cruise leaders from the l'Astrolabe and Umitaka Maru who helped collect samples. The work was supported financially and logistically by the ANR Glides and ANR Antflocks. The authors also thank the editor and unknown reviewer whose comments improved the manuscript considerably.</t>
  </si>
  <si>
    <t>10.1017/S0954102015000036</t>
  </si>
  <si>
    <t>WOS:000363942300003</t>
  </si>
  <si>
    <t>Novis, PM; Aislabie, J; Turner, S; McLeod, M</t>
  </si>
  <si>
    <t>Novis, Phil M.; Aislabie, Jackie; Turner, Susan; McLeod, Malcolm</t>
  </si>
  <si>
    <t>Chlorophyta, Xanthophyceae and Cyanobacteria in Wright Valley, Antarctica</t>
  </si>
  <si>
    <t>algae; biogeography; dispersal; distribution</t>
  </si>
  <si>
    <t>VICTORIA LAND; DIVERSITY; ALGAE; COMMUNITIES; SOILS</t>
  </si>
  <si>
    <t>Wright Valley, Victoria Land contains numerous aquatic habitats suitable for the growth of algae in summer. Excepting diatoms and lichen phycobionts, algal diversity and distribution in the valley was documented. Using cultures and environmental cloning eight cyanobacterial and 14 eukaryotic species were revealed. The cyanobacterium Microcoleus vaginatus and the chlorophycean Chlorococcum sp. 1 were the most common, both occurring in more than one habitat (ponds, soils or streams). Ponds harboured the most diverse communities. Habitat specialization was rare. Chlamydomonads were not found outside ponds, but species capable of zoospore production were able to colonize ponds and soils. Nostocalean cyanobacteria were not detected. Results suggest dispersal within and between valleys, with little evidence of Antarctic endemism. All but one cyanobacterium with similar internally transcribed spacer (ITS) length to clones from Miers Valley proved to be different species when 16S rRNA gene sequences were also considered; thus, ITS length is unreliable for assessing identity and biogeography of these cyanobacteria. Comparison with a 454 16S rRNA gene soil dataset from Wright Valley indicated the occurrence of only one of the cyanobacterial species, the distribution of which may be limited by salinity.</t>
  </si>
  <si>
    <t>[Novis, Phil M.] Landcare Res, Allan Herbarium, Lincoln 7640, New Zealand; [Aislabie, Jackie; McLeod, Malcolm] Landcare Res, Hamilton 3240, New Zealand; [Turner, Susan] BioDiscovery NZ, Auckland, New Zealand</t>
  </si>
  <si>
    <t>Landcare Research - New Zealand; Landcare Research - New Zealand</t>
  </si>
  <si>
    <t>Novis, PM (corresponding author), Landcare Res, Allan Herbarium, POB 69040, Lincoln 7640, New Zealand.</t>
  </si>
  <si>
    <t>NovisP@landcareresearch.co.nz</t>
  </si>
  <si>
    <t>Novis, Phil/0000-0002-8802-4984</t>
  </si>
  <si>
    <t>New Zealand Ministry of Business, Innovation and Employment [CO9X1001]</t>
  </si>
  <si>
    <t>New Zealand Ministry of Business, Innovation and Employment(New Zealand Ministry of Business, Innovation and Employment (MBIE))</t>
  </si>
  <si>
    <t>Logistic support in Antarctica was provided by Antarctica New Zealand Event K123. Funding was provided by the New Zealand Ministry of Business, Innovation and Employment (under contract CO9X1001). Two anonymous referees provided very helpful comments that strengthened the manuscript.</t>
  </si>
  <si>
    <t>10.1017/S0954102015000164</t>
  </si>
  <si>
    <t>WOS:000363942300004</t>
  </si>
  <si>
    <t>Juáres, MA; Santos, M; Negrete, J; Mennucci, JA; Perchivale, PJ; Casaux, R; Coria, NR</t>
  </si>
  <si>
    <t>Juares, Mariana A.; Santos, Mercedes; Negrete, Javier; Mennucci, Jorge A.; Perchivale, Pablo J.; Casaux, Ricardo; Coria, Nestor R.</t>
  </si>
  <si>
    <t>Adelie penguin population changes at Stranger Point: 19 years of monitoring</t>
  </si>
  <si>
    <t>Antarctica; population decline; Pygoscelis adeliae; South Shetland Islands; terrestrial environmental variability</t>
  </si>
  <si>
    <t>ANTARCTIC PENINSULA REGION; PYGOSCELIS PENGUINS; SEA-ICE; VARIABILITY; SUCCESS; TREND</t>
  </si>
  <si>
    <t>The Adelie penguin (Pygoscelis adeliae) breeding population at Stranger Point, King George Island (25 de Mayo), increased in number from 1965/66 until 1980/81 after which it started to decrease almost continuously up to the present. A significant decrease in the number of breeding pairs and chicks creched was observed between 1995/96 and 2013/14 (75% and 78%, respectively), although the rate of this decrease has slowed since 2006/07. Over the last seven years, larger interannual fluctuations were recorded in the number of breeding pairs and chicks in creches, as well in the breeding success. The values for the index of breeding success during 2007/08, 2009/10 and 2012/13 were low and this parameter showed higher temporal fluctuation in the period 2007/08 to 2013/14. The reduction in breeding success and the number of chicks reared to creche will unfavourably impact on future population size at Stranger Point through the reduction of new recruits. Although Adelie penguin population trends on the Antarctic Peninsula are linked to the marine environment variability (i.e. reduction in sea ice affecting the availability of prey), breeding success is also influenced by the amount of snow fall which has increased in recent years.</t>
  </si>
  <si>
    <t>[Juares, Mariana A.; Santos, Mercedes; Negrete, Javier; Mennucci, Jorge A.; Perchivale, Pablo J.; Casaux, Ricardo; Coria, Nestor R.] Inst Antartico Argentino, Dept Biol Predadores Tope, Buenos Aires, DF, Argentina; [Casaux, Ricardo] Consejo Nacl Invest Cient &amp; Tecn, RA-1033 Buenos Aires, DF, Argentina</t>
  </si>
  <si>
    <t>Instituto Antartico Argentino; Consejo Nacional de Investigaciones Cientificas y Tecnicas (CONICET)</t>
  </si>
  <si>
    <t>Juáres, MA (corresponding author), Inst Antartico Argentino, Dept Biol Predadores Tope, Balcarce 290,C1064AAF, Buenos Aires, DF, Argentina.</t>
  </si>
  <si>
    <t>marianajuares@hotmail.com</t>
  </si>
  <si>
    <t>Negrete, Javier/0000-0001-6853-8307; Juares, Mariana A./0000-0002-6763-0416</t>
  </si>
  <si>
    <t>Instituto Antartico Argentino</t>
  </si>
  <si>
    <t>We want to thank L. Longarzo, E. Moreira, G. Donnini, S. Mut Coll, M. Gray, P. Moran, B. Fusaro, P. Pastorizo, A. Pereira and A. Silvestro for help with the data collection associated with this study. The permit for this work was granted by the Direccion Nacional del Antartico (Environmental Office). The Instituto Antartico Argentino provided financial and logistical support. We also thank the reviewers and Professor David Walton for their helpful suggestions on improving the paper.</t>
  </si>
  <si>
    <t>10.1017/S0954102015000152</t>
  </si>
  <si>
    <t>WOS:000363942300005</t>
  </si>
  <si>
    <t>Alfonso, JA; Vasquez, Y; Hernandez, AC; Mora, A; Handt, H; Sira, E</t>
  </si>
  <si>
    <t>Alfonso, Juan A.; Vasquez, Yaneth; Hernandez, Ana C.; Mora, Abrahan; Handt, Helga; Sira, Eloy</t>
  </si>
  <si>
    <t>Geochemistry of recent lacustrine sediments from Fildes Peninsula, King George Island, maritime Antarctica</t>
  </si>
  <si>
    <t>chemical weathering; comprehensive geochemical characterization; lake sediments; South Shetlands Islands</t>
  </si>
  <si>
    <t>SOUTH-SHETLAND ISLANDS; LIVINGSTON ISLAND; BYERS PENINSULA; TRACE-ELEMENTS; SOILS; CHEMISTRY; SHELF; BAY</t>
  </si>
  <si>
    <t>Comprehensive geochemical analyses (bulk parameters, major and trace elements, organic matter, mineralogy and particle analysis) were carried out on sediments from seven lakes on Fildes Peninsula, King George Island. The resulting compositional dataset was subjected to principal component analysis and cluster analysis. The results showed that four different lacustrine sedimentary environments can be distinguished: i) lakes 1 and 2 with relatively high values of secondary aluminous clay minerals, ii) lake 4 with anthropogenic enrichment of Co, Cu and Zn, iii) lake 7 with relatively high values of Ba and P and a high zeolite content, and iv) all the other studied lakes. Our results indicate moderate chemical weathering in all lacustrine sediments and that the distance to the glacial ice margin is one of the most important factors influencing the chemical weathering in the area. Furthermore, depositional processes have little influence on the geochemistry of the investigated elements and that local bedrock is the main source of sediments in the lakes on Fildes Peninsula.</t>
  </si>
  <si>
    <t>[Alfonso, Juan A.; Vasquez, Yaneth; Hernandez, Ana C.; Mora, Abrahan; Handt, Helga; Sira, Eloy] IVIC, Ctr Oceanol &amp; Estudios Antarticos, Caracas 1020A, Venezuela</t>
  </si>
  <si>
    <t>Venezuelan Institute Science Research</t>
  </si>
  <si>
    <t>Alfonso, JA (corresponding author), IVIC, Ctr Oceanol &amp; Estudios Antarticos, Apartado 20632, Caracas 1020A, Venezuela.</t>
  </si>
  <si>
    <t>jalfonso@ivic.gob.ve</t>
  </si>
  <si>
    <t>Mora, Abrahan/0000-0002-9132-5622</t>
  </si>
  <si>
    <t>FONACIT-Venezuela</t>
  </si>
  <si>
    <t>This project was supported by the FONACIT-Venezuela. We thank Carlos Bastidas, Jackson Ojeda and Juan Manuel Carrera for their assistance. The authors extend their gratitude to Instituto Ant~rtico Chileno (INACH) and Programa Antartico Brasileiro (PROANTAR) for their assistance during sampling. The authors also thank the reviewers for their valuable comments.</t>
  </si>
  <si>
    <t>10.1017/S0954102015000127</t>
  </si>
  <si>
    <t>WOS:000363942300006</t>
  </si>
  <si>
    <t>Salvatore, MR</t>
  </si>
  <si>
    <t>Salvatore, M. R.</t>
  </si>
  <si>
    <t>High-resolution compositional remote sensing of the Transantarctic Mountains: application to the WorldView-2 dataset</t>
  </si>
  <si>
    <t>biology; geochemistry; geology; mapping; spectroscopy; weathering</t>
  </si>
  <si>
    <t>DRY VALLEYS; ANTARCTICA; GLACIER; HISTORY; CLIMATE</t>
  </si>
  <si>
    <t>The WorldView-2 (WV2) instrument, operated by DigitalGlobe, is the only high-resolution multispectral sensor currently capable of imaging the entirety of the Transantarctic Mountains (TAM), making it a valuable resource for remote compositional investigations. Through the utility of both field-and laboratory-based verification techniques, this study shows that biotic and abiotic chemical variations can be readily observed and mapped remotely. Within the McMurdo Dry Valleys (MDV), primary compositional variability, intra-lithologic compositional heterogeneity and variations in surface weathering and oxidation can be successfully identified and mapped, providing confidence in both the spectral capabilities of the WV2 instrument and the methodologies associated with calibrating and correcting these data. These studies within the MDV provide confidence in extending these analyses to more remote regions of the TAM, including the vicinity of Shackleton Glacier. The identification of comparable geochemical variations in these remote locations provides valuable additions to the currently available geologic maps at much lower spatial resolutions. This work confirms the utility of the WV2 instrument to identifying, quantifying and mapping geochemical variations throughout the TAM, supporting future field work and providing geospatial context for localized field and laboratory analyses.</t>
  </si>
  <si>
    <t>Arizona State Univ, Sch Earth &amp; Space Explorat, Mars Space Flight Facil, Tempe, AZ 85287 USA</t>
  </si>
  <si>
    <t>Arizona State University; Arizona State University-Tempe</t>
  </si>
  <si>
    <t>Salvatore, MR (corresponding author), Arizona State Univ, Sch Earth &amp; Space Explorat, Mars Space Flight Facil, 201 E Orange Mall, Tempe, AZ 85287 USA.</t>
  </si>
  <si>
    <t>msalvatore@asu.edu</t>
  </si>
  <si>
    <t>National Science Foundation [ANT-1414378, ANT-0739702]; Directorate For Geosciences; Office of Polar Programs (OPP) [1613825, 1141906] Funding Source: National Science Foundation</t>
  </si>
  <si>
    <t>National Science Foundation(National Science Foundation (NSF)); Directorate For Geosciences; Office of Polar Programs (OPP)(National Science Foundation (NSF)NSF - Directorate for Geosciences (GEO))</t>
  </si>
  <si>
    <t>MRS would like to acknowledge the assistance of his collaborators, particularly P. Morin, G. Roth and other staff at the Polar Geospatial Center at the University of Minnesota. Helpful discussions and revisions by P. Christensen, J. Dickson, C.R.M. Jackson, E.G. Rivera-Valentin, J. Smellie, the editorial staff and the anonymous reviewers were greatly appreciated. MRS would also like to thank J. Bell, J. Mustard and M. Tedesco for assistance with spectral measurements, and A. Grunow and the Polar Rock Repository at the Byrd Polar Research Center at the Ohio State University for their generosity and assistance with sample analyses. This work was funded by National Science Foundation grant ANT-1414378 to MRS, with preliminary spectral measurements and ground truthing performed under ANT-0739702 (J.W. Head, Brown University). MRS was the sole contributor to the content of this manuscript.</t>
  </si>
  <si>
    <t>10.1017/S095410201500019X</t>
  </si>
  <si>
    <t>WOS:000363942300007</t>
  </si>
  <si>
    <t>Rella, S; Malitesta, C</t>
  </si>
  <si>
    <t>Rella, Simona; Malitesta, Cosimino</t>
  </si>
  <si>
    <t>X-ray photoelectron spectroscopy characterization of aerosol particles in Antarctica</t>
  </si>
  <si>
    <t>Antarctic particulate matter; surface characterization of particulate; XPS</t>
  </si>
  <si>
    <t>ATMOSPHERE; SAMPLES; SUMMER; SNOW; XPS</t>
  </si>
  <si>
    <t>Qualitative and quantitative analysis of surface species on size-segregated atmospheric particulate collected in Antarctica during the 2010-11 summer was performed by X-ray photoelectron spectroscopy (XPS). This represents the first example of surface characterization of Antarctic aerosols. The size class with particle cut-off diameter of 3 mu m was richest in terms of chemical elements. Peculiar findings of the application included detection of Ca (possibly surface-segregated) and surface enrichment of Mg. The determination of nitrate, ammonium and sulphate species on collection filters provides evidence for a possible advantage of XPS over more laborious techniques (e.g. ion chromatography). The presence of these species is in reasonable agreement with other recent reports from Antarctica.</t>
  </si>
  <si>
    <t>[Rella, Simona; Malitesta, Cosimino] Univ Salento, Analyt Chem Lab, Dept Biol &amp; Environm Sci &amp; Technol, DiSTeBA, I-73100 Lecce, Italy</t>
  </si>
  <si>
    <t>University of Salento</t>
  </si>
  <si>
    <t>Rella, S (corresponding author), Univ Salento, Analyt Chem Lab, Dept Biol &amp; Environm Sci &amp; Technol, DiSTeBA, Via Monteroni, I-73100 Lecce, Italy.</t>
  </si>
  <si>
    <t>cosimino.malitesta@unisalento.it</t>
  </si>
  <si>
    <t>Malitesta, Cosimino/A-4065-2011; Rella, Simona/E-2247-2015</t>
  </si>
  <si>
    <t>Malitesta, Cosimino/0000-0002-3547-210X; Rella, Simona/0000-0003-2255-4664</t>
  </si>
  <si>
    <t>Italian MIUR through the PNRA [PROGDEF 09_153]; project PON 254/Ric [Cod. PONa3_00334]</t>
  </si>
  <si>
    <t>Italian MIUR through the PNRA; project PON 254/Ric</t>
  </si>
  <si>
    <t>Financial support was provided by Italian MIUR through the PNRA 2009 (Project PROGDEF 09_153) and by project PON 254/Ric Cod. PONa3_00334. The authors greatly thank the anonymous reviewer who suggested an interpretation of sulphate results based on local sources.</t>
  </si>
  <si>
    <t>10.1017/S0954102015000176</t>
  </si>
  <si>
    <t>WOS:000363942300008</t>
  </si>
  <si>
    <t>Pittard, ML; Roberts, JL; Watson, CS; Galton-Fenzi, BK; Warner, RC; Coleman, R</t>
  </si>
  <si>
    <t>Pittard, M. L.; Roberts, J. L.; Watson, C. S.; Galton-Fenzi, B. K.; Warner, R. C.; Coleman, R.</t>
  </si>
  <si>
    <t>Velocities of the Amery Ice Shelf's primary tributary glaciers, 2004-12</t>
  </si>
  <si>
    <t>feature tracking; glacier flow; GPS; Landsat</t>
  </si>
  <si>
    <t>EAST ANTARCTICA; MASS-BALANCE; SHEET; SURFACE; FLOW</t>
  </si>
  <si>
    <t>Monitoring the rate of ice flow into ice shelves is vital to understanding how, where and when mass changes occur in Antarctica. Previous observations of ice surface velocity indicate that the Amery Ice Shelf and tributary glaciers have been relatively stable over the period 1968 to 1999. This study measured the displacement of features on the ice surface over a sequence of Landsat 7 images separated by approximately one year and spanning 2004 to 2012 using the surface feature tracking software IMCORR. The focus is on the region surrounding the southern grounding zone of the Amery Ice Shelf and its primary tributary glaciers: the Fisher, Lambert and Mellor glaciers. No significant changes in surface velocity were observed over this period. Accordingly, the velocity fields from each image pair between 2004 and 2012 were used to synthesize an average velocity dataset of the Amery Ice Shelf region and to compare it to previously published velocity datasets and in situ global positioning system velocity observations. No significant change in ice surface velocities was found between 2004 and 2012 in the Amery Ice Shelf region, which suggests that it continues to remain stable.</t>
  </si>
  <si>
    <t>[Pittard, M. L.; Coleman, R.] Univ Tasmania, Inst Marine &amp; Antarctic Studies, Hobart, Tas 7004, Australia; [Pittard, M. L.; Roberts, J. L.; Galton-Fenzi, B. K.; Warner, R. C.; Coleman, R.] Univ Tasmania, Antarctic Climate &amp; Ecosyst Cooperat Res Ctr, Hobart, Tas 7004, Australia; [Roberts, J. L.; Galton-Fenzi, B. K.; Warner, R. C.] Australian Antarctic Div, Kingston, Tas 7050, Australia; [Watson, C. S.] Univ Tasmania, Sch Land &amp; Food, Hobart, Tas 7001, Australia</t>
  </si>
  <si>
    <t>University of Tasmania; University of Tasmania; Antarctic Climate &amp; Ecosystems Cooperative Research Centre (ACE CRC); Australian Antarctic Division; University of Tasmania</t>
  </si>
  <si>
    <t>Pittard, ML (corresponding author), Univ Tasmania, Inst Marine &amp; Antarctic Studies, Hobart, Tas 7004, Australia.</t>
  </si>
  <si>
    <t>mark.pittard@utas.edu.au</t>
  </si>
  <si>
    <t>Warner, Roland Charles/ISS-2485-2023; Warner, Robert R./M-5342-2013; Watson, Christopher S/D-4707-2013; Roberts, Jason L/B-2235-2012; Coleman, Richard/H-4425-2012</t>
  </si>
  <si>
    <t>Warner, Roland Charles/0000-0002-9778-3544; Roberts, Jason L/0000-0002-3477-4069; Watson, Christopher/0000-0002-7464-4592; Pittard, Mark/0000-0002-9026-7571; Coleman, Richard/0000-0002-9731-7498; Galton-Fenzi, Benjamin Keith/0000-0003-1404-4103</t>
  </si>
  <si>
    <t>Australian Government's Cooperative Research Centres programme through the Antarctic Climate &amp; Ecosystems Cooperative Research Centre (ACE CRC)</t>
  </si>
  <si>
    <t>Australian Government's Cooperative Research Centres programme through the Antarctic Climate &amp; Ecosystems Cooperative Research Centre (ACE CRC)(Australian GovernmentDepartment of Industry, Innovation and ScienceCooperative Research Centres (CRC) Programme)</t>
  </si>
  <si>
    <t>This work was supported by the Australian Government's Cooperative Research Centres programme through the Antarctic Climate &amp; Ecosystems Cooperative Research Centre (ACE CRC). Landsat7 images courtesy of the US Geological Survey. The VAIS dataset and associated velocity and error files for each image pair used within will be made available on the Australian Antarctic Data Centre (https://data.aad.gov.au/). We thank Allen Pope and an anonymous reviewer for comments and suggestions that greatly improved this paper.</t>
  </si>
  <si>
    <t>10.1017/S0954102015000231</t>
  </si>
  <si>
    <t>WOS:000363942300010</t>
  </si>
  <si>
    <t>Campbell, KA; Lynne, BY; Handley, KM; Jordan, S; Farmer, JD; Guido, DM; Foucher, F; Turner, S; Perry, RS</t>
  </si>
  <si>
    <t>Campbell, Kathleen A.; Lynne, Bridget Y.; Handley, Kim M.; Jordan, Sacha; Farmer, Jack D.; Guido, Diego M.; Foucher, Frederic; Turner, Susan; Perry, Randall S.</t>
  </si>
  <si>
    <t>Tracing Biosignature Preservation of Geothermally Silicified Microbial Textures into the Geological Record</t>
  </si>
  <si>
    <t>ASTROBIOLOGY</t>
  </si>
  <si>
    <t>Hot springs; Diagenesis; Silica; Microbial mats; Fossilization</t>
  </si>
  <si>
    <t>YELLOWSTONE-NATIONAL-PARK; TAUPO VOLCANIC ZONE; HOT-SPRING DEPOSITS; NORTH-ISLAND; OPAL-A; CHAMPAGNE POOL; NEW-ZEALAND; ANTARCTIC PENINSULA; SILICA MINERALS; LOW-TEMPERATURE</t>
  </si>
  <si>
    <t>New Zealand and Argentine (Late Jurassic-Recent) siliceous hot-spring deposits (sinter) reveal preservation pathways of environmentally controlled, microbe-dominated sedimentary facies over geological time scales. Texturally distinctive, laminated to thinly layered, dense and vertically oriented, microtubular palisade fabric is common in low-temperature (&lt;40 degrees C) sinter-apron terraces. In modern hot springs, the dark green to brown, sheathed, photosynthetic cyanobacterium Calothrix spp. (family Rivulariaceae) constructs felted palisade mats in shallow terrace(tte) pools actively accreting opaline silica. The resulting stacked layers of silicified coarse filamentsa stromatoliteare highly porous and readily modified by postdepositional environmental perturbations, secondary silica infill, and diagenetic silica phase mineral transformations (opal-A to quartz). Fossil preservation quality is affected by relative timing of silicification, and later environmental and geological events. A systematic approach was used to characterize palisade fabric in sinters of different ages to refine tools for recognizing biosignatures in extreme environments and to track their long-term preservation pathways into the geological record. Molecular techniques, scanning electron microscopy, Raman spectrometry, X-ray powder diffraction, petrography, and lipid biomarker analyses were applied. Results indicate that microbial communities vary at the micron scale and that early and rapid silicification is paramount to long-term preservation, especially where minimal postdepositional disturbance follows fossilization. Overall, it appears that the most robust biomarkers of fossil microbial activity in hot-spring deposits are their characteristic macro- and microtextures and laser micro-Raman identified carbon. Studies of Phanerozoic geothermal deposits with mineralized microbial components are relevant analogs for Precambrian geobiology because early life is commonly preserved as microbial microfossils and biofilms in silica, some of it hydrothermal in origin. Yet the diagenetic movie has already been run. Hence, studying younger sinters of a range of ages provides an opportunity to play it again and follow the varied influences on biosignatures into the deep-time geological record.</t>
  </si>
  <si>
    <t>[Campbell, Kathleen A.] Univ Auckland, Sch Environm, Earth Sci Programme, Auckland 1142, New Zealand; [Lynne, Bridget Y.] Univ Auckland, Dept Engn Sci, Auckland 1142, New Zealand; [Handley, Kim M.] Univ Chicago, Dept Ecol &amp; Evolut, Chicago, IL 60637 USA; [Handley, Kim M.; Jordan, Sacha] Univ Auckland, Sch Biol Sci, Auckland 1142, New Zealand; [Farmer, Jack D.] Arizona State Univ, Sch Earth &amp; Space Explorat, Tempe, AZ USA; [Guido, Diego M.] CONICET UNLP, Inst Recursos Minerales, La Plata, Buenos Aires, Argentina; [Foucher, Frederic] CNRS, Ctr Biophys Mol, Exobiol Res Grp, Orleans, France; [Turner, Susan] BioConsortia Inc, Davis, CA USA; [Perry, Randall S.] Univ London Imperial Coll Sci Technol &amp; Med, Earth Sci &amp; Engn, Impacts &amp; Astromat Res Ctr, London, England</t>
  </si>
  <si>
    <t>University of Auckland; University of Auckland; University of Chicago; University of Auckland; Arizona State University; Arizona State University-Tempe; Consejo Nacional de Investigaciones Cientificas y Tecnicas (CONICET); Centre National de la Recherche Scientifique (CNRS); Imperial College London; Natural History Museum London</t>
  </si>
  <si>
    <t>Campbell, KA (corresponding author), Univ Auckland, Sch Environm, Earth Sci Programme, Private Bag 92019, Auckland 1142, New Zealand.</t>
  </si>
  <si>
    <t>ka.campbell@auckland.ac.nz</t>
  </si>
  <si>
    <t>Perry, Randall/GQH-4507-2022; Farmer, Jack D/B-9343-2019</t>
  </si>
  <si>
    <t>Handley, Kim/0000-0003-0531-3009; Guido, Diego/0000-0003-4696-5644; Campbell, Kathleen/0000-0002-4815-2519; Foucher, Frederic/0000-0002-6037-8633</t>
  </si>
  <si>
    <t>Royal Society of New Zealand's Marsden Fund; National Geographic Society field grant; LE STUDIUM Institute for Advanced Studies, France</t>
  </si>
  <si>
    <t>Royal Society of New Zealand's Marsden Fund(Royal Society of New ZealandMarsden Fund (NZ)); National Geographic Society field grant(National Geographic Society); LE STUDIUM Institute for Advanced Studies, France</t>
  </si>
  <si>
    <t>Financial support was provided by the Royal Society of New Zealand's Marsden Fund to K.A.C., a National Geographic Society field grant to D.M.G. and K.A.C., and by a research fellowship to K.A.C. from the LE STUDIUM Institute for Advanced Studies, France. Andres Arcila, Louise Cotterall, Catherine Hobbis, Bryony James, Michel Nieuwoudt, and Ritchie Sims kindly furnished laboratory analyses, technical support, and/or fruitful discussions.</t>
  </si>
  <si>
    <t>MARY ANN LIEBERT, INC</t>
  </si>
  <si>
    <t>NEW ROCHELLE</t>
  </si>
  <si>
    <t>140 HUGUENOT STREET, 3RD FL, NEW ROCHELLE, NY 10801 USA</t>
  </si>
  <si>
    <t>1531-1074</t>
  </si>
  <si>
    <t>1557-8070</t>
  </si>
  <si>
    <t>Astrobiology</t>
  </si>
  <si>
    <t>OCT 1</t>
  </si>
  <si>
    <t>10.1089/ast.2015.1307</t>
  </si>
  <si>
    <t>Astronomy &amp; Astrophysics; Biology; Geosciences, Multidisciplinary</t>
  </si>
  <si>
    <t>Astronomy &amp; Astrophysics; Life Sciences &amp; Biomedicine - Other Topics; Geology</t>
  </si>
  <si>
    <t>CV0HI</t>
  </si>
  <si>
    <t>WOS:000363930700009</t>
  </si>
  <si>
    <t>Nguyen, H; Van, TD; Le, L</t>
  </si>
  <si>
    <t>Hung Nguyen; Thanh Dac Van; Ly Le</t>
  </si>
  <si>
    <t>Coarse grained simulation reveals antifreeze properties of hyperactive antifreeze protein from Antarctic bacterium Colwellia sp.</t>
  </si>
  <si>
    <t>CHEMICAL PHYSICS LETTERS</t>
  </si>
  <si>
    <t>ICE-BINDING SITE; MOLECULAR-DYNAMICS; SPRUCE BUDWORM; MECHANISM; PEPTIDES; CRYSTALS</t>
  </si>
  <si>
    <t>The novel hyperactive antifreeze protein (AFP) of Antarctic sea ice bacterium Colwellia sp. provides a target for studying the protection of psychrophilic microgoranisms against freezing environment. Interestingly, the Colwellia sp. hyperactive antifreeze protein (ColAFP) was crystallized without the structural dynamic characteristics. Here, the result indicated, through coarse grained simulation of ColAFP under various subfreezing temperature, that ColAFP remains active at temperature of equal and greater than 275 K (similar to 2 degrees C). Extensive simulation analyses also revealed the adaptive mechanism of ColAFP in subfreezing environment. Our result provides a structural dynamic understanding of the ColAFP. (C) 2015 Published by Elsevier B.V.</t>
  </si>
  <si>
    <t>[Hung Nguyen; Thanh Dac Van; Ly Le] Life Sci Lab Inst Computat Sci &amp; Technol, Ho Chi Minh City, Vietnam; [Thanh Dac Van; Ly Le] Vietnam Natl Univ, Ho Chi Minh Int Univ, Sch Biotechnol, Ho Chi Minh, Vietnam</t>
  </si>
  <si>
    <t>Vietnam National University Hochiminh City</t>
  </si>
  <si>
    <t>Le, L (corresponding author), Vietnam Natl Univ, Ho Chi Minh Int Univ, Sch Biotechnol, Ho Chi Minh, Vietnam.</t>
  </si>
  <si>
    <t>ly.lva@hcmiu.edu.vn</t>
  </si>
  <si>
    <t>Nguyen, Hung/Q-1508-2019</t>
  </si>
  <si>
    <t>Nguyen, Hung/0000-0002-1282-319X</t>
  </si>
  <si>
    <t>Department of the Navy, Office of Naval Research [N62909-14-1-N234]; Institute for Computational Science and Technology, Ho Chi Minh City, Vietnam</t>
  </si>
  <si>
    <t>Department of the Navy, Office of Naval Research(Office of Naval Research); Institute for Computational Science and Technology, Ho Chi Minh City, Vietnam</t>
  </si>
  <si>
    <t>The work was funded by the Department of the Navy, Office of Naval Research under grant number N62909-14-1-N234. The computing resources and support provided by Institute for Computational Science and Technology, Ho Chi Minh City, Vietnam are gratefully acknowledged.</t>
  </si>
  <si>
    <t>0009-2614</t>
  </si>
  <si>
    <t>1873-4448</t>
  </si>
  <si>
    <t>CHEM PHYS LETT</t>
  </si>
  <si>
    <t>Chem. Phys. Lett.</t>
  </si>
  <si>
    <t>10.1016/j.cplett.2015.08.042</t>
  </si>
  <si>
    <t>Chemistry, Physical; Physics, Atomic, Molecular &amp; Chemical</t>
  </si>
  <si>
    <t>Chemistry; Physics</t>
  </si>
  <si>
    <t>CV0PP</t>
  </si>
  <si>
    <t>WOS:000363953200026</t>
  </si>
  <si>
    <t>Ade, PAR; Ahmed, Z; Aikin, RW; Alexander, KD; Barkats, D; Benton, SJ; Bischoff, CA; Bock, JJ; Brevik, JA; Buder, I; Bullock, E; Buza, V; Connors, J; Crill, BP; Dowell, CD; Dvorkin, C; Duband, L; Filippini, JP; Fliescher, S; Golwala, SR; Halpern, M; Harrison, S; Hasselfield, M; Hildebrandt, SR; Hilton, GC; Hristov, VV; Hui, H; Irwin, KD; Karkare, KS; Kaufman, JP; Keating, BG; Kefeli, S; Kernasovskiy, SA; Kovac, JM; Kuo, CL; Leitch, EM; Lueker, M; Mason, P; Megerian, KG; Netterfield, CB; Nguyen, HT; O'Brient, R; Ogburn, RW; Orlando, A; Pryke, C; Reintsema, CD; Richter, S; Schwarz, R; Sheehy, CD; Staniszewski, ZK; Sudiwala, RV; Teply, GP; Thompson, KL; Tolan, JE; Turner, AD; Vieregg, AG; Weber, AC; Willmert, J; Wong, CL; Yoon, KW</t>
  </si>
  <si>
    <t>Ade, P. A. R.; Ahmed, Z.; Aikin, R. W.; Alexander, K. D.; Barkats, D.; Benton, S. J.; Bischoff, C. A.; Bock, J. J.; Brevik, J. A.; Buder, I.; Bullock, E.; Buza, V.; Connors, J.; Crill, B. P.; Dowell, C. D.; Dvorkin, C.; Duband, L.; Filippini, J. P.; Fliescher, S.; Golwala, S. R.; Halpern, M.; Harrison, S.; Hasselfield, M.; Hildebrandt, S. R.; Hilton, G. C.; Hristov, V. V.; Hui, H.; Irwin, K. D.; Karkare, K. S.; Kaufman, J. P.; Keating, B. G.; Kefeli, S.; Kernasovskiy, S. A.; Kovac, J. M.; Kuo, C. L.; Leitch, E. M.; Lueker, M.; Mason, P.; Megerian, K. G.; Netterfield, C. B.; Nguyen, H. T.; O'Brient, R.; Ogburn, R. W.; Orlando, A.; Pryke, C.; Reintsema, C. D.; Richter, S.; Schwarz, R.; Sheehy, C. D.; Staniszewski, Z. K.; Sudiwala, R. V.; Teply, G. P.; Thompson, K. L.; Tolan, J. E.; Turner, A. D.; Vieregg, A. G.; Weber, A. C.; Willmert, J.; Wong, C. L.; Yoon, K. W.</t>
  </si>
  <si>
    <t>Keck Array Collaboration; Bicep2 Collaboration</t>
  </si>
  <si>
    <t>BICEP2/KECK ARRAY V: MEASUREMENTS OF B-MODE POLARIZATION AT DEGREE ANGULAR SCALES AND 150 GHz BY THE KECK ARRAY</t>
  </si>
  <si>
    <t>ASTROPHYSICAL JOURNAL</t>
  </si>
  <si>
    <t>cosmic background radiation; cosmology: observations; gravitational waves; inflation; polarization</t>
  </si>
  <si>
    <t>MICROWAVE BACKGROUND POLARIZATION; PROBE WMAP OBSERVATIONS; POWER SPECTRUM; GRAVITY-WAVES; TEMPERATURE; QUAD; 2ND</t>
  </si>
  <si>
    <t>The Keck Array is a system of cosmic microwave background polarimeters, each similar to the BICEP2 experiment. In this paper we report results from the 2012 to 2013 observing seasons, during which the Keck Array consisted of five receivers all operating in the same (150 GHz) frequency band and observing field as BICEP2. We again find an excess of B-mode power over the lensed-.CDM expectation of &gt;5 sigma in the range 30 &lt; l &lt; 150 and confirm that this is not due to systematics using jackknife tests and simulations based on detailed calibration measurements. In map difference and spectral difference tests these new data are shown to be consistent with BICEP2. Finally, we combine the maps from the two experiments to produce final Q and U maps which have a depth of 57 nK deg (3.4 mu K arcmin) over an effective area of 400 deg(2) for an equivalent survey weight of 250,000 mu K-2. The final BB band powers have noise uncertainty a factor of 2.3 times better than the previous results, and a significance of detection of excess power of &gt;6 sigma.</t>
  </si>
  <si>
    <t>[Ade, P. A. R.; Sudiwala, R. V.] Cardiff Univ, Sch Phys &amp; Astron, Cardiff CF24 3AA, S Glam, Wales; [Ahmed, Z.; Irwin, K. D.; Kernasovskiy, S. A.; Kuo, C. L.; Ogburn, R. W.; Thompson, K. L.; Tolan, J. E.; Yoon, K. W.] Stanford Univ, Dept Phys, Stanford, CA 94305 USA; [Aikin, R. W.; Bock, J. J.; Brevik, J. A.; Crill, B. P.; Filippini, J. P.; Golwala, S. R.; Hildebrandt, S. R.; Hristov, V. V.; Hui, H.; Kefeli, S.; Lueker, M.; Mason, P.; Staniszewski, Z. K.; Teply, G. P.] CALTECH, Dept Phys, Pasadena, CA 91125 USA; [Alexander, K. D.; Bischoff, C. A.; Buder, I.; Buza, V.; Connors, J.; Dvorkin, C.; Harrison, S.; Karkare, K. S.; Kovac, J. M.; Richter, S.; Wong, C. L.] Harvard Smithsonian Ctr Astrophys, Cambridge, MA 02138 USA; [Barkats, D.] ESO, Joint ALMA Observ, Santiago, Chile; [Benton, S. J.; Netterfield, C. B.] Univ Toronto, Dept Phys, Toronto, ON, Canada; [Bock, J. J.; Crill, B. P.; Dowell, C. D.; Hildebrandt, S. R.; Megerian, K. G.; Nguyen, H. T.; O'Brient, R.; Staniszewski, Z. K.; Turner, A. D.; Weber, A. C.] CALTECH, Jet Prop Lab, Pasadena, CA 91109 USA; [Bullock, E.; Pryke, C.] Univ Minnesota, Minnesota Inst Astrophys, Minneapolis, MN 55455 USA; [Duband, L.] Commissariat Energie Atom, SBT, Grenoble, France; [Filippini, J. P.] Univ Illinois, Dept Phys, Champaign, IL 61820 USA; [Fliescher, S.; Pryke, C.; Schwarz, R.; Willmert, J.] Univ Minnesota, Dept Phys, Minneapolis, MN 55455 USA; [Halpern, M.; Hasselfield, M.] Univ British Columbia, Dept Phys &amp; Astron, Vancouver, BC V5Z 1M9, Canada; [Hilton, G. C.; Irwin, K. D.; Reintsema, C. D.] NIST, Boulder, CO 80305 USA; [Irwin, K. D.; Kuo, C. L.; Ogburn, R. W.; Yoon, K. W.] SLAC Natl Accelerator Lab, Kavli Inst Particle Astrophys &amp; Cosmol, Menlo Pk, CA 94025 USA; [Kaufman, J. P.; Keating, B. G.; Orlando, A.] Univ Calif San Diego, Dept Phys, La Jolla, CA 92093 USA; [Leitch, E. M.; Sheehy, C. D.; Vieregg, A. G.] Univ Chicago, Kavli Inst Cosmol Phys, Chicago, IL 60637 USA; [Leitch, E. M.; Sheehy, C. D.; Vieregg, A. G.] Univ Chicago, Enrico Fermi Inst, Dept Phys, Chicago, IL 60637 USA; [Netterfield, C. B.] Canadian Inst Adv Res, Toronto, ON, Canada</t>
  </si>
  <si>
    <t>Cardiff University; Stanford University; California Institute of Technology; Smithsonian Astrophysical Observatory; Harvard University; Smithsonian Institution; European Southern Observatory; University of Toronto; National Aeronautics &amp; Space Administration (NASA); NASA Jet Propulsion Laboratory (JPL); California Institute of Technology; University of Minnesota System; University of Minnesota Twin Cities; Communaute Universite Grenoble Alpes; Universite Grenoble Alpes (UGA); CEA; University of Illinois System; University of Illinois Urbana-Champaign; University of Minnesota System; University of Minnesota Twin Cities; University of British Columbia; National Institute of Standards &amp; Technology (NIST) - USA; Stanford University; United States Department of Energy (DOE); SLAC National Accelerator Laboratory; University of California System; University of California San Diego; University of Chicago; University of Chicago; Canadian Institute for Advanced Research (CIFAR)</t>
  </si>
  <si>
    <t>Ade, PAR (corresponding author), Cardiff Univ, Sch Phys &amp; Astron, Cardiff CF24 3AA, S Glam, Wales.</t>
  </si>
  <si>
    <t>sstokes@stanford.edu</t>
  </si>
  <si>
    <t>Nguyen, H.T/AAG-1974-2021; Orlando, Angiola/AAH-6918-2020; Nguyễn, Hương/JUV-6128-2023; kaufman, jarrod/GXV-3683-2022; Orlando, Angiola/AAI-3379-2021; Orlando, Angiola/T-3869-2017; Keating, Brian/J-6063-2017</t>
  </si>
  <si>
    <t>Nguyen, H.T/0000-0001-5580-2877; Orlando, Angiola/0000-0001-9464-3100; Hui, Howard/0000-0001-5812-1903; Orlando, Angiola/0000-0001-8004-5054; Crill, Brendan/0000-0002-4650-8518; Willmert, Justin/0000-0002-6452-4693; /0000-0002-5215-6993; Ahmed, Zeeshan/0000-0002-9957-448X; Golwala, Sunil/0000-0002-1098-7174; Hildebrandt, Sergi/0000-0003-0220-0009; Bischoff, Colin/0000-0001-9185-6514; Kovac, John/0009-0003-5432-7180; Keating, Brian/0000-0003-3118-5514; Barkats, Denis/0000-0002-8971-1954; Irwin, Kent/0000-0002-2998-9743; Alexander, Kate/0000-0002-8297-2473</t>
  </si>
  <si>
    <t>National Science Foundation (Harvard) [ANT-1145172]; Keck Foundation (Caltech); NASA APRA program [06-ARPA206-0040, 10-SAT10-0017]; NASA SAT program [06-ARPA206-0040, 10-SAT10-0017]; Canada Foundation for Innovation; National Science Foundation (Minnesota) [ANT-1145143]; National Science Foundation (Stanford) [ANT-1145248]; STFC [ST/K000926/1] Funding Source: UKRI; Direct For Mathematical &amp; Physical Scien; Division Of Astronomical Sciences [1255358] Funding Source: National Science Foundation; Direct For Mathematical &amp; Physical Scien; Division Of Physics [1125897] Funding Source: National Science Foundation; Directorate For Geosciences; Office of Polar Programs (OPP) [1145172] Funding Source: National Science Foundation; Directorate For Geosciences; Office of Polar Programs (OPP) [1145143] Funding Source: National Science Foundation</t>
  </si>
  <si>
    <t>National Science Foundation (Harvard); Keck Foundation (Caltech); NASA APRA program; NASA SAT program; Canada Foundation for Innovation(Canada Foundation for InnovationCGIARSpanish Government); National Science Foundation (Minnesota); National Science Foundation (Stanford); STFC(UK Research &amp; Innovation (UKRI)Science &amp; Technology Facilities Council (STFC)); Direct For Mathematical &amp; Physical Scien; Division Of Astronomical Sciences(National Science Foundation (NSF)NSF - Directorate for Mathematical &amp; Physical Sciences (MPS)); Direct For Mathematical &amp; Physical Scien; Division Of Physics(National Science Foundation (NSF)NSF - Directorate for Mathematical &amp; Physical Sciences (MPS)); Directorate For Geosciences; Office of Polar Programs (OPP)(National Science Foundation (NSF)NSF - Directorate for Geosciences (GEO)); Directorate For Geosciences; Office of Polar Programs (OPP)(National Science Foundation (NSF)NSF - Directorate for Geosciences (GEO))</t>
  </si>
  <si>
    <t>The Keck Array project has been made possible through support from the National Science Foundation under Grants ANT-1145172 (Harvard), ANT-1145143 (Minnesota) &amp; ANT-1145248 (Stanford), and from the Keck Foundation (Caltech). The development of antenna-coupled detector technology was supported by the JPL Research and Technology Development Fund and Grants No. 06-ARPA206-0040 and 10-SAT10-0017 from the NASA APRA and SAT programs.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Department of Energy Office of Science.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Array series of experiments, including the BICEP1 team.</t>
  </si>
  <si>
    <t>IOP PUBLISHING LTD</t>
  </si>
  <si>
    <t>BRISTOL</t>
  </si>
  <si>
    <t>TEMPLE CIRCUS, TEMPLE WAY, BRISTOL BS1 6BE, ENGLAND</t>
  </si>
  <si>
    <t>0004-637X</t>
  </si>
  <si>
    <t>1538-4357</t>
  </si>
  <si>
    <t>ASTROPHYS J</t>
  </si>
  <si>
    <t>Astrophys. J.</t>
  </si>
  <si>
    <t>10.1088/0004-637X/811/2/126</t>
  </si>
  <si>
    <t>CU4QE</t>
  </si>
  <si>
    <t>Green Published, Green Accepted, Bronze, Green Submitted</t>
  </si>
  <si>
    <t>WOS:000363513800054</t>
  </si>
  <si>
    <t>Ali, MSM; Haris, IM; Abd Rahman, RNZR; Basri, M; Salleh, A</t>
  </si>
  <si>
    <t>Ali, Mohd Shukuri Mohamad; Haris, Ira Maya; Abd Rahman, Raja Noor Zaliha Raja; Basri, Mahiran; Salleh, Abu Bakar</t>
  </si>
  <si>
    <t>A bifunctional cold active lipase with protease activity isolated from an Antarctic yeast, Glaciozyma antarctica PI12</t>
  </si>
  <si>
    <t>PROTEIN SCIENCE</t>
  </si>
  <si>
    <t>29th Annual Symposium of the Protein-Society</t>
  </si>
  <si>
    <t>JUL 22-25, 2015</t>
  </si>
  <si>
    <t>Barcelona, SPAIN</t>
  </si>
  <si>
    <t>[Ali, Mohd Shukuri Mohamad; Haris, Ira Maya; Abd Rahman, Raja Noor Zaliha Raja; Salleh, Abu Bakar] Enzyme &amp; Microbial Technol Res Ctr, Upm Serdang, Selangor, Malaysia; [Ali, Mohd Shukuri Mohamad; Haris, Ira Maya; Abd Rahman, Raja Noor Zaliha Raja; Salleh, Abu Bakar] Fac Biotechnol &amp; Biomol Sci, Upm Serdang, Selangor, Malaysia; [Basri, Mahiran] Fac Sci, London, England</t>
  </si>
  <si>
    <t>Universiti Putra Malaysia</t>
  </si>
  <si>
    <t>Rahman, Raja Noor Zaliha Raja Abd/I-5556-2019; Ali, Mohd Shukuri Mohamad/AAG-5453-2021; ALI, MOHD/IUM-6916-2023</t>
  </si>
  <si>
    <t>Rahman, Raja Noor Zaliha Raja Abd/0000-0002-6316-6177; Ali, Mohd Shukuri Mohamad/0000-0003-2751-9649;</t>
  </si>
  <si>
    <t>0961-8368</t>
  </si>
  <si>
    <t>1469-896X</t>
  </si>
  <si>
    <t>PROTEIN SCI</t>
  </si>
  <si>
    <t>Protein Sci.</t>
  </si>
  <si>
    <t>PC-010</t>
  </si>
  <si>
    <t>Biochemistry &amp; Molecular Biology</t>
  </si>
  <si>
    <t>CU6QS</t>
  </si>
  <si>
    <t>WOS:000363658100103</t>
  </si>
  <si>
    <t>Graham, RM; De Boer, AM; van Sebille, E; Kohfeld, KE; Schlosser, C</t>
  </si>
  <si>
    <t>Graham, Robert M.; De Boer, Agatha M.; van Sebille, Erik; Kohfeld, Karen E.; Schlosser, Christian</t>
  </si>
  <si>
    <t>Inferring source regions and supply mechanisms of iron in the Southern Ocean from satellite chlorophyll data</t>
  </si>
  <si>
    <t>DEEP-SEA RESEARCH PART I-OCEANOGRAPHIC RESEARCH PAPERS</t>
  </si>
  <si>
    <t>chlorophyll; shelf sediments; upwelling; ocean fronts; sea surface height; dust; glacial-interglacial cycles</t>
  </si>
  <si>
    <t>LAST GLACIAL MAXIMUM; WESTERLY WIND CHANGES; DISSOLVED IRON; FERTILIZATION EXPERIMENT; HEMISPHERE WESTERLIES; BIOGEOCHEMICAL CYCLE; CARBON SEQUESTRATION; PHYTOPLANKTON BLOOM; KERGUELEN PLATEAU; CROZET ISLANDS</t>
  </si>
  <si>
    <t>Primary productivity is limited by the availability of iron over large areas of the global ocean. Changes in the supply of iron to these regions could have major impacts on primary productivity and the carbon cycle. However, source regions and supply mechanisms of iron to the global oceans remain poorly constrained. Shelf sediments are considered one of the largest sources of dissolved iron to the global ocean, and a large shelf sediment iron flux is prescribed in many biogeochemical models over all areas of bathymetry shallower than 1000 m. Here, we infer the likely location of shelf sediment iron sources in the Southern Ocean, by identifying where satellite chlorophyll concentrations are enhanced over shallow bathymetry (&lt; 1000 m). We further compare chlorophyll concentrations with the position of ocean fronts, to assess the relative role of horizontal advection and upwelling for supplying iron to the ocean surface. We show that mean annual chlorophyll concentrations are not visibly enhanced over areas of shallow bathymetry that are located more than 500 km from a coastline. Mean annual chlorophyll concentrations &gt; 2 mg m(-3) are only found within 50 km of a continental or island coastline. These results suggest that sedimentary iron sources only exist on continental and island shelves. Large sedimentary iron fluxes do not seem present on seamounts and submerged plateaus. Large chlorophyll blooms develop where the western boundary currents detach from the continental shelves, and turn eastward into the Sub-Antarctic Zone. Chlorophyll concentrations are enhanced along contours of sea surface height extending off the continental shelves, as shown by the trajectories of virtual water parcels in satellite altimetry data. These analyses support the hypothesis that bioavailable iron from continental shelves is entrained into western boundary currents, and advected into the Sub-Antarctic Zone along the Dynamical Subtropical Front. Our results indicate that upwelling at fronts in the open ocean is unlikely to deliver iron to the ocean surface from deep sources. Finally, we hypothesise how a reduction in sea level may have altered the distribution of shelf sediment iron sources in the Southern Ocean and increased export production over the Sub-Antarctic Zone during glacial intervals. (C) 2015 The Authors. Published by Elsevier Ltd.</t>
  </si>
  <si>
    <t>[Graham, Robert M.; De Boer, Agatha M.] Stockholm Univ, Dept Geol Sci, S-10691 Stockholm, Sweden; [Graham, Robert M.; De Boer, Agatha M.] Bolin Ctr Climate Res, Stockholm, Sweden; [van Sebille, Erik] Univ New S Wales, ARC Ctr Excellence Climate Syst Sci, Sydney, NSW, Australia; [van Sebille, Erik] Univ New S Wales, Climate Change Res Ctr, Sydney, NSW, Australia; [van Sebille, Erik] Univ London Imperial Coll Sci Technol &amp; Med, Grantham Inst, London, England; [van Sebille, Erik] Univ London Imperial Coll Sci Technol &amp; Med, Dept Phys, London, England; [Kohfeld, Karen E.] Simon Fraser Univ, Sch Resource &amp; Environm Management, Burnaby, BC V5A 1S6, Canada; [Schlosser, Christian] Helmholtz Ctr Ocean Res Kiel, GEOMAR, D-24148 Kiel, Germany</t>
  </si>
  <si>
    <t>Stockholm University; ARC Centre of Excellence for Climate System Science; University of New South Wales Sydney; University of New South Wales Sydney; Imperial College London; Imperial College London; Simon Fraser University; Helmholtz Association; GEOMAR Helmholtz Center for Ocean Research Kiel</t>
  </si>
  <si>
    <t>Graham, RM (corresponding author), Helmholtz Ctr Polar &amp; Marine Res, Alfred Wegner Inst, Potsdam, Germany.</t>
  </si>
  <si>
    <t>r.graham.1007@gmail.com</t>
  </si>
  <si>
    <t>De Boer, Agatha M/H-4202-2012; van Sebille, Erik/F-6781-2010</t>
  </si>
  <si>
    <t>van Sebille, Erik/0000-0003-2041-0704; Kohfeld, Karen/0000-0001-7241-1624; Graham, Robert M./0000-0003-0008-1886</t>
  </si>
  <si>
    <t>Department of Geological Sciences at Stockholm University; Australian Research Council [DE130101336]; Bolin Centre for Climate Research; NERC High Resolution Climate Modelling Grant [R8/H12/123]; Foreign and Commonwealth Office Global Opportunites Fund; NERC; DECC/Defra Met Office Hadley Centre Climate Programme [GA01101]</t>
  </si>
  <si>
    <t>Department of Geological Sciences at Stockholm University; Australian Research Council(Australian Research Council); Bolin Centre for Climate Research; NERC High Resolution Climate Modelling Grant; Foreign and Commonwealth Office Global Opportunites Fund; NERC(UK Research &amp; Innovation (UKRI)Natural Environment Research Council (NERC)); DECC/Defra Met Office Hadley Centre Climate Programme</t>
  </si>
  <si>
    <t>We would like to thank Philip Boyd and two anonymous reviewers for their comments that have helped to improve this manuscript. RMG was funded by a Ph.D. studentship from the Department of Geological Sciences at Stockholm University. EvS was supported by the Australian Research Council via Grant DE130101336. The open access publication fees of this article were covered by a grant from the Bolin Centre for Climate Research. The HiGEM model output was kindly provided by David Stevens. HiGEM was developed from the UK Met Office Hadley Centre model by the UK High-Resolution Modelling (HiGEM) Project and the UK Japan Climate Collaboration (UJCC). HiGEM is supported by a NERC High Resolution Climate Modelling Grant (R8/H12/123). UJCC was supported by the Foreign and Commonwealth Office Global Opportunites Fund, and jointly funded by NERC and the DECC/Defra Met Office Hadley Centre Climate Programme (GA01101). The work of Professor Pier Luigi Vidale and Dr. Malcom Roberts in leading the effort in Japan is particularly valued.</t>
  </si>
  <si>
    <t>0967-0637</t>
  </si>
  <si>
    <t>1879-0119</t>
  </si>
  <si>
    <t>DEEP-SEA RES PT I</t>
  </si>
  <si>
    <t>Deep-Sea Res. Part I-Oceanogr. Res. Pap.</t>
  </si>
  <si>
    <t>10.1016/j.dsr.2015.05.007</t>
  </si>
  <si>
    <t>CT8PM</t>
  </si>
  <si>
    <t>Green Accepted, Green Submitted, hybrid</t>
  </si>
  <si>
    <t>WOS:000363078500002</t>
  </si>
  <si>
    <t>Flukes, EB; Wright, JT; Johnson, CR</t>
  </si>
  <si>
    <t>Flukes, Emma B.; Wright, Jeffrey T.; Johnson, Craig R.</t>
  </si>
  <si>
    <t>PHENOTYPIC PLASTICITY AND BIOGEOGRAPHIC VARIATION IN PHYSIOLOGY OF HABITAT-FORMING SEAWEED: RESPONSE TO TEMPERATURE AND NITRATE</t>
  </si>
  <si>
    <t>JOURNAL OF PHYCOLOGY</t>
  </si>
  <si>
    <t>climate change; ecophysiology; experimental effects; growth rate hypothesis nitrate; PAM fluorometry; phenotypic plasticity; Phyllospora comosa; seaweed; temperature</t>
  </si>
  <si>
    <t>ECKLONIA-RADIATA LAMINARIALES; GROWTH-RATE; ELEMENTAL STOICHIOMETRY; NITROGEN; KELP; PHOTOSYNTHESIS; LIGHT; ACCLIMATION; HYPOTHESIS; GERMLINGS</t>
  </si>
  <si>
    <t>Southeastern Australian waters are warming at nearly four times the global average rate (similar to 0.7 degrees C center dot century(-1)) driven by strengthening incursions of the warm oligotrophic East Australian Current. The growth rate hypothesis (GRH) predicts that nutrient depletion will impact more severely on seaweeds at high latitudes with compressed growth seasons. This study investigates the effects of temperature and nutrients on the ecophysiology of the habitat-forming seaweed Phyllospora comosa in a laboratory experiment using temperature (12 degrees C, 17 degrees C, 22 degrees C) and nutrient (0.5, 1.0, 3.0 mu M NO3-) scenarios representative of observed variation among geographic regions. Changes in growth, photosynthetic characteristics (via chlorophyll fluorescence), pigment content, tissue chemistry (delta C-13, % C, % N, C:N) and nucleic acid characteristics (absolute RNA and DNA, RNA: DNA ratios) were determined in seaweeds derived from cool, high-latitude and warm, low-latitude portions of the species' range. Performance of P. comosa was unaffected by nitrate availability but was strongly temperature-dependent, with photosynthetic efficiency, growth, and survival significantly impaired at 22 degrees C. While some physiological processes (photosynthesis, nucleic acid, and accessory pigment synthesis) responded rapidly to temperature, others (C/N dynamics, carbon concentrating processes) were largely invariant and biogeographic variation in these characteristics may only occur through genetic adaptation. No link was detected between nutrient availability, RNA synthesis and growth, and the GRH was not supported in this species. While P. comosa at high latitudes may be less susceptible to oligotrophy than predicted by the GRH, warming water temperatures will have deleterious effects on this species across its range unless rapid adaptation is possible.</t>
  </si>
  <si>
    <t>[Flukes, Emma B.; Wright, Jeffrey T.; Johnson, Craig R.] Univ Tasmania, Inst Marine &amp; Antarctic Studies, Hobart, Tas 7001, Australia</t>
  </si>
  <si>
    <t>University of Tasmania</t>
  </si>
  <si>
    <t>Flukes, EB (corresponding author), Univ Tasmania, Inst Marine &amp; Antarctic Studies, Private Bag 129, Hobart, Tas 7001, Australia.</t>
  </si>
  <si>
    <t>emma.flukes@utas.edu.au</t>
  </si>
  <si>
    <t>Johnson, Craig/E-1788-2013; Wright, Jeffrey/J-7536-2014</t>
  </si>
  <si>
    <t>Johnson, Craig/0000-0002-9511-905X; Flukes, Emma/0000-0003-2749-834X; Wright, Jeffrey/0000-0002-1085-4582</t>
  </si>
  <si>
    <t>0022-3646</t>
  </si>
  <si>
    <t>1529-8817</t>
  </si>
  <si>
    <t>J PHYCOL</t>
  </si>
  <si>
    <t>J. Phycol.</t>
  </si>
  <si>
    <t>10.1111/jpy.12330</t>
  </si>
  <si>
    <t>Plant Sciences; Marine &amp; Freshwater Biology</t>
  </si>
  <si>
    <t>CU1ET</t>
  </si>
  <si>
    <t>WOS:000363263500007</t>
  </si>
  <si>
    <t>Ainley, DG; Larue, MA; Stirling, I; Stammerjohn, S; Siniff, DB</t>
  </si>
  <si>
    <t>Ainley, David G.; Larue, Michelle A.; Stirling, Ian; Stammerjohn, Sharon; Siniff, Donald B.</t>
  </si>
  <si>
    <t>An apparent population decrease, or change in distribution, of Weddell seals along the Victoria Land coast</t>
  </si>
  <si>
    <t>MARINE MAMMAL SCIENCE</t>
  </si>
  <si>
    <t>Antarctic toothfish; climate change; fast ice; fishery effects; population change; Ross Sea; sea ice; Leptonychotes weddellii; Weddell seal</t>
  </si>
  <si>
    <t>MCMURDO SOUND; ROSS SEA; EMPEROR PENGUIN; LEPTONYCHOTES-WEDDELLI; ANTARCTIC TOOTHFISH; MARINE ECOSYSTEMS; CLIMATE; VARIABILITY; RATES; DYNAMICS</t>
  </si>
  <si>
    <t>Ground counts during 1959-1968 compared with counts using high resolution (0.6 m(2)) satellite imagery during 2008-2012 indicated many fewer Weddell seals (Leptonychotes weddellii) at two major molting areas in the western Ross Sea: Edisto Inlet-Moubray Bay, northern Victoria Land, and McMurdo Sound, southern Victoria Land. Breeding seals have largely disappeared from Edisto-Moubray, though the breeding population in McMurdo Sound appears to have recovered from harvest in the 1960s. The timing of decline, or perhaps spreading (lower numbers of seals in more places), is unknown but appears unrelated to changes in sea ice conditions. We analyzed both historic and satellite-derived ice data confirming a large expansion of pack ice mostly offshore of the Ross Sea, and not over the continental shelf (main Weddell seal habitat), and a thinning of fast ice along Victoria Land (conceivably beneficial to seals). Timing of fast ice presence and extent in coves and bays along Victoria Land, remains the same. The reduction in numbers is consistent with an altered food web, the reasons for which are complex. In the context of a recent industrial fishery targeting a seal prey species, a large-scale seal monitoring program is required to increase understanding of seal population changes.</t>
  </si>
  <si>
    <t>[Ainley, David G.] HT Harvey &amp; Associates Ecol Consultants, Los Gatos, CA 95032 USA; [Larue, Michelle A.] Univ Minnesota, Dept Earth Sci, Minneapolis, MN 55455 USA; [Stirling, Ian] Univ Alberta, Dept Biol Sci, Edmonton, AB TG6 2E9, Canada; [Stirling, Ian] Environm Canada, Sci &amp; Technol Branch, Wildlife Res Div, Edmonton, AB T6H 3S5, Canada; [Stammerjohn, Sharon] Univ Colorado, Inst Arctic &amp; Alpine Studies, Boulder, CO 80309 USA; [Siniff, Donald B.] Univ Minnesota, Dept Ecol Evolut &amp; Behav, St Paul, MN 55108 USA</t>
  </si>
  <si>
    <t>University of Minnesota System; University of Minnesota Twin Cities; University of Alberta; Environment &amp; Climate Change Canada; Canadian Wildlife Service; Wildlife Research Division - Environment Canada; University of Colorado System; University of Colorado Boulder; University of Minnesota System; University of Minnesota Twin Cities</t>
  </si>
  <si>
    <t>Ainley, DG (corresponding author), HT Harvey &amp; Associates Ecol Consultants, Los Gatos, CA 95032 USA.</t>
  </si>
  <si>
    <t>dainley@penguinscience.com</t>
  </si>
  <si>
    <t>STAMMERJOHN, SHARON/0000-0002-1697-8244</t>
  </si>
  <si>
    <t>NSF [ANT-0944411, ANT-0823101]; Directorate For Geosciences; Office of Polar Programs (OPP) [0944411] Funding Source: National Science Foundation</t>
  </si>
  <si>
    <t>NSF(National Science Foundation (NSF)); Directorate For Geosciences; Office of Polar Programs (OPP)(National Science Foundation (NSF)NSF - Directorate for Geosciences (GEO))</t>
  </si>
  <si>
    <t>This analysis was funded by NSF grant ANT-0944411 (DA), and ANT-0823101 (SS). The Polar Geospatial Center facilitated use of high-resolution satellite imagery. The GSFC Boot-strap SMMR-SSM/I Version 2 daily time series of sea ice concentration and the SSM/I near real-time sea ice (NRTSI) data were provided by the NASA Earth Observing System Distributed Active Archive Center (DAAC) at the U.S. National Snow and Ice Data Center (NSIDC, University of Colorado at Boulder, http://nsidc.org). IS's field research in the 1960s was supported by the New Zealand Antarctic Research Program, the University of Canterbury, and the U.S. Antarctic Research Program. We received valuable comments and observations from G. Watters, R. Hofman, J. Rotella, S. Goldsworthy, M. Cameron, and two anonymous reviewers; of great value, J. Burns allowed us to cite unpublished analyses and K. Pettway provided aerial photos of the seals and sea ice off Cape Hallett in November 2009.</t>
  </si>
  <si>
    <t>0824-0469</t>
  </si>
  <si>
    <t>1748-7692</t>
  </si>
  <si>
    <t>MAR MAMMAL SCI</t>
  </si>
  <si>
    <t>Mar. Mamm. Sci.</t>
  </si>
  <si>
    <t>10.1111/mms.12220</t>
  </si>
  <si>
    <t>CU1MB</t>
  </si>
  <si>
    <t>WOS:000363284900004</t>
  </si>
  <si>
    <t>Richardson, SJ; Laughlin, DC; Lawes, MJ; Holdaway, RJ; Wilmshurst, JM; Wright, M; Curran, TJ; Bellingham, PJ; McGlone, MS</t>
  </si>
  <si>
    <t>Richardson, Sarah J.; Laughlin, Daniel C.; Lawes, Michael J.; Holdaway, Robert J.; Wilmshurst, Janet M.; Wright, Monique; Curran, Timothy J.; Bellingham, Peter J.; McGlone, Matt S.</t>
  </si>
  <si>
    <t>Functional and environmental determinants of bark thickness in fire-free temperate rain forest communities</t>
  </si>
  <si>
    <t>AMERICAN JOURNAL OF BOTANY</t>
  </si>
  <si>
    <t>allometry; community-weighted mean; environmental filtering; fire history; functional trait; pathogens; plant economics spectrum; size-independent bark traits</t>
  </si>
  <si>
    <t>NEW-ZEALAND; SOIL CHRONOSEQUENCE; TRAITS; LEAF; ECONOMICS; RESPONSES; BIOLOGY; DAMAGE; MODEL; TREES</t>
  </si>
  <si>
    <t>PREMISE OF THE STUDY: In fire-prone ecosystems, variation in bark thickness among species and communities has been explained by fire frequency; thick bark is necessary to protect cambium from lethal temperatures. Elsewhere this investment is deemed unnecessary, and thin bark is thought to prevail. However, in rain forest ecosystems where fire is rare, bark thickness varies widely among species and communities, and the causes of this variation remain enigmatic. We tested for functional explanations of bark thickness variation in temperate rain forest species and communities. METHODS: We measured bark thickness in 82 tree species throughout New Zealand temperate rain forests that historically have experienced little fire and applied two complementary analyses. First, we examined correlations between bark traits and leaf habit, and leaf and stem traits. Second, we calculated community-weighted mean (CWM) bark thickness for 272 plots distributed throughout New Zealand to identify the environments in which thicker-barked communities occur. KEY RESULTS: Conifers had higher size-independent bark thickness than evergreen angiosperms. Species with thicker bark or higher bark allocation coefficients were not associated with slow economic plant traits. Across 272 forest plots, communities with thicker bark occurred on infertile soils, and communities with thicker bark and higher bark allocation coefficients occurred in cooler, drier climates. CONCLUSIONS: In non-fire-prone temperate rain forest ecosystems, investment in bark is driven by soil resources, cool minimum temperatures, and seasonal moisture stress. The role of these factors in fire-prone ecosystems warrants testing.</t>
  </si>
  <si>
    <t>[Richardson, Sarah J.; Holdaway, Robert J.; Wilmshurst, Janet M.; Bellingham, Peter J.; McGlone, Matt S.] Landcare Res, Lincoln 7640, New Zealand; [Laughlin, Daniel C.] Univ Waikato, Environm Res Inst, Hamilton 3240, New Zealand; [Lawes, Michael J.] Charles Darwin Univ, Res Inst Environm &amp; Livelihoods, Darwin, NT 0909, Australia; [Wilmshurst, Janet M.] Univ Auckland, Joint Grad Sch Biodivers &amp; Biosecur, Sch Environm, Auckland 1142, New Zealand; [Wright, Monique; Curran, Timothy J.] Lincoln Univ, Dept Ecol, Lincoln 7647, New Zealand</t>
  </si>
  <si>
    <t>Landcare Research - New Zealand; University of Waikato; Charles Darwin University; University of Auckland; Lincoln University - New Zealand</t>
  </si>
  <si>
    <t>Richardson, SJ (corresponding author), Landcare Res, POB 69040, Lincoln 7640, New Zealand.</t>
  </si>
  <si>
    <t>RichardsonS@LandcareResearch.co.nz</t>
  </si>
  <si>
    <t>Laughlin, Daniel C/G-8855-2012; Wilmshurst, Janet/O-8611-2019; Bellingham, Peter/AAP-4302-2020; Lawes, Michael J/N-2132-2013; Richardson, Sarah J/D-3353-2015; Curran, Timothy/D-6602-2018</t>
  </si>
  <si>
    <t>Wilmshurst, Janet/0000-0002-4474-8569; Lawes, Michael J/0000-0002-2381-6147; Curran, Timothy/0000-0001-8817-4360</t>
  </si>
  <si>
    <t>Australasian Antarctic Expedition, Core funding for Crown Research Institutes from the New Zealand Ministry of Business, Innovation and Employment; Royal Society of New Zealand Marsden Fund [12-UOW-041]; Lincoln University Research Fund</t>
  </si>
  <si>
    <t>Australasian Antarctic Expedition, Core funding for Crown Research Institutes from the New Zealand Ministry of Business, Innovation and Employment(New Zealand Ministry of Business, Innovation and Employment (MBIE)); Royal Society of New Zealand Marsden Fund(Royal Society of New ZealandMarsden Fund (NZ)); Lincoln University Research Fund</t>
  </si>
  <si>
    <t>The authors thank D. Mann, the Tuawhenua Trust and the Department of Conservation for permission to access forests and sample bark thickness; K. Boot, R. Buxton, and C. Morse for field assistance; and D. Schwilk and two anonymous reviewers for their constructive reviews. Research was funded by the Australasian Antarctic Expedition, Core funding for Crown Research Institutes from the New Zealand Ministry of Business, Innovation and Employment, the Royal Society of New Zealand Marsden Fund (12-UOW-041), and the Lincoln University Research Fund. We acknowledge the use of data drawn from the Natural Forest plot data collected between January 2002 and March 2007 by the LUCAS program for the Ministry for the Environment.</t>
  </si>
  <si>
    <t>0002-9122</t>
  </si>
  <si>
    <t>1537-2197</t>
  </si>
  <si>
    <t>AM J BOT</t>
  </si>
  <si>
    <t>Am. J. Bot.</t>
  </si>
  <si>
    <t>10.3732/ajb.1500157</t>
  </si>
  <si>
    <t>CT5NA</t>
  </si>
  <si>
    <t>WOS:000362855900004</t>
  </si>
  <si>
    <t>Grilly, E; Reid, K; Lenel, S; Jabour, J</t>
  </si>
  <si>
    <t>Grilly, Emily; Reid, Keith; Lenel, Sarah; Jabour, Julia</t>
  </si>
  <si>
    <t>The price of fish: A global trade analysis of Patagonian (Dissostichus eleginoides) and Antarctic toothfish (Dissostichus mawsoni)</t>
  </si>
  <si>
    <t>CCAMLR; Antarctic fisheries; Chilean Sea Bass; Catch Documentation Scheme; Fisheries trade data; Value chain</t>
  </si>
  <si>
    <t>FISHERIES; ILLEGAL</t>
  </si>
  <si>
    <t>Patagonian and Antarctic toothfish fisheries within the high seas are managed by the Commission for the Conservation of Antarctic Marine Living Resources (CCAMLR). Currently, there is little methodology in place to monitor the value of toothfish, in relation to volume, traded in the international market. Using the United Nations Commodity Trade Statistics (UN Comtrade), a trade analysis of toothfish import and export data records from 2007 to 2012 was conducted. The objectives were to review available data, examine global patterns of trade volume and price and provide relative information on trade patterns to policy makers for management purposes. The analysis focused on 10 countries found to be the most active in the trade of toothfish over the six-year analysis period. The average price (US$/kg) of imports to these countries increased by 62.24% from 2007 to 2012 with an overall decrease in traded volume. The USA accounted for the majority of imports and was found to have the largest influence on overall trends. The average price of exports increased by 88.5% from 2007 to 2012 with a decrease in traded volume. Analyses reveal a supply and demand relationship within international markets driven by economic changes as well as the influence of country-specific factors. This analysis contributes to the ongoing collection and evaluation of data in the toothfish trade that will be used to identify changes in the global toothfish market and assist in management efforts. (C) 2015 Elsevier Ltd. All rights reserved.</t>
  </si>
  <si>
    <t>[Grilly, Emily; Reid, Keith; Lenel, Sarah] Commiss Conservat Antarctic Marine Living Resourc, Hobart, Tas 7000, Australia; [Jabour, Julia] Inst Marine &amp; Antarctic Studies, Battery Point, Tas 7004, Australia</t>
  </si>
  <si>
    <t>Grilly, E (corresponding author), Commiss Conservat Antarctic Marine Living Resourc, 181 Macquarie St, Hobart, Tas 7000, Australia.</t>
  </si>
  <si>
    <t>Emily.Grilly@ccamlr.org; Keith.Reid@ccamlr.org; Sarah.Lenel@ccamlr.org; Julia.Jabour@utas.edu.au</t>
  </si>
  <si>
    <t>Jabour, Julia A/J-7882-2014</t>
  </si>
  <si>
    <t>10.1016/j.marpol.2015.06.006</t>
  </si>
  <si>
    <t>CT1CB</t>
  </si>
  <si>
    <t>WOS:000362533800021</t>
  </si>
  <si>
    <t>Akilan, A; Azeez, KKA; Schuh, H; Yuvraaj, N</t>
  </si>
  <si>
    <t>Akilan, A.; Azeez, K. K. Abdul; Schuh, H.; Yuvraaj, N.</t>
  </si>
  <si>
    <t>Large-Scale Present-Day Plate Boundary Deformations in the Eastern Hemisphere Determined from VLBI Data: Implications for Plate Tectonics and Indian Ocean Growth</t>
  </si>
  <si>
    <t>PURE AND APPLIED GEOPHYSICS</t>
  </si>
  <si>
    <t>VLBI; plate tectonics; crustal deformation; Eastern hemisphere; Indian Ocean; Hurst exponent; strain rate</t>
  </si>
  <si>
    <t>GLOBAL POSITIONING SYSTEM; BASE-LINE INTERFEROMETRY; CRUSTAL MOTION; EUROPEAN VLBI; GPS; GEODESY; MODEL; KINEMATICS; ASIA; EARTHQUAKES</t>
  </si>
  <si>
    <t>The dynamics of the planet Earth are manifestations of diverse plate tectonic processes which have been occurring since the Archean period of the Earth's evolution and continue to deform the plate boundaries. Very long baseline interferometry (VLBI) is an efficient space geodetic method that enables precise measurement of plate motion and associated deformations. We analyze here VLBI measurements made during a period of approximately three decades at five locations on the Eastern hemisphere of the globe, which are geographically distributed over five continents (plates) around the Indian Ocean. Computed rate of change of baseline length show the deformation pattern and its rate at the boundaries between the major tectonic plates constituting the Eastern hemisphere of the Earth. The African (Nubian) and Antarctic plates are moving apart at 13.5 mm/year, which is mostly attributed to spreading of the South West Indian Ridge. Similarly, spreading of 59.0 mm/year is observed for the South East Indian Ridge that separates the Antarctic and Australian plates. Shortening at the rate of 3.9 mm/year is estimated across the subduction boundary between Africa (Nubia) and Eurasia. Similar convergence is evident between the Australian and Sunda blocks (of the Eurasian plate). The associated deformation of -54.8 mm/year seems to be chiefly accommodated along the Banda arc system, where the Australian plate is subducting under the Sunda block. VLBI sites within the Eurasian plate, Wettzell in Germany, and Seshan on the South China block, are moving apart at 3.6 mm/year. This relative motion between locations on the same plate is interpreted as a result of the deformation process along a large strike-slip fault, which is identified as the Western boundary of the South China block. Expansion of the Indian Ocean, at +91.5 m(2)/year, is also estimated from the rate of deformation estimated within the five baselines studied here. From the Hurst exponent values, which are indicators of the future trend of time series data, we predict deceleration of the various tectonic processes occurring at present.</t>
  </si>
  <si>
    <t>[Akilan, A.; Azeez, K. K. Abdul] Natl Geophys Res Inst, CSIR, Hyderabad 500007, Andhra Pradesh, India; [Schuh, H.] GFZ German Res Ctr Geosci, Potsdam, Germany; [Schuh, H.] Vienna Univ Technol, A-1040 Vienna, Austria; [Schuh, H.] TU Berlin, Dept Geodesy &amp; Geoinformat Sci, Berlin, Germany; [Yuvraaj, N.] Prime Steels, Kolkata 700001, India</t>
  </si>
  <si>
    <t>Council of Scientific &amp; Industrial Research (CSIR) - India; CSIR - National Geophysical Research Institute (NGRI); Helmholtz Association; Helmholtz-Center Potsdam GFZ German Research Center for Geosciences; Technische Universitat Wien; Technical University of Berlin</t>
  </si>
  <si>
    <t>Akilan, A (corresponding author), Natl Geophys Res Inst, CSIR, Uppal Rd, Hyderabad 500007, Andhra Pradesh, India.</t>
  </si>
  <si>
    <t>akilan@ngri.res.in</t>
  </si>
  <si>
    <t>IVS</t>
  </si>
  <si>
    <t>The first author, A. Akilan, sincerely acknowledges Professor Johannes Bohm for financial assistance and for logistical and scientific support, during a successful visit to the Department of Geodesy and Geoinformatics, Vienna University of Technology. The authors gratefully acknowledge the IVS and all its contributing components for supporting this research work with the necessary resources. Thanks also go to Dr. Y.J. Bhaskar Rao, Director, CSIR-NGRI, for kind permission to publish this work. Dr. Malaimani and Dr. V. Gahalaut are acknowledged for the support and facilities provided at NGRI. Figure 1 presented in this paper was generated by use of GMT software (WESSEL and SMITH 1998). We acknowledge critical comments from two anonymous reviewers that helped us to improve the manuscript. The work was conducted under the ILP-0301-28(VKG).</t>
  </si>
  <si>
    <t>SPRINGER BASEL AG</t>
  </si>
  <si>
    <t>BASEL</t>
  </si>
  <si>
    <t>PICASSOPLATZ 4, BASEL, 4052, SWITZERLAND</t>
  </si>
  <si>
    <t>0033-4553</t>
  </si>
  <si>
    <t>1420-9136</t>
  </si>
  <si>
    <t>PURE APPL GEOPHYS</t>
  </si>
  <si>
    <t>Pure Appl. Geophys.</t>
  </si>
  <si>
    <t>10.1007/s00024-014-0952-2</t>
  </si>
  <si>
    <t>CT3AW</t>
  </si>
  <si>
    <t>WOS:000362679200012</t>
  </si>
  <si>
    <t>Schroeder, KL; Sylvain, NJ; Kirkpatrick, LJ; Rosser, BWC</t>
  </si>
  <si>
    <t>Schroeder, Kristen L.; Sylvain, Nicole J.; Kirkpatrick, Lisa J.; Rosser, Benjamin W. C.</t>
  </si>
  <si>
    <t>Fibre types in primary 'flight'muscles of the African Penguin (Spheniscus demersus)</t>
  </si>
  <si>
    <t>ACTA ZOOLOGICA</t>
  </si>
  <si>
    <t>muscle fibre; penguin; wing musculature; immunohistochemistry</t>
  </si>
  <si>
    <t>HEAVY-CHAIN EXPRESSION; PIGEON COLUMBA-LIVIA; NEUROMUSCULAR ORGANIZATION; CONTRACTILE PROPERTIES; PECTORALIS-MUSCLE; FALCO-SPARVERIUS; AMERICAN KESTREL; EMPEROR PENGUINS; AVIAN PECTORALIS; DIVING BEHAVIOR</t>
  </si>
  <si>
    <t>The African penguin (Spheniscus demersus) is an endangered seabird that resides on the temperate southern coast of Africa. Like all penguins it is flightless, instead using its specialized wings for underwater locomotion termed 'aquatic flight'. While musculature and locomotion of the large Antarctic penguins have been well studied, smaller penguins show different biochemical and behavioural adaptations to their habitats. We used histochemical and immunohistochemical methods to characterize fibre type composition of the African penguin primary flight muscles, the pectoralis and supracoracoideus. We hypothesized the pectoralis would contain predominantly fast oxidative-glycolytic (FOG) fibres, with mainly aerobic subtypes. As the supracoracoideus and pectoralis both power thrust, we further hypothesized these muscles would have a similar fibre type complement. Our results supported these hypotheses, also showing an unexpected slow fibre population in the deep parts of pectoralis and supracoracoideus. The latissimus dorsi was also examined as it may contribute to thrust generation during aquatic flight, and in other avian species typically contains definitive fibre types. Unique among birds studied to date, the African penguin anterior latissimus dorsi was found to consist mainly of fast fibres. This study shows the African penguin has specialized flight musculature distinct from other birds, including large Antarctic penguins.</t>
  </si>
  <si>
    <t>[Schroeder, Kristen L.; Sylvain, Nicole J.; Kirkpatrick, Lisa J.; Rosser, Benjamin W. C.] Univ Saskatchewan, Dept Anat &amp; Cell Biol, Saskatoon, SK S7N 5E5, Canada</t>
  </si>
  <si>
    <t>University of Saskatchewan</t>
  </si>
  <si>
    <t>Rosser, BWC (corresponding author), Univ Saskatchewan, Dept Anat &amp; Cell Biol, Saskatoon, SK S7N 5E5, Canada.</t>
  </si>
  <si>
    <t>ben.rosser@usask.ca</t>
  </si>
  <si>
    <t>Rosser, Benjamin/B-7262-2014</t>
  </si>
  <si>
    <t>National Science and Engineering Research Council (NSERC)</t>
  </si>
  <si>
    <t>National Science and Engineering Research Council (NSERC)(Natural Sciences and Engineering Research Council of Canada (NSERC))</t>
  </si>
  <si>
    <t>This research would not have been possible without the generous donation of the three deceased African penguins to our institution by Sea Life Caverns in Edmonton. We extend our sincerest gratitude to the Marine Life Exhibit and to Kim Walker for coordinating this donation. We would also like to thank Dr. Paul Jones at the School of Environment and Sustainability, University of Saskatchewan, for kindly allowing us access to his Zeiss Apotome Microscope. Monoclonal antibodies developed by Frank E. Stockdale were obtained from the Developmental Studies Hybridoma Bank, created by the NICHD of the NIH and maintained at the Department of Biology, University of Iowa. Funding for this study was provided by a National Science and Engineering Research Council (NSERC) Discovery Grant awarded to BWCR.</t>
  </si>
  <si>
    <t>0001-7272</t>
  </si>
  <si>
    <t>1463-6395</t>
  </si>
  <si>
    <t>ACTA ZOOL-STOCKHOLM</t>
  </si>
  <si>
    <t>Acta Zool.</t>
  </si>
  <si>
    <t>10.1111/azo.12097</t>
  </si>
  <si>
    <t>Anatomy &amp; Morphology; Zoology</t>
  </si>
  <si>
    <t>CT0VE</t>
  </si>
  <si>
    <t>WOS:000362514700011</t>
  </si>
  <si>
    <t>Chen, QQ; Nie, YG; Liu, XD; Xu, LQ; Emslie, SD</t>
  </si>
  <si>
    <t>Chen, Qianqian; Nie, Yaguang; Liu, Xiaodong; Xu, Liqiang; Emslie, Steven D.</t>
  </si>
  <si>
    <t>An 800-year ultraviolet radiation record inferred from sedimentary pigments in the Ross Sea area, East Antarctica</t>
  </si>
  <si>
    <t>BOREAS</t>
  </si>
  <si>
    <t>SOLAR UV-RADIATION; INDUCED DNA-DAMAGE; CLIMATE-CHANGE; OZONE DEPLETION; ORNITHOGENIC SEDIMENTS; ENVIRONMENTAL-FACTORS; STRATOSPHERIC OZONE; LARSEMANN HILLS; AMINO-ACIDS; ICE-FREE</t>
  </si>
  <si>
    <t>High performance liquid chromatography (HPLC) combined with mass spectrometry (MS) was used to analyse deposited pigments (including chlorophyll a, phaeophytin a, canthaxanthin, echinenone, zeaxanthin, scytonemin and mycosporine-like amino acids) from two sediment profiles of ponds in the Ross Sea area, East Antarctica. We explored the sources and characteristics of each pigment, reconstructed an 800-year record of ultraviolet radiation (UVR) and total incoming light intensity, and identified the possible factors that may have influenced historical UVR changes in this region. The results indicated at least four UVR peaks during the past 800 years, corresponding to c. AD 1950-2000, 1720-1790, 1560-1630 and 1350-1480, with the intensity from the most recent sediments being the highest. A comparison between the changes in UVR and total incoming light intensity showed similar patterns between AD 1720 and 1830, suggesting that factors controlling the UVR intensity in the Ross Sea area may be related to insolation fluctuation at that time. The two proxies are, however, weakly correlated during other periods. Historically, there is a relationship between the reconstructed UVR and solar activity, but this natural process may be strongly affected by multiple factors, including climate parameter change and anthropogenic activities during the modern times.</t>
  </si>
  <si>
    <t>[Chen, Qianqian; Nie, Yaguang; Liu, Xiaodong] Univ Sci &amp; Technol China, Sch Earth &amp; Space Sci, Inst Polar Environm, Hefei 230026, Peoples R China; [Chen, Qianqian] Anhui Xinhua Univ, Sch Civil &amp; Environm Engn, Hefei 230088, Peoples R China; [Nie, Yaguang] Chinese Acad Sci &amp; Anhui Prov, Hefei Inst Phys Sci, Key Lab Ion Beam Bioengn, Hefei 230031, Peoples R China; [Xu, Liqiang] Hefei Univ Technol, Sch Resources &amp; Environm Engn, Hefei 230009, Peoples R China; [Emslie, Steven D.] Univ N Carolina, Dept Biol &amp; Marine Biol, Wilmington, NC 28403 USA</t>
  </si>
  <si>
    <t>Chinese Academy of Sciences; University of Science &amp; Technology of China, CAS; Anhui Xinhua University; Chinese Academy of Sciences; Hefei Institutes of Physical Science, CAS; Hefei University of Technology; University of North Carolina; University of North Carolina Wilmington</t>
  </si>
  <si>
    <t>Liu, XD (corresponding author), Univ Sci &amp; Technol China, Sch Earth &amp; Space Sci, Inst Polar Environm, Hefei 230026, Peoples R China.</t>
  </si>
  <si>
    <t>ycx@ustc.edu.cn</t>
  </si>
  <si>
    <t>Xu, Liqiang/AGX-6674-2022</t>
  </si>
  <si>
    <t>National Natural Science Foundation of China [41376124, 41076123]; Chinese Polar Environment Comprehensive Investigation &amp; Assessment Programme [CHINARE2015-04-04-09]; National Science Foundation, USA [ANT-0739575]</t>
  </si>
  <si>
    <t>National Natural Science Foundation of China(National Natural Science Foundation of China (NSFC)); Chinese Polar Environment Comprehensive Investigation &amp; Assessment Programme; National Science Foundation, USA(National Science Foundation (NSF))</t>
  </si>
  <si>
    <t>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We are especially grateful to Prof. Liguang Sun for his valuable support of this project. This study was supported by the National Natural Science Foundation of China (grant nos 41376124 and 41076123), the Chinese Polar Environment Comprehensive Investigation &amp; Assessment Programme (CHINARE2015-04-04-09) and the National Science Foundation, USA (ANT-0739575). We thank the anonymous reviewers for their comments and criticism that led to improvements in our manuscript.</t>
  </si>
  <si>
    <t>0300-9483</t>
  </si>
  <si>
    <t>1502-3885</t>
  </si>
  <si>
    <t>Boreas</t>
  </si>
  <si>
    <t>10.1111/bor.12130</t>
  </si>
  <si>
    <t>CT4IK</t>
  </si>
  <si>
    <t>WOS:000362769600005</t>
  </si>
  <si>
    <t>Noonan, B; Zawar-Reza, P; Lawson, W</t>
  </si>
  <si>
    <t>Noonan, Bob; Zawar-Reza, Peyman; Lawson, Wendy</t>
  </si>
  <si>
    <t>Boundary-layer climate of the Darwin-Hatherton Glacial System, Antarctica: meso- and synoptic-scale circulations</t>
  </si>
  <si>
    <t>INTERNATIONAL JOURNAL OF CLIMATOLOGY</t>
  </si>
  <si>
    <t>Transantarctic Mountains; self-organizing maps; Byrd Glacier; Antarctica; Darwin-Hatherton; katabatic; Polar WRF; anabatic</t>
  </si>
  <si>
    <t>MCMURDO DRY VALLEYS; ROSS ICE SHELF; GROUNDING-LINE RETREAT; FORECASTING WRF MODEL; SURFACE WIND-FIELD; WEATHER RESEARCH; KATABATIC WINDS; FOEHN WINDS; EVENT; SHEET</t>
  </si>
  <si>
    <t>The Transantarctic Mountain (TAM) glaciers that border the Ross Ice Shelf are important for the Antarctic Ice Sheet mass balance, but little is known about their climate. This research presents a climatology of the Darwin-Hatherton Glacial System (DHGS). Measurements from the longest reliably functioning automatic weather station in the TAM south of 78 degrees latitude (2005-2011, excluding 2009) are used to describe the boundary-layer climate. Identified mesoscale features, denoted as downslope, humid, stagnant and anabatic winds, are profiled in terms of their character and frequency. The influence of the synoptic circulation on the boundary layer is investigated by comparing mesoscale feature frequencies to a set of synoptic pressure maps produced from Polar Weather Research and Forecasting model simulations and the self-organizing maps algorithm. Between April and September, the boundary layer is dominated by strong, dry, cold downslope winds (80%) that continuously flush the DHGS boundary layer preventing cold pools from developing, as is common in the McMurdo Dry Valleys. Humid winds, occurring under a variety of synoptic circulations, irregularly interrupt downslope winds, elevating air temperatures and specific humidity. Downslope winds begin to abate in October in frequency (24%) and strength, and humid winds become dominant (67%). A portion of humid winds in summer are mesoscale anabatic winds (15%) occurring after morning periods of downslope winds, and frequently under synoptic circulations whose pressure gradient is parallel to the TAM. The remaining 52% of humid winds generally persist for a day to multiple days, occurring more commonly under synoptic circulations whose pressure gradients are slack. The speed of downslope winds is influenced by synoptic circulation pressure gradient and orientation. The climate is similar to the Mulock Glacier, particularly from February to November. Changes to the synoptic circulation will impact the climate of these glaciers and their surface mass balance.</t>
  </si>
  <si>
    <t>[Noonan, Bob; Zawar-Reza, Peyman] Univ Canterbury, Ctr Atmospher Res, Christchurch 1, New Zealand; [Lawson, Wendy] Univ Canterbury, Dept Geog, Christchurch 1, New Zealand</t>
  </si>
  <si>
    <t>University of Canterbury; University of Canterbury</t>
  </si>
  <si>
    <t>Noonan, B (corresponding author), Univ Canterbury, Ctr Atmospher Res, Christchurch 1, New Zealand.</t>
  </si>
  <si>
    <t>bob-noonan@hotmail.com</t>
  </si>
  <si>
    <t>Antarctica New Zealand; Christchurch City Council; Helicopters New Zealand; NSF [ANT-0944018, ANT-1245663]</t>
  </si>
  <si>
    <t>Antarctica New Zealand; Christchurch City Council; Helicopters New Zealand; NSF(National Science Foundation (NSF))</t>
  </si>
  <si>
    <t>We wish to thank Antarctica New Zealand, the Christchurch City Council and Helicopters New Zealand for funding this research. We appreciate the open access to AWS data. BH and LD AWS data sets were obtained through the Latitudinal Gradient Project website (http://www.lgp.aq/), and non-DHGS data sets from the University of Wisconsin-Madison Automatic Weather Station Program, NSF grant numbers ANT-0944018 and ANT-1245663. We thank the Polar Meteorology Group at Byrd Polar Research Centre for supplying Polar-WRF source code, and the Helsinki University of Technology for access to SOM_PAK code. We wish to credit NASA LP DAAC for ASTER GDEM data, a product of METI and NASA and Pascal Sirguey for the DHGS DEM. We wish to thank I. Owens, D. Reusch, and J. Cassano for their opinions and assistance, and the reviewers whose comments have improved this manuscript.</t>
  </si>
  <si>
    <t>0899-8418</t>
  </si>
  <si>
    <t>1097-0088</t>
  </si>
  <si>
    <t>INT J CLIMATOL</t>
  </si>
  <si>
    <t>Int. J. Climatol.</t>
  </si>
  <si>
    <t>10.1002/joc.4235</t>
  </si>
  <si>
    <t>CT3TY</t>
  </si>
  <si>
    <t>WOS:000362731000015</t>
  </si>
  <si>
    <t>Previdi, M; Smith, KL; Polvani, LM</t>
  </si>
  <si>
    <t>Previdi, Michael; Smith, Karen L.; Polvani, Lorenzo M.</t>
  </si>
  <si>
    <t>How Well Do the CMIP5 Models Simulate the Antarctic Atmospheric Energy Budget?</t>
  </si>
  <si>
    <t>Geographic location; entity; Antarctica; Physical Meteorology and Climatology; Climatology; Energy budget; balance; Radiative fluxes; Models and modeling; Climate models; Model evaluation; performance</t>
  </si>
  <si>
    <t>SEA-ICE EXTENT; SOUTHERN-OCEAN; CLIMATE; REANALYSIS; BIASES; TRENDS</t>
  </si>
  <si>
    <t>The authors evaluate 23 coupled atmosphere-ocean general circulation models from phase 5 of CMIP (CMIP5) in terms of their ability to simulate the observed climatological mean energy budget of the Antarctic atmosphere. While the models are shown to capture the gross features of the energy budget well [e.g., the observed two-way balance between the top-of-atmosphere (TOA) net radiation and horizontal convergence of atmospheric energy transport], the simulated TOA absorbed shortwave (SW) radiation is too large during austral summer. In the multimodel mean, this excessive absorption reaches approximately 10 W m(-2), with even larger biases (up to 25-30 W m(-2)) in individual models. Previous studies have identified similar climate model biases in the TOA net SW radiation at Southern Hemisphere midlatitudes and have attributed these biases to errors in the simulated cloud cover. Over the Antarctic, though, model cloud errors are of secondary importance, and biases in the simulated TOA net SW flux are instead driven mainly by biases in the clear-sky SW reflection. The latter are likely related in part to the models' underestimation of the observed annual minimum in Antarctic sea ice extent, thus underscoring the importance of sea ice in the Antarctic energy budget. Finally, substantial differences in the climatological surface energy fluxes between existing observational datasets preclude any meaningful assessment of model skill in simulating these fluxes.</t>
  </si>
  <si>
    <t>[Previdi, Michael; Smith, Karen L.; Polvani, Lorenzo M.] Columbia Univ, Lamont Doherty Earth Observ, Palisades, NY 10964 USA; [Polvani, Lorenzo M.] Columbia Univ, Dept Appl Phys &amp; Appl Math, New York, NY USA; [Polvani, Lorenzo M.] Columbia Univ, Dept Earth &amp; Environm Sci, New York, NY USA</t>
  </si>
  <si>
    <t>Columbia University; Columbia University; Columbia University</t>
  </si>
  <si>
    <t>Previdi, M (corresponding author), Columbia Univ, Lamont Doherty Earth Observ, 61 Route 9W, Palisades, NY 10964 USA.</t>
  </si>
  <si>
    <t>mprevidi@ldeo.columbia.edu</t>
  </si>
  <si>
    <t>Polvani, Lorenzo M/E-5949-2011</t>
  </si>
  <si>
    <t>Smith, Karen/0000-0002-4652-6310</t>
  </si>
  <si>
    <t>NSF Division of Polar Programs [PLR 13-41657]</t>
  </si>
  <si>
    <t>NSF Division of Polar Programs(National Science Foundation (NSF)NSF - Directorate for Geosciences (GEO))</t>
  </si>
  <si>
    <t>We thank three anonymous reviewers whose comments significantly improved the manuscript. We gratefully acknowledge support from the NSF Division of Polar Programs, PLR 13-41657. We also acknowledge the World Climate Research Programme's Working Group on Coupled Modelling, which is responsible for CMIP, and we thank the climate modeling groups for producing and making available their model output.</t>
  </si>
  <si>
    <t>10.1175/JCLI-D-15-0027.1</t>
  </si>
  <si>
    <t>CT2VF</t>
  </si>
  <si>
    <t>WOS:000362661800002</t>
  </si>
  <si>
    <t>Tosh, CA; de Bruyn, PJN; Steyn, J; Bornemann, H; van den Hoff, J; Stewart, BS; Plötz, J; Bester, MN</t>
  </si>
  <si>
    <t>Tosh, Cheryl A.; de Bruyn, P. J. Nico; Steyn, Jumari; Bornemann, Horst; van den Hoff, John; Stewart, Brent S.; Ploetz, Joachim; Bester, Marthan N.</t>
  </si>
  <si>
    <t>The importance of seasonal sea surface height anomalies for foraging juvenile southern elephant seals</t>
  </si>
  <si>
    <t>MARINE BIOLOGY</t>
  </si>
  <si>
    <t>PRINCE-EDWARD ISLANDS; SUBTROPICAL CONVERGENCE; MESOSCALE VARIABILITY; MIROUNGA-LEONINA; WINTER HAULOUT; INDIAN-OCEAN; FUR SEALS; EDDIES; COMMUNITIES; PREDATOR</t>
  </si>
  <si>
    <t>A novel classification system was applied to the sea level anomaly (SLA) environment around Marion Island. We classified the SLA seascape into habitat types and calculated percentage of habitat use of ten juvenile southern elephant seals (SES). Movements were compared to SLA and SLA slope values indicative of ocean eddy features. This classification provides a measure of habitat change due to seasonal fluctuations in SLA. Some of the seals made two migrations in different seasons, each of similar duration and proportions of potential foraging behaviour. The seals in this study did not use any intense eddy features, but their behaviours varied with SLA class. Potential foraging behaviour was positively influenced by negative SLA values (i.e. areas of below average sea surface height). Searching behaviour during the winter was more likely at eddy edges where high SLA slope values correlated with low SLA values. Though the seals did not forage within newly spawned eddies, they did forage near the sub-Antarctic front. Plankton and other biological resources transported by eddies formed at the subtropical convergence zone are evidently concentrated in this region and enhance the food chain there, forming a foraging ground for juvenile SES from Marion Island.</t>
  </si>
  <si>
    <t>[Tosh, Cheryl A.; de Bruyn, P. J. Nico; Steyn, Jumari; Bester, Marthan N.] Univ Pretoria, Mammal Res Inst, Dept Zool &amp; Entomol, ZA-0028 Hatfield, South Africa; [Bornemann, Horst; Ploetz, Joachim] Alfred Wegener Inst Helmholtz Zentrum Polar &amp; Mee, D-27515 Bremerhaven, Germany; [van den Hoff, John] Australian Antarctic Div, Kingston, Tas 7050, Australia; [Stewart, Brent S.] Hubbs SeaWorld Res Inst, San Diego, CA 92109 USA</t>
  </si>
  <si>
    <t>University of Pretoria; Helmholtz Association; Alfred Wegener Institute, Helmholtz Centre for Polar &amp; Marine Research; Australian Antarctic Division</t>
  </si>
  <si>
    <t>Tosh, CA (corresponding author), Univ Pretoria, Mammal Res Inst, Dept Zool &amp; Entomol, Private Bag X20, ZA-0028 Hatfield, South Africa.</t>
  </si>
  <si>
    <t>catosh@zoology.up.ac.za</t>
  </si>
  <si>
    <t>de Bruyn, P. J. Nico/E-4176-2010; Bester, Marthán N/E-5387-2010; Tosh, Cheryl/D-5623-2016</t>
  </si>
  <si>
    <t>de Bruyn, P. J. Nico/0000-0002-9114-9569; Tosh, Cheryl/0000-0003-0243-5422</t>
  </si>
  <si>
    <t>Alfred Wegener Institute for Polar and Marine Research (Germany); Department of Science and Technology through the National Research Foundation (South Africa); Department of Environmental Affairs via the South African National Antarctic Programme; Australian Antarctic Division; Hubbs-SeaWorld Research Institute</t>
  </si>
  <si>
    <t>The Alfred Wegener Institute for Polar and Marine Research (Germany), the Department of Science and Technology through the National Research Foundation (South Africa), the Department of Environmental Affairs via the South African National Antarctic Programme, the Australian Antarctic Division and Hubbs-SeaWorld Research Institute provided financial, material and logistical support.</t>
  </si>
  <si>
    <t>SPRINGER HEIDELBERG</t>
  </si>
  <si>
    <t>HEIDELBERG</t>
  </si>
  <si>
    <t>TIERGARTENSTRASSE 17, D-69121 HEIDELBERG, GERMANY</t>
  </si>
  <si>
    <t>0025-3162</t>
  </si>
  <si>
    <t>1432-1793</t>
  </si>
  <si>
    <t>MAR BIOL</t>
  </si>
  <si>
    <t>Mar. Biol.</t>
  </si>
  <si>
    <t>10.1007/s00227-015-2743-4</t>
  </si>
  <si>
    <t>CS8FS</t>
  </si>
  <si>
    <t>WOS:000362322200017</t>
  </si>
  <si>
    <t>Liao, L; Sun, X; Yu, Y; Chen, B</t>
  </si>
  <si>
    <t>Liao, Li; Sun, Xi; Yu, Yong; Chen, Bo</t>
  </si>
  <si>
    <t>Draft genome of Marinomonas sp BSi20584 from Arctic sea ice</t>
  </si>
  <si>
    <t>MARINE GENOMICS</t>
  </si>
  <si>
    <t>Arctic; Sea ice; Marinomonas; Polar regions; Genome</t>
  </si>
  <si>
    <t>SEQUENCE; METABOLISM; BACTERIUM; TREES; DMSP</t>
  </si>
  <si>
    <t>Life surviving in extremely cold frozen environments has been largely uninvestigated. Here we described the draft genome of Marinomonas sp. BSi20584, isolated from Arctic sea ice in the Canada Basin. The assembled genome comprised 4.85 Mb, with the G + C content of 42.6%. Single copy of rRNA operon was detected, which may increase fitness in cold and nutrient-limited environment. In addition, BSi20584 may also use universal strategies for cold adaptation as indicated by the genome. Abundant genes responsible for decomposition of aromatic hydrocarbons were detected, which suggested potential biotechnological applications. The first genomic analysis of Marinomonas in Arctic sea ice provided primary genetic information and encouraged further research on comparative genomics and biotechnological applications. (C) 2015 Elsevier B.V. All rights reserved.</t>
  </si>
  <si>
    <t>[Liao, Li; Sun, Xi; Yu, Yong; Chen, Bo] Polar Res Inst China, SOA Key Lab Polar Sci, Shanghai 200136, Peoples R China; [Sun, Xi] E China Univ Sci &amp; Technol, Coll Bioengn, Shanghai 200237, Peoples R China</t>
  </si>
  <si>
    <t>Polar Research Institute of China; East China University of Science &amp; Technology</t>
  </si>
  <si>
    <t>Chen, B (corresponding author), Polar Res Inst China, SOA Key Lab Polar Sci, Shanghai 200136, Peoples R China.</t>
  </si>
  <si>
    <t>chenbo@pric.org.cn</t>
  </si>
  <si>
    <t>National Natural Science Foundation of China [41406181]; Shanghai Natural Science Foundation [13ZR1462700]; Chinese Polar Environment Comprehensive Investigation, Assessment Program [CHINARE04-03]; National High-Tech Research and Development Program of China [2012AA092105]</t>
  </si>
  <si>
    <t>National Natural Science Foundation of China(National Natural Science Foundation of China (NSFC)); Shanghai Natural Science Foundation(Natural Science Foundation of Shanghai); Chinese Polar Environment Comprehensive Investigation, Assessment Program; National High-Tech Research and Development Program of China(National High Technology Research and Development Program of China)</t>
  </si>
  <si>
    <t>We appreciate the assistance of the Chinese Arctic and Antarctic Administration (CAA) for organization of the Second Chinese National Arctic Research Expedition in 2003. This work was supported by grants from National Natural Science Foundation of China (Grant No. 41406181), Shanghai Natural Science Foundation (Grant No. 13ZR1462700) and Chinese Polar Environment Comprehensive Investigation, Assessment Program (Grant No. CHINARE04-03) and National High-Tech Research and Development Program of China (Grant No. 2012AA092105).</t>
  </si>
  <si>
    <t>1874-7787</t>
  </si>
  <si>
    <t>1876-7478</t>
  </si>
  <si>
    <t>MAR GENOM</t>
  </si>
  <si>
    <t>Mar. Genom.</t>
  </si>
  <si>
    <t>10.1016/j.margen.2015.03.013</t>
  </si>
  <si>
    <t>Genetics &amp; Heredity; Marine &amp; Freshwater Biology</t>
  </si>
  <si>
    <t>CT2FS</t>
  </si>
  <si>
    <t>WOS:000362618000004</t>
  </si>
  <si>
    <t>Aponte, JC; Dworkin, JP; Elsila, JE</t>
  </si>
  <si>
    <t>Aponte, Jose C.; Dworkin, Jason P.; Elsila, Jamie E.</t>
  </si>
  <si>
    <t>Indigenous aliphatic amines in the aqueously altered Orgueil meteorite</t>
  </si>
  <si>
    <t>METEORITICS &amp; PLANETARY SCIENCE</t>
  </si>
  <si>
    <t>CARBON-ISOTOPE COMPOSITION; COMPOUND-SPECIFIC CARBON; ENANTIOMERIC EXCESSES; MONOCARBOXYLIC ACIDS; MURCHISON METEORITE; ASYMMETRIC AUTOCATALYSIS; ICE ANALOGS; PARENT BODY; ISOVALINE; NITROGEN</t>
  </si>
  <si>
    <t>The CI1 Orgueil meteorite is a highly aqueously altered carbonaceous chondrite. It has been extensively studied, and despite its extensive degree of aqueous alteration and some documented instances of contamination, several indigenous organic compounds including amino acids, carboxylic acids, and nucleobases have been detected in its carbon-rich matrix. We recently developed a novel gas chromatographic method for the enantiomeric and compound-specific isotopic analyses of meteoritic aliphatic monoamines in extracts and have now applied this method to investigate the monoamine content in Orgueil. We detected 12 amines in Orgueil, with concentrations ranging from 1.1 to 332 nmol g(-1) of meteorite and compared this amine content in Orgueil with that of the CM2 Murchison meteorite, which experienced less parent-body aqueous alteration. Methylamine is four times more abundant in Orgueil than in Murchison. As with other species, the amine content in Orgueil extracts shows less structural diversity than that in Murchison extracts. We measured the compound-specific stable carbon isotopic ratios (delta C-13) for 5 of the 12 monoamines detected in Orgueil and found a range of delta C-13 values from -20 to +59 parts per thousand. These delta C-13 values fall into the range of other meteoritic organic compounds, although they are C-13-depleted relative to their counterparts extracted from the Murchison meteorite. In addition, we measured the enantiomeric composition for the chiral monoamines (R)- and (S)-sec-butylamine in Orgueil, and found it was racemic within experimental error, in contrast with the L-enantiomeric excess found for its amino acid structural analog isovaline. The racemic nature of sec-butylamine in Orgueil was comparable to that previously observed in Murchison, and to other CM2 and CR2 carbonaceous chondrites measured in this work (ALH 83100 [CM1/2], LON 94101 [CM2], LEW 90500 [CM2], LAP 02342 [CR2], and GRA 95229 [CR2]). These results allow us to place some constraints on the effects of aqueous alteration observed over the monoamine concentrations in Orgueil and Murchison, and to evaluate the primordial synthetic relationships between meteoritic monoamines and amino acids.</t>
  </si>
  <si>
    <t>[Aponte, Jose C.; Dworkin, Jason P.; Elsila, Jamie E.] NASA, Goddard Space Flight Ctr, Solar Syst Explorat Div, Greenbelt, MD 20771 USA; [Aponte, Jose C.] Catholic Univ Amer, Dept Chem, Washington, DC 20064 USA</t>
  </si>
  <si>
    <t>National Aeronautics &amp; Space Administration (NASA); NASA Goddard Space Flight Center; Catholic University of America</t>
  </si>
  <si>
    <t>Aponte, JC (corresponding author), NASA, Goddard Space Flight Ctr, Solar Syst Explorat Div, Code 691, Greenbelt, MD 20771 USA.</t>
  </si>
  <si>
    <t>jose.c.aponte@nasa.gov</t>
  </si>
  <si>
    <t>Elsila, Jamie E/C-9952-2012; Elsila, Jamie/AAM-2654-2020; Dworkin, Jason P./C-9417-2012; Aponte, Jose C./B-9091-2013</t>
  </si>
  <si>
    <t>Dworkin, Jason P./0000-0002-3961-8997; Aponte, Jose C./0000-0002-0131-1981; Elsila, Jamie/0000-0002-0008-2590</t>
  </si>
  <si>
    <t>NSF; NASA; NASA Postdoctoral Program at the Goddard Space Flight Center; NASA Astrobiology Institute through NASA; NASA Astrobiology Institute; Goddard Center for Astrobiology, NASA's Cosmochemistry Program; Simons Foundation (SCOL award) [302497]</t>
  </si>
  <si>
    <t>NSF(National Science Foundation (NSF)); NASA(National Aeronautics &amp; Space Administration (NASA)); NASA Postdoctoral Program at the Goddard Space Flight Center; NASA Astrobiology Institute through NASA; NASA Astrobiology Institute; Goddard Center for Astrobiology, NASA's Cosmochemistry Program; Simons Foundation (SCOL award)</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</si>
  <si>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thank P. Ehrenfreund for providing the Orgueil meteorite sample used in this study, D. P. Glavin for his helpful discussions, and Queenie H. S. Chan and an anonymous reviewer for their insightful criticism and suggestions to improve the manuscript. J. C. A. acknowledges the support from the NASA Postdoctoral Program at the Goddard Space Flight Center, administered by Oak Ridge Associated Universities and the NASA Astrobiology Institute through a contract with NASA. This research was supported by the NASA Astrobiology Institute and the Goddard Center for Astrobiology, NASA's Cosmochemistry Program, and a grant from the Simons Foundation (SCOL award 302497 to J. P. D.).</t>
  </si>
  <si>
    <t>1086-9379</t>
  </si>
  <si>
    <t>1945-5100</t>
  </si>
  <si>
    <t>METEORIT PLANET SCI</t>
  </si>
  <si>
    <t>Meteorit. Planet. Sci.</t>
  </si>
  <si>
    <t>10.1111/maps.12507</t>
  </si>
  <si>
    <t>CT1JN</t>
  </si>
  <si>
    <t>WOS:000362554700006</t>
  </si>
  <si>
    <t>Day, JMD; Corder, CA; Rumble, D; Assayag, N; Cartigny, P; Taylor, LA</t>
  </si>
  <si>
    <t>Day, James M. D.; Corder, Christopher A.; Rumble, Douglas, III; Assayag, Nelly; Cartigny, Pierre; Taylor, Lawrence A.</t>
  </si>
  <si>
    <t>Differentiation processes in FeO-rich asteroids revealed by the achondrite Lewis Cliff 88763</t>
  </si>
  <si>
    <t>PARTIAL MELT RESIDUES; HIGHLY SIDEROPHILE ELEMENTS; OXYGEN-ISOTOPE; METEORITES; BRACHINITES; SYSTEMATICS; GEOCHEMISTRY; CONDENSATION; PETROGENESIS; SEPARATION</t>
  </si>
  <si>
    <t>Olivine-dominated (70-80 modal %) achondrite meteorite Lewis Cliff (LEW) 88763 originated from metamorphism and limited partial melting of a FeO-rich parent body. The meteorite experienced some alteration on Earth, evident from subchondritic Re/Os, and redistribution of rhenium within the sample. LEW 88763 is texturally similar to winonaites, has a Delta O-17 value of -1.19 +/- 0.10 parts per thousand, and low bulk-rock Mg/(Mg+Fe) (0.39), similar to the FeO-rich cumulate achondrite Northwest Africa (NWA) 6693. The similar bulk-rock major-, minor-, and trace-element abundances of LEW 88763, relative to some carbonaceous chondrites, including ratios of Pd/Os, Pt/Os, Ir/Os, and Os-187/Os-188 (0.1262), implies a FeO-and volatile-rich precursor composition. Lack of fractionation of the rare earth elements, but a factor of approximately two lower highly siderophile element abundances in LEW 88763, compared with chondrites, implies limited loss of Fe-Ni-S melts during metamorphism and anatexis. These results support the generation of high Fe/Mg, sulfide, and/or metal-rich partial melts from FeO-rich parent bodies during partial melting. In detail, however, LEW 88763 cannot be a parent composition to any other meteorite sample, due to highly limited silicate melt loss (0 to &lt;&lt; 5%). As such, LEW 88763 represents the least-modified FeO-rich achondrite source composition recognized to date and is distinct from all other meteorites. LEW 88763 should be reclassified as an anomalous achondrite that experienced limited Fe, Ni-FeS melt loss. Lewis Cliff 88763, combined with a growing collection of FeO-rich meteorites, such as brachinites, brachinite-like achondrites, the Graves Nunataks (GRA) 06128/9 meteorites, NWA 6693, and Tafassasset, has important implications for understanding the initiation of planetary differentiation. Specifically, regardless of precursor compositions, partial melting and differentiation processes appear to be similar on asteroidal bodies spanning a range of initial oxidation states and volatile contents.</t>
  </si>
  <si>
    <t>[Day, James M. D.; Corder, Christopher A.] Univ Calif San Diego, Scripps Inst Oceanog, Geosci Res Div, La Jolla, CA 92093 USA; [Rumble, Douglas, III] Carnegie Inst Sci, Geophys Lab, Washington, DC 20015 USA; [Assayag, Nelly; Cartigny, Pierre] Univ Paris Diderot, Sorbonne Paris Cite, CNRS, Inst Phys Globe Paris,UMR 7154, F-75238 Paris, France; [Taylor, Lawrence A.] Univ Tennessee, Dept Earth &amp; Planetary Sci, Planetary Geosci Inst, Knoxville, TN 37996 USA</t>
  </si>
  <si>
    <t>University of California System; University of California San Diego; Scripps Institution of Oceanography; Carnegie Institution for Science; Universite Paris Cite; Centre National de la Recherche Scientifique (CNRS); CNRS - National Institute for Earth Sciences &amp; Astronomy (INSU); University of Tennessee System; University of Tennessee Knoxville</t>
  </si>
  <si>
    <t>Day, JMD (corresponding author), Univ Calif San Diego, Scripps Inst Oceanog, Geosci Res Div, La Jolla, CA 92093 USA.</t>
  </si>
  <si>
    <t>jmdday@ucsd.edu</t>
  </si>
  <si>
    <t>ASSAYAG, Nelly/G-2267-2017; Rumble, Douglas/AAU-3930-2020; Cartigny, Pierre/A-6251-2011; Day, James/A-5099-2010</t>
  </si>
  <si>
    <t>ASSAYAG, Nelly/0000-0002-5105-9876; Rumble, Douglas/0000-0002-7440-9189; Day, James/0000-0001-9520-3465</t>
  </si>
  <si>
    <t>NSF; NASA; NASA Cosmochemistry program [NNX12AH75G, NNX11AG586]; NASA [NNX12AH75G, 19757] Funding Source: Federal RePORTER</t>
  </si>
  <si>
    <t>NSF(National Science Foundation (NSF)); NASA(National Aeronautics &amp; Space Administration (NASA)); NASA Cosmochemistry program(National Aeronautics &amp; Space Administration (NASA)); NASA(National Aeronautics &amp; Space Administration (NASA))</t>
  </si>
  <si>
    <t>We thank J.-A. Barrat, K. Gardner-Vandy, and T. Swindle for their constructive reviews and I. Franchi for editorial handling. We are grateful to the Meteorite Working Group for provision of LEW 88763, 14 and 20. US Antarctic meteorites are recovered by the Antarctic Search for Meteorites (ANSMET) program, which has been funded by the NSF and NASA and curated by the Smithsonian Institution and NASA Johnson Space Center. Support for this work from the NASA Cosmochemistry program (NNX12AH75G to JMDD and NNX11AG586 to LAT) is gratefully acknowledged. The authors declare no conflicts of interest.</t>
  </si>
  <si>
    <t>10.1111/maps.12509</t>
  </si>
  <si>
    <t>WOS:000362554700007</t>
  </si>
  <si>
    <t>Kim, HW; Lee, SY; Park, H; Jeon, SJ</t>
  </si>
  <si>
    <t>Kim, Han-Woo; Lee, So-Yeong; Park, Hyun; Jeon, Sung-Jong</t>
  </si>
  <si>
    <t>Expression, refolding, and characterization of a small laccase from Thermus thermophilus HJ6</t>
  </si>
  <si>
    <t>PROTEIN EXPRESSION AND PURIFICATION</t>
  </si>
  <si>
    <t>Laccase; Refolding; Thermus thermophilus; Thermostability</t>
  </si>
  <si>
    <t>MULTICOPPER OXIDASES; FUNGAL LACCASE; POLYPHENOL OXIDASE; STREPTOMYCES; ENZYMES; MECHANISMS; COMPONENT; FEATURES; CLONING; LIGNIN</t>
  </si>
  <si>
    <t>An open reading frame of the Thermus thermophilus HJ6 hypothetical laccase, which composed of 729 bases, was cloned and expressed as a fusion protein with six histidine residues in Escherichia coli SoluBL21(TM) cells. The resulting insoluble bodies were separated from cellular debris by centrifugation and solubilized with 6 M guanidine HCI. The solubilized protein was refolded by a simple on-column refolding procedure using Ni-chelation affinity chromatography and then the refolded protein was purified by gel filtration chromatography. It showed a single band with a molecular mass of 27 kDa in SDS-PAGE. The results from UV-visible absorption and electron paramagnetic resonance (EPR) analysis suggested that the enzyme had the typical copper sites, type-1, 2, and 3 Cu(II) of laccase. The purified enzyme exhibited the laccase activity with the optimal catalytic temperature at 75 degrees C. The optimum pH for the oxidation of 2,2'-azino-bis(3-ethylbenzothiazoline-6-sulfonic acid) (ABTS) and syringaldazine was 4.5 and 6.0, respectively. The recombinant protein showed high thermostability, and the half-life of heat inactivation was about 50 min at 85 degrees C. The enzyme oxidized various known laccase substrates, its lowest Km value being for syringaldazine, highest k(cat) value for guaiacol, and highest k(cat)/K-m for 2,6-dimethoxy-phenol. The enzyme reaction was strongly inhibited by the metal chelators and the thiol compounds. (C) 2015 Elsevier Inc. All rights reserved.</t>
  </si>
  <si>
    <t>[Kim, Han-Woo; Park, Hyun] Korea Univ Sci &amp; Technol, Korea Polar Res Inst KOPRI, Div Life Sci, Inchon 406840, South Korea; [Kim, Han-Woo; Park, Hyun] Korea Univ Sci &amp; Technol, Dept Polar Sci, Inchon 406840, South Korea; [Lee, So-Yeong; Jeon, Sung-Jong] Dong Eui Univ, Dept Smart Biohlth, Busan 614714, South Korea; [Jeon, Sung-Jong] Dong Eui Univ, Dept Biotechnol &amp; Bioengn, Busan 614714, South Korea</t>
  </si>
  <si>
    <t>Korea Polar Research Institute (KOPRI); Dong-Eui University; Dong-Eui University</t>
  </si>
  <si>
    <t>Jeon, SJ (corresponding author), Dong Eui Univ, Dept Biotechnol &amp; Bioengn, 176 Eomgwangno, Busan 614714, South Korea.</t>
  </si>
  <si>
    <t>jeon.sj@deu.ac.kr</t>
  </si>
  <si>
    <t>Park, Hyun/0000-0002-8055-2010</t>
  </si>
  <si>
    <t>Antarctic organisms: Cold-Adaptation Mechanisms - Korea Polar Research Institute (KOPRI) [PE15070]</t>
  </si>
  <si>
    <t>Antarctic organisms: Cold-Adaptation Mechanisms - Korea Polar Research Institute (KOPRI)</t>
  </si>
  <si>
    <t>This work was supported by the Antarctic organisms: Cold-Adaptation Mechanisms and its application Grant (PE15070) funded by the Korea Polar Research Institute (KOPRI).</t>
  </si>
  <si>
    <t>ACADEMIC PRESS INC ELSEVIER SCIENCE</t>
  </si>
  <si>
    <t>SAN DIEGO</t>
  </si>
  <si>
    <t>525 B ST, STE 1900, SAN DIEGO, CA 92101-4495 USA</t>
  </si>
  <si>
    <t>1046-5928</t>
  </si>
  <si>
    <t>1096-0279</t>
  </si>
  <si>
    <t>PROTEIN EXPRES PURIF</t>
  </si>
  <si>
    <t>Protein Expr. Purif.</t>
  </si>
  <si>
    <t>10.1016/j.pep.2015.06.004</t>
  </si>
  <si>
    <t>Biochemical Research Methods; Biochemistry &amp; Molecular Biology; Biotechnology &amp; Applied Microbiology</t>
  </si>
  <si>
    <t>Biochemistry &amp; Molecular Biology; Biotechnology &amp; Applied Microbiology</t>
  </si>
  <si>
    <t>CT0DG</t>
  </si>
  <si>
    <t>WOS:000362463500006</t>
  </si>
  <si>
    <t>[Anonymous]</t>
  </si>
  <si>
    <t>Antarctic Ozone Bulletin issued</t>
  </si>
  <si>
    <t>CT0ZL</t>
  </si>
  <si>
    <t>WOS:000362526600009</t>
  </si>
  <si>
    <t>Finger, A; Lavers, JL; Dann, P; Nugegoda, D; Orbell, JD; Robertson, B; Scarpaci, C</t>
  </si>
  <si>
    <t>Finger, Annett; Lavers, Jennifer L.; Dann, Peter; Nugegoda, Dayanthi; Orbell, John D.; Robertson, Bruce; Scarpaci, Carol</t>
  </si>
  <si>
    <t>The Little Penguin (Eudyptula minor) as an indicator of metal pollution coastal trace</t>
  </si>
  <si>
    <t>ENVIRONMENTAL POLLUTION</t>
  </si>
  <si>
    <t>Trace element; Blood; Seabird; Australia; Bioindicator</t>
  </si>
  <si>
    <t>SHEARWATERS PUFFINUS-CARNEIPES; PORT-PHILLIP BAY; MERCURY CONCENTRATIONS; FORAGING BEHAVIOR; ORGANIC MERCURY; BASS STRAIT; FEATHERS; MARINE; BLOOD; SEABIRDS</t>
  </si>
  <si>
    <t>Monitoring trace metal and metalloid concentrations in marine animals is important for their conservation and could also reliably reflect pollution levels in their marine ecosystems. Concentrations vary across tissue types, with implications for reliable monitoring. We sampled blood and moulted feathers of the Little Penguin (Eudyptula minor) from three distinct colonies, which are subject to varying levels of anthropogenic impact. Non-essential trace metal and metalloid concentrations in Little Penguins were clearly linked to the level of industrialisation adjacent to the respective foraging zones. This trend was more distinct in blood than in moulted feathers, although we found a clear correlation between blood and feathers for mercury, lead and iron. This study represents the first reported examination of trace metals and metalloids in the blood of any penguin species and demonstrates that this high trophic feeder is an effective bioindicator of coastal pollution. (C) 2015 Elsevier Ltd. All rights reserved.</t>
  </si>
  <si>
    <t>[Finger, Annett; Orbell, John D.; Scarpaci, Carol] Victoria Univ, Inst Sustainabil &amp; Innovat, Werribee, Vic 3030, Australia; [Lavers, Jennifer L.] Inst Marine &amp; Antarctic Studies, Battery Point, Tas 7004, Australia; [Dann, Peter] Phillip Isl Nat Parks, Res Dept, Cowes, Vic 3922, Australia; [Nugegoda, Dayanthi] RMIT Univ, Sch Appl Sci, Melbourne, Vic, Australia; [Robertson, Bruce] La Trobe Univ, Dept Environm Management &amp; Ecol, Wodonga, Vic 3689, Australia</t>
  </si>
  <si>
    <t>Victoria University; University of Tasmania; Royal Melbourne Institute of Technology (RMIT); La Trobe University</t>
  </si>
  <si>
    <t>Finger, A (corresponding author), Victoria Univ, Inst Sustainabil &amp; Innovat, Werribee, Vic 3030, Australia.</t>
  </si>
  <si>
    <t>Annett.Finger@live.vu.edu.au</t>
  </si>
  <si>
    <t>Nugegoda, Dayanthi/R-9770-2019; Lavers, Jennifer/IWM-5417-2023; Lavers, Jennifer/O-4831-2017</t>
  </si>
  <si>
    <t>Lavers, Jennifer/0000-0001-7596-6588; Nugegoda, Dayanthi/0000-0002-6327-4581; Finger, Annett/0000-0002-9467-4078; Orbell, John/0000-0003-3485-5309</t>
  </si>
  <si>
    <t>Victoria University; Holsworth Wildlife Research Endowment; Port Phillip EcoCentre; Phillip Island Nature Parks; Birds Australia</t>
  </si>
  <si>
    <t>Victoria University (Return-To-Study-Scholarship to AF), Holsworth Wildlife Research Endowment, Port Phillip EcoCentre, Phillip Island Nature Parks and Birds Australia generously provided funding. Thanks are due to S. Tzardis (NMI) for expert advice on laboratory analysis. Research was conducted under scientific permits issued by the Victorian Department of Environment and Primary Industries (10005200) and Victoria University Animal Experimentation Ethics Committee (permit 05/09). Parks Victoria kindly granted permission to work along the St Kilda breakwater. We gratefully received in-kind support from P. Newgreen, N. Kowalczyk, P. Guay, the late S. Caarels, T. Preston, Z. Hogg, N. Blake, L. Renwick, P. Wasiak and various volunteers.</t>
  </si>
  <si>
    <t>0269-7491</t>
  </si>
  <si>
    <t>1873-6424</t>
  </si>
  <si>
    <t>ENVIRON POLLUT</t>
  </si>
  <si>
    <t>Environ. Pollut.</t>
  </si>
  <si>
    <t>10.1016/j.envpol.2015.06.022</t>
  </si>
  <si>
    <t>Environmental Sciences</t>
  </si>
  <si>
    <t>CS8AM</t>
  </si>
  <si>
    <t>WOS:000362308100042</t>
  </si>
  <si>
    <t>Shero, MR; Krotz, RT; Costa, DP; Avery, JP; Burns, JM</t>
  </si>
  <si>
    <t>Shero, Michelle R.; Krotz, Riley T.; Costa, Daniel P.; Avery, Julie P.; Burns, Jennifer M.</t>
  </si>
  <si>
    <t>How do overwinter changes in body condition and hormone profiles influence Weddell seal reproductive success?</t>
  </si>
  <si>
    <t>FUNCTIONAL ECOLOGY</t>
  </si>
  <si>
    <t>body composition; endocrinology; energetics; foraging; hormones; isotopes; lipid; pinniped; pregnancy; reproduction</t>
  </si>
  <si>
    <t>NORTHERN ELEPHANT SEAL; GROWTH-FACTOR-I; FACTOR-BINDING-PROTEINS; THYROID-HORMONES; LEPTONYCHOTES-WEDDELLII; FOOD-INTAKE; FORAGING SUCCESS; PLASMA-CORTISOL; DIVING BEHAVIOR; MOLECULAR-BASIS</t>
  </si>
  <si>
    <t>1. Reproductive success can be influenced by maternal physiological condition at the time of embryo implantation and by foraging success during gestation. Polar marine mammals experience drastic fluctuations in body composition (lipid stores) as a result of life-history events and large-scale changes in seasonal productivity and environmental conditions. These species provide the opportunity to explore physiological parameters important to reproductive success. 2. There are conflicting physiological demands on Weddell seal (Leptonychotes weddellii) females during the moult period, when animals are at their leanest but still must generate an energetically costly new pelage and begin active gestation. 3. To investigate the impact of post-moult condition and hormonal mediators on the reproductive success of the southernmost breeding mammal, body composition was determined for post-moult (fall; 53 non-reproductive) and pre-breeding (spring; 31 non-reproductive, 17 reproductive) adult female Weddell seals. Animals were significantly larger and had greater lipid stores in spring, after the winter foraging period. There were no differences in the proportion of mass or condition gained overwinter between females that gave birth (n = 12) and those that did not (n = 8) the following year. 4. Changes in body condition were correlated with endocrine factors that influence energy allocation, such as cortisol, growth hormone (GH), insulin-like growth factor (IGF)-1 and thyroid hormones (T-3 and T-4). Of these, GH and T-4 were significantly higher during the post-moult period, likely to promote protein sparing and hair regeneration. In addition, females that had higher T-4 concentrations in fall were significantly more likely to have a pup the following year, possibly due to the role of thyroid hormones in embryo attachment. This suggests that hormones influencing fuel use during the moult may also impact subsequent reproductive success. 5. Unlike some other large pinnipeds, Weddell seals are not capital breeders. This work indicates that gestating Weddell seals do not gain as much mass or energy overwinter in preparation for lactation the following year as lower-latitude phocid species, which might explain why female Weddell seals rely on foraging to meet energetic demands during lactation.</t>
  </si>
  <si>
    <t>[Shero, Michelle R.; Burns, Jennifer M.] Univ Alaska Anchorage, Dept Biol Sci, Anchorage, AK 99508 USA; [Shero, Michelle R.] Univ Alaska Fairbanks, Sch Fisheries &amp; Ocean Sci, Fairbanks, AK 99775 USA; [Krotz, Riley T.; Avery, Julie P.] Univ N Florida, Dept Biol, Jacksonville, FL 32224 USA; [Costa, Daniel P.] Univ Calif Santa Cruz, Dept Ecol &amp; Evolutionary Biol, Santa Cruz, CA 95060 USA</t>
  </si>
  <si>
    <t>University of Alaska System; University of Alaska Anchorage; University of Alaska System; University of Alaska Fairbanks; State University System of Florida; University of North Florida; University of California System; University of California Santa Cruz</t>
  </si>
  <si>
    <t>Shero, MR (corresponding author), Univ Alaska Anchorage, Dept Biol Sci, 3101 Sci Circle, Anchorage, AK 99508 USA.</t>
  </si>
  <si>
    <t>mrshero@alaska.edu</t>
  </si>
  <si>
    <t>Avery, Julie/AAJ-3758-2020; Krotz, Riley/ITW-1375-2023; Burns, Jennifer/AAC-8243-2019; Costa, Daniel Paul/E-2616-2013</t>
  </si>
  <si>
    <t>Avery, Julie/0000-0001-9207-2631; Burns, Jennifer/0000-0001-9652-2943; Costa, Daniel Paul/0000-0002-0233-5782; Shero, Michelle/0000-0003-4633-5351</t>
  </si>
  <si>
    <t>NSF [ANT-0838892, ANT-0838937]; National Science Foundation Graduate Research Fellowship [DGE-1242789]; UAF Center for Global Change Student Research Grant; Cooperative Institute for Alaska Research; Alaska Climate Science Center</t>
  </si>
  <si>
    <t>NSF(National Science Foundation (NSF)); National Science Foundation Graduate Research Fellowship(National Science Foundation (NSF)); UAF Center for Global Change Student Research Grant; Cooperative Institute for Alaska Research; Alaska Climate Science Center</t>
  </si>
  <si>
    <t>We thank field team members: Linnea Pearson, Kimberly Goetz, Dr. Patrick Robinson, Dr. Luis Huckstadt and Dr. Michelle LaRue for sample collection, and also group B-009-M led by Drs. Robert Garrott, Jay Rotella, and Thierry Chambert for their help locating study animals, and Dr. C. Loren Buck, Melanie Richter and Danielle Dillon for assistance with laboratory analyses. We are also grateful to Drs. Carrie Eischens and Daniel Crocker for providing data for the species energetics comparison, and two anonymous reviewers whose suggestions improved this manuscript. Logistical support was provided by the National Science Foundation (NSF) U.S. Antarctic Program, Raytheon Polar Services, and Lockheed Martin ASC; we thank all the support staff in Christchurch, NZ and McMurdo Station. This research was conducted with support from NSF ANT-0838892 to D.P.C. and ANT-0838937 to J.M.B. This material is based upon work supported by the National Science Foundation Graduate Research Fellowship under Grant No. DGE-1242789. Any opinion, findings and conclusions or recommendations expressed in this material are those of the authors and do not necessarily reflect the views of the National Science Foundation. M.R.S. and this research was supported in part by a UAF Center for Global Change Student Research Grant with funds from the Cooperative Institute for Alaska Research and the Alaska Climate Science Center. Animal handling protocols were approved by the University of Alaska Anchorage and University of California Santa Cruz's Institutional Animal Care and Use Committees. Research and sample import to the United States were authorized under the Marine Mammal permit No. 87-1851-04 issued by the Office of Protected Resources, National Marine Fisheries Service. Research activities were approved through Antarctic Conservation Act permits while at McMurdo Station.</t>
  </si>
  <si>
    <t>0269-8463</t>
  </si>
  <si>
    <t>1365-2435</t>
  </si>
  <si>
    <t>FUNCT ECOL</t>
  </si>
  <si>
    <t>Funct. Ecol.</t>
  </si>
  <si>
    <t>10.1111/1365-2435.12434</t>
  </si>
  <si>
    <t>CS9FN</t>
  </si>
  <si>
    <t>WOS:000362395400005</t>
  </si>
  <si>
    <t>Zhang, ZR; Vihma, T; Stössel, A; Uotila, P</t>
  </si>
  <si>
    <t>Zhang, Zhaoru; Vihma, Timo; Stoessel, Achim; Uotila, Petteri</t>
  </si>
  <si>
    <t>The role of wind forcing from operational analyses for the model representation of Antarctic coastal sea ice</t>
  </si>
  <si>
    <t>Southern Ocean; Surface winds; Operational analyses; Coastal polynyas; Sea ice; Subgrid-scale orography</t>
  </si>
  <si>
    <t>BOTTOM WATER PRODUCTION; SOUTHERN WEDDELL SEA; CLIMATE MODELS; POLYNYAS; OCEAN; VARIABILITY; SHELF; SIMULATIONS; CIRCULATION; ATMOSPHERE</t>
  </si>
  <si>
    <t>An accurate representation of Antarctic coastal sea ice in Earth System Models is important as it affects the rate of Antarctic Bottom Water formation. Here we investigate the effect of using relatively high-resolution (similar to 20 km) near-surface wind fields of two different operational analyses (from the European Centre for Medium-Range Weather Forecasts (ECMWF), and the Antarctic Mesoscale Prediction System (AMPS)) to force a sea-ice - ocean model. We focus on the wind impact on coastal polynya formation in winter. Even though the horizontal resolution of both analyses is about the same, striking differences emerge in simulated coastal sea ice and thus the representation of coastal polynyas and net freezing rates. In AMPS, offshore winds are up to 10 m s(-1) stronger than those of ECMWF, and mostly overestimated compared to weather station data This leads to major differences in simulated coastal ice drift, concentration, and thickness, as well as discrepancies in the annual net freezing rate of up to 5 m per year. To identify the reasons for the discrepancies in the coastal wind fields of the analyses we scrutinized their orography, boundary-layer stratification, sea-ice boundary conditions, large-scale atmospheric circulations, data assimilation and initialization schemes, and their parameterization of subgrid-scale orographic effects. The final factor explained most of the discrepancies along steep coastlines, whereas the differences in boundary-layer stratification are mainly a consequence of the differences in surface winds. The data assimilation and initialization procedure biased the AMPS wind fields toward those of the NCEP analyses, which probably overestimate offshore winds as a result of coarse resolution orography. The sea ice boundary conditions and the large-scale circulations turned out to have a minimal effect. (C) 2015 Elsevier Ltd. All rights reserved.</t>
  </si>
  <si>
    <t>[Zhang, Zhaoru] Shanghai Jiao Tong Univ, Inst Oceanol, Shanghai 200240, Peoples R China; [Vihma, Timo; Uotila, Petteri] Finnish Meteorol Inst, FIN-00101 Helsinki, Finland; [Stoessel, Achim] Texas A&amp;M Univ, Dept Oceanog, College Stn, TX 77843 USA</t>
  </si>
  <si>
    <t>Shanghai Jiao Tong University; Finnish Meteorological Institute; Texas A&amp;M University System; Texas A&amp;M University College Station</t>
  </si>
  <si>
    <t>Zhang, ZR (corresponding author), Shanghai Jiao Tong Univ, Inst Oceanol, 800 Dongchuan Rd, Shanghai 200240, Peoples R China.</t>
  </si>
  <si>
    <t>zhaoruzhang@gmail.com</t>
  </si>
  <si>
    <t>Vihma, Timo/ABC-9771-2020; Li, jiaqi/JOZ-6395-2023; LIU, JIALIN/JXN-8034-2024; Uotila, Petteri/A-1703-2012</t>
  </si>
  <si>
    <t>Uotila, Petteri/0000-0002-2939-7561</t>
  </si>
  <si>
    <t>National Natural Science Foundation of China [41406006]; Academy of Finland [263918]; NASA [NNG05GN87G]; Academy of Finland (AKA) [263918] Funding Source: Academy of Finland (AKA)</t>
  </si>
  <si>
    <t>National Natural Science Foundation of China(National Natural Science Foundation of China (NSFC)); Academy of Finland(Research Council of Finland); NASA(National Aeronautics &amp; Space Administration (NASA)); Academy of Finland (AKA)</t>
  </si>
  <si>
    <t>This work was supported by the National Natural Science Foundation of China (Grant no. 41406006) and the Academy of Finland (Contract 263918). The ECMWF operational analyses, including the sea ice concentration, were obtained from the Meteorological Archival and Retrieval System (MARS) of ECMWF. The AMPS data were provided by the Polar Meteorology Group at the Byrd Polar Research Center of the Ohio State University. We sincerely thank David H. Bromwich and Julien Nicolas for their support on the data access and processing. The weather station data were obtained from the SCAR READER database, archived at the British Antarctic Survey (http://www.antarctica.ac.uk/met/READER). We express our appreciation to Kevin M. Manning for providing the Polar MM5 model data assimilation information. Acknowledgment is given to M. Stossel for her contribution in the model setup. Computer resources for for the model experiments were available through NASA Grant NNG05GN87G.</t>
  </si>
  <si>
    <t>10.1016/j.ocemod.2015.07.019</t>
  </si>
  <si>
    <t>CS4AF</t>
  </si>
  <si>
    <t>WOS:000362016400007</t>
  </si>
  <si>
    <t>Badewien, T; Vogts, A; Dupont, L; Rullkötter, J</t>
  </si>
  <si>
    <t>Badewien, Tanja; Vogts, Angela; Dupont, Lydie; Rullkoetter, Juergen</t>
  </si>
  <si>
    <t>Influence of Late Pleistocene and Holocene climate on vegetation distributions in southwest Africa elucidated from sedimentary n-alkanes - Differences between 12°S and 20°S</t>
  </si>
  <si>
    <t>n-Alkanes; Carbon isotopes; C-4 plants; C-3 plants; Holocene; Pleistocene; CO2; Insolation; Heinrich Stadial; Antarctic warming</t>
  </si>
  <si>
    <t>CARBON-ISOTOPIC COMPOSITION; VOSTOK ICE CORE; GLOBAL DISTRIBUTION; C-4 PHOTOSYNTHESIS; ATMOSPHERIC CO2; TAYLOR-DOME; ATLANTIC; VARIABILITY; OCEAN; CIRCULATION</t>
  </si>
  <si>
    <t>Global and local climatic forcing, e.g. concentration of atmospheric CO2 or insolation, influence the distribution of C-3 and C-4 plants in southwest Africa. C-4 plants dominate in more arid and warmer areas and are favoured by lower pCO(2) levels. Several studies have assessed past and present continental vegetation by the analysis of terrestrial n-alkanes in near-coastal deep sea sediments using single samples or a small number of samples from a given climatic stage. The objectives of this study were to evaluate vegetation changes in southwest Africa with regard to climatic changes during the Late Pleistocene and the Holocene and to elucidate the potential of single sample simplifications. We analysed two sediment cores at high resolution, altogether ca. 240 samples, from the Southeast Atlantic Ocean (20 degrees S and 12 degrees S) covering the time spans of 18 to 1 ka and 56 to 2 ka, respectively. Our results for 20 degrees S showed marginally decreasing C-4 plant domination (of ca. 5%) during deglaciation based on average chain length (ACL(27-33) values) and carbon isotopic composition of the C-31 and C-33 n-alkanes. Values for single samples from 18 ka and the Holocene overlap and, thus, are not significantly representative of the climatic stages they derive from. In contrast, at 12 degrees S the n-alkane parameters show a clear difference of plant type for the Late Pleistocene (C-4 plant domination, 66% C-4 on average) and the Holocene (C-3 plant domination, 40% C-4 on average). During deglaciation vegetation change highly correlates with the increase in pCO(2) (r(2) = 0.91). Short-term climatic events such as Heinrich Stadials or Antarctic warming periods are not reflected by vegetation changes in the catchment area. Instead, smaller vegetation fluctuations during the Late Pleistocene occur in accordance with local variations of insolation. (C) 2015 Elsevier Ltd. All rights reserved.</t>
  </si>
  <si>
    <t>[Badewien, Tanja; Rullkoetter, Juergen] Carl von Ossietzky Univ Oldenburg, Inst Chem &amp; Biol Marine Environm ICBM, Oldenburg, Germany; [Vogts, Angela] Leibniz Inst Balt Sea Res, Warnemunde, Iow, Germany; [Dupont, Lydie] Univ Bremen, MARUM Ctr Marine Environm Sci, D-28359 Bremen, Germany</t>
  </si>
  <si>
    <t>Carl von Ossietzky Universitat Oldenburg; Leibniz Institut fur Ostseeforschung Warnemunde; University of Bremen</t>
  </si>
  <si>
    <t>Badewien, T (corresponding author), Carl von Ossietzky Univ Oldenburg, Inst Chem &amp; Biol Marine Environm ICBM, Oldenburg, Germany.</t>
  </si>
  <si>
    <t>t.badewien@icbm.de</t>
  </si>
  <si>
    <t>Badewien, Thomas/0000-0003-0692-7731; Dupont, Lydie/0000-0001-9531-6793; Vogts, Angela/0000-0003-4261-3123</t>
  </si>
  <si>
    <t>Deutsche Forschungsgemeinschaft (DFG) [Ru 458/35, Ru 458/40]</t>
  </si>
  <si>
    <t>Deutsche Forschungsgemeinschaft (DFG)(German Research Foundation (DFG))</t>
  </si>
  <si>
    <t>We are grateful to the organisers and participants of RV Meteor cruises M34/2 and M41/1. V. Bender and J. Patzold (University of Bremen) are appreciated for help during sample retrieval from the GeoB Core Repository at the MARUM. We thank S. Mulitza, M. Segel (University of Bremen) and Matthias Rehbein (ICBM) for support regarding sample preparation for radiocarbon dating. B. Kopke helped and gave advice during carbon isotope analysis. M. Fischer, H. Haase, J. Jasper, M. Kurtz, L. Meiners, S. Schuler and I. Ulber (all ICBM) are acknowledged for their support during sample workup. We are indebted to G. Eglinton (University of Bristol) for valuable discussions regarding data interpretation. We thank an anonymous reviewer for constructive comments and helpful suggestions. Parts of this study were financially supported by the Deutsche Forschungsgemeinschaft (DFG, grant nos. Ru 458/35 and Ru 458/40).</t>
  </si>
  <si>
    <t>10.1016/j.quascirev.2015.08.004</t>
  </si>
  <si>
    <t>CS4MH</t>
  </si>
  <si>
    <t>WOS:000362049400012</t>
  </si>
  <si>
    <t>Jiang, Y; Hsu, WB; Guan, YB; Wang, Y</t>
  </si>
  <si>
    <t>Jiang Yun; Hsu WeiBiao; Guan YunBin; Wang Ying</t>
  </si>
  <si>
    <t>In situ SIMS oxygen isotope analyses: Evidence for the formation of aluminum-rich chondrules from ordinary chondrites</t>
  </si>
  <si>
    <t>SCIENCE CHINA-EARTH SCIENCES</t>
  </si>
  <si>
    <t>O-isotope; SIMS; Al-rich chondrule; ordinary chondrite; Antarctic meteorite</t>
  </si>
  <si>
    <t>HIGH-TEMPERATURE; SOLAR NEBULA; INCLUSIONS; SYSTEMATICS; ORIGIN; MINERALOGY; RESERVOIRS; MAGNESIUM; PETROLOGY; OBJECTS</t>
  </si>
  <si>
    <t>Aluminum-rich chondrules (ARCs), which share mineralogic and chemical properties with both Ca, Al-rich inclusions (CAIs) and ferromagnesian chondrules, play an important role in revealing their temporal and petrogenetic relationships. In this work, seven ARCs were found in three ordinary chondrites GRV 022410 (H4), GRV 052722 (H3.7) and Julesburg (L3.6). They contain bulk Al2O3 similar to 17%-33% and exhibit igneous textures composed of olivine, high- and low-Ca pyroxene, plagioclase, spinel and glass. In situ SIMS analyses show that ARCs have oxygen isotopic compositions (delta O-18=-6.1aEuro degrees aEuro7.1aEuro degrees; delta O-17= -4.5aEuro degrees aEuro5.1aEuro degrees) close to ferromagnesian chondrules but far more depleted in O-16 than CAIs (delta O-18=-40aEuro degrees; delta O-17=-40aEuro degrees). Most ARCs plot close to the terrestrial mass fractionation (TF) line, and a few between the TF and carbonaceous chondrite anhydrous mixing (CCAM) lines. Plagioclase, nepheline and glass suffered O-isotopic exchanges during the metamorphism processes in the parent body. Spinel, olivine and pyroxene represent the primary O-isotopic compositions of ARCs, and define a fitted line with a slope of similar to 0.7 +/- 0.1. Compared with the results of previous studies, shallower slope as well as more depleted O-16 compositions further demonstrates that ARCs in ordinary chondrites are not a simple mixing product of ferromagnesian chondrules and CAIs. Instead, they probably experienced higher-degree oxygen isotope exchange with a O-16-poor nebular gas reservoir during multiple melting episodes.</t>
  </si>
  <si>
    <t>[Jiang Yun; Hsu WeiBiao; Wang Ying] Chinese Acad Sci, Key Lab Planetary Sci, Purple Mt Observ, Nanjing 210008, Jiangsu, Peoples R China; [Guan YunBin] CALTECH, Div Geol &amp; Planetary Sci, Pasadena, CA 91125 USA</t>
  </si>
  <si>
    <t>Chinese Academy of Sciences; Nanjing Institute of Astronomical Optics &amp; Technology, NAOC, CAS; Purple Mountain Observatory, CAS; California Institute of Technology</t>
  </si>
  <si>
    <t>Hsu, WB (corresponding author), Chinese Acad Sci, Key Lab Planetary Sci, Purple Mt Observ, Nanjing 210008, Jiangsu, Peoples R China.</t>
  </si>
  <si>
    <t>wbxu@pmo.ac.cn</t>
  </si>
  <si>
    <t>Natural Science Foundation of Jiangsu Province [BK20131040]; National Natural Science Foundation of China [41403056, 41173076, 41273079, 41003026]; Minor Planet Foundation of China</t>
  </si>
  <si>
    <t>Natural Science Foundation of Jiangsu Province(Natural Science Foundation of Jiangsu Province); National Natural Science Foundation of China(National Natural Science Foundation of China (NSFC)); Minor Planet Foundation of China</t>
  </si>
  <si>
    <t>The authors thank the Polar Research Institute of China for providing Antarctic meteorites. This work was supported by the Natural Science Foundation of Jiangsu Province (Grant No. BK20131040), the National Natural Science Foundation of China (Grants Nos. 41403056, 41173076, 41273079, 41003026), and the Minor Planet Foundation of China.</t>
  </si>
  <si>
    <t>1674-7313</t>
  </si>
  <si>
    <t>1869-1897</t>
  </si>
  <si>
    <t>SCI CHINA EARTH SCI</t>
  </si>
  <si>
    <t>Sci. China-Earth Sci.</t>
  </si>
  <si>
    <t>10.1007/s11430-015-5105-7</t>
  </si>
  <si>
    <t>CS8KR</t>
  </si>
  <si>
    <t>WOS:000362336700007</t>
  </si>
  <si>
    <t>Ding, MH; Xiao, CD; Li, CJ; Qin, DH; Jin, B; Shi, GT; Xie, AH; Cui, XB</t>
  </si>
  <si>
    <t>Ding MingHu; Xiao CunDe; Li ChuanJin; Qin DaHe; Jin Bo; Shi GuiTao; Xie AiHong; Cui XiangBin</t>
  </si>
  <si>
    <t>Surface mass balance and its climate significance from the coast to Dome A, East Antarctica</t>
  </si>
  <si>
    <t>surface mass balance; ITASE; snow accumulation; Dome A; East Antarctica</t>
  </si>
  <si>
    <t>LAMBERT GLACIER BASIN; SNOW ACCUMULATION VARIABILITY; AMERY ICE SHELF; ZHONGSHAN STATION; TRAVERSE ROUTE; SPATIAL VARIABILITY; WILKES LAND; PRECIPITATION; TRANSECT; PLATEAU</t>
  </si>
  <si>
    <t>Based on stake measurements conducted along the Chinese Antarctic traverse since Jan. 1999, we investigated the characteristics of surface mass balance (SMB) and related climate consequences from Zhongshan Station to Dome A, East Antarctica. Spatial analysis suggests that post-depositional processes have a great impact on surface morphology; thus, the representativeness of a single measurement should be discussed in conjunction with local climate features. The comparison among snow accumulation, ice sheet thickness, surface elevation, and ice velocity indicates that the bedrock topography has an indirect connection with the SMB patterns through controlling the surface topography and local climate. The observation reveals that the Lambert Glacier Basin has been experiencing increasing mass input (4.5%), whereas the inland area has experienced a 6% loss, since 2005. An overall estimation of the SMB along the route is 71.3 +/- 44.3 kg m(-2) a(-1), but the annual and regional variation is considerable. Tendency analysis shows that there are four sections with different SMB patterns as a result of three moisture sources and surface climatic discrepancy in the Antarctic inland. This study is the first to identify four SMB patterns from the coast to the Dome area and should provide a valuable contribution to modeling and remote sensing on a continental scale.</t>
  </si>
  <si>
    <t>[Ding MingHu; Xiao CunDe] Chinese Acad Meteorol Sci, Inst Climate Syst, Beijing 100081, Peoples R China; [Ding MingHu; Xiao CunDe; Li ChuanJin; Qin DaHe; Xie AiHong] Chinese Acad Sci, Cold &amp; Arid Reg Environm &amp; Engn Res Inst, State Key Lab Cryospher Sci, Lanzhou 730000, Peoples R China; [Jin Bo] Chinese Arctic &amp; Antarctic Adm, Beijing 100860, Peoples R China; [Shi GuiTao; Cui XiangBin] Polar Res Inst China, Shanghai 200136, Peoples R China</t>
  </si>
  <si>
    <t>China Meteorological Administration; Chinese Academy of Meteorological Sciences (CAMS); Chinese Academy of Sciences; Cold &amp; Arid Regions Environmental &amp; Engineering Research Institute, CAS; Polar Research Institute of China</t>
  </si>
  <si>
    <t>Xiao, CD (corresponding author), Chinese Acad Meteorol Sci, Inst Climate Syst, Beijing 100081, Peoples R China.</t>
  </si>
  <si>
    <t>cdxiao@cams.cma.gov.cn</t>
  </si>
  <si>
    <t>Ding, Minghu/AFU-3600-2022; Cui, Xiangbin/Y-1551-2019</t>
  </si>
  <si>
    <t>Ding, Minghu/0000-0002-1142-6598; Cui, Xiangbin/0000-0002-4269-8086</t>
  </si>
  <si>
    <t>National Basic Research Program of China [2013CBA01804]; National Natural Science Foundation of China [41206179, 41425003]; State Oceanic Administration of the People's Republic of China Project on Climate in Polar Regions [CHINARE2012-02-02, CHINARE2012-04-04]; State Key Laboratory of Cryospheric Sciences Opening Fund [SKLCS 2012-01]; Chinese National Antarctic Research Expedition [IC201311]</t>
  </si>
  <si>
    <t>National Basic Research Program of China(National Basic Research Program of China); National Natural Science Foundation of China(National Natural Science Foundation of China (NSFC)); State Oceanic Administration of the People's Republic of China Project on Climate in Polar Regions; State Key Laboratory of Cryospheric Sciences Opening Fund; Chinese National Antarctic Research Expedition</t>
  </si>
  <si>
    <t>This study was supported by National Basic Research Program of China (Grant No. 2013CBA01804), the National Natural Science Foundation of China (Grant Nos. 41206179, 41425003), the State Oceanic Administration of the People's Republic of China Project on Climate in Polar Regions (Grant Nos. CHINARE2012-02-02, CHINARE2012-04-04), and the State Key Laboratory of Cryospheric Sciences Opening Fund (Grant No. SKLCS 2012-01). We are also thankful for the logistical and financial support provided by Chinese National Antarctic Research Expedition (Grant No. IC201311).</t>
  </si>
  <si>
    <t>10.1007/s11430-015-5083-9</t>
  </si>
  <si>
    <t>WOS:000362336700011</t>
  </si>
  <si>
    <t>Ermilov, SG; Minor, MA; Behan-Pelletier, VM</t>
  </si>
  <si>
    <t>Ermilov, Sergey G.; Minor, Maria A.; Behan-Pelletier, Valerie M.</t>
  </si>
  <si>
    <t>Zealandozetes southensis gen. nov., sp nov (Acari, Oribatida, Maudheimiidae) from alpine cushions plant in New Zealand</t>
  </si>
  <si>
    <t>oribatid mites; Maudheimiidae; new genus and species; systematics; morphology; development; juvenile instars; New Zealand; alpine; cushion plants</t>
  </si>
  <si>
    <t>CONTINENTAL ANTARCTIC MITE; GOODBYE GONDWANA; MOAS ARK; N-SP; CERATOZETIDAE; ORIGIN; BIOGEOGRAPHY; TEMPERATURE; ZETOMIMIDAE; MYCOBATIDAE</t>
  </si>
  <si>
    <t>A new oribatid mite genus, Zealandozetes gen. nov. (Oribatida, Maudheimiidae), with type species Zealandozetes southensis sp. nov., is proposed and described based on adult and juvenile instars. It inhabits the soil under and around cushion-forming plants in the high-altitude alpine zone of two mountain ranges (the Pisa Range and The Remarkables) in the South Island of New Zealand. It is distinguished from species of Maudheimia by having pteromorphs reduced to pleural carinae, notogastral saccules, small pedotecta I, and both postanal porose area and Ah expressed as complex saccules. Juveniles are similar to those of Maudheimia, except the humeral organ of Z. southensis is cupule-like and gastronotic microsclerites are lacking. We give a revised diagnosis for Maudheimiidae and discuss both supportive and contradictory evidence for inclusion of Zealandozetes. Finally, we discuss endemism of Zealandozetes with reference to the knowledge of New Zealand biogeography and its oribatid fauna.</t>
  </si>
  <si>
    <t>[Ermilov, Sergey G.] Tyumen State Univ, Tyumen, Russia; [Minor, Maria A.] Massey Univ, Inst Agr &amp; Environm, Palmerston North, New Zealand; [Behan-Pelletier, Valerie M.] Agr &amp; Agri Food Canada, Invertebrate Biodivers Program, Res Branch, Ottawa, ON, Canada</t>
  </si>
  <si>
    <t>Tyumen State University; Massey University; Agriculture &amp; Agri Food Canada</t>
  </si>
  <si>
    <t>Ermilov, SG (corresponding author), Tyumen State Univ, Tyumen, Russia.</t>
  </si>
  <si>
    <t>ermilovacari@yandex.ru; m.a.minor@massey.ac.nz; Valerie.behan-pelletier@agr.gc.ca</t>
  </si>
  <si>
    <t>Massey University Research Fund; Russian Science Foundation [14-14-01134]</t>
  </si>
  <si>
    <t>Massey University Research Fund; Russian Science Foundation(Russian Science Foundation (RSF))</t>
  </si>
  <si>
    <t>We are grateful to Prof. Dr. Roy A. Norton (State University of New York, Syracuse, U.S.A.), Dr. Louise Coetzee (National Museum, Bloemfontein, South Africa) and Dr. Ekaterina A. Sidorchuk (Paleontological Institute, Russian Academy of Sciences, Moscow, Russia) for many valuable suggestions, Dr. Alastair Robertson (Institute of Agriculture &amp; Environment, Massey University, NZ) for help with fieldwork, Niki Murray (Manawatu Microscopy and Imaging Centre, Palmerston North, NZ) for SEM work, the staff of the Snow Farm (Cardrona, NZ) for facilitating access to the Pisa Range sites, and the New Zealand Department of Conservation for sampling permit (national authorization # 38116-GEO). The study was supported by the Massey University Research Fund and Russian Science Foundation (project 14-14-01134).</t>
  </si>
  <si>
    <t>10.11646/zootaxa.4027.1.2</t>
  </si>
  <si>
    <t>CS6BR</t>
  </si>
  <si>
    <t>WOS:000362162600002</t>
  </si>
  <si>
    <t>Ivanova, Z; Bjorndal, B; Grigorova, N; Roussenov, A; Vachkova, E; Berge, K; Burri, L; Berge, R; Stanilova, S; Milanova, A; Penchev, G; Vik, R; Petrov, V; Georgieva, TM; Bivolraski, B; Georgiev, IP</t>
  </si>
  <si>
    <t>Ivanova, Zhenya; Bjorndal, Bodil; Grigorova, Natalia; Roussenov, Anton; Vachkova, Ekaterina; Berge, Kjetil; Burri, Lena; Berge, Rolf; Stanilova, Spaska; Milanova, Anelia; Penchev, Georgi; Vik, Rita; Petrov, Vladimir; Georgieva, Teodora Mircheva; Bivolraski, Boycho; Georgiev, Ivan Penchev</t>
  </si>
  <si>
    <t>Effect of fish and krill oil supplementation on glucose tolerance in rabbits with experimentally induced obesity</t>
  </si>
  <si>
    <t>EUROPEAN JOURNAL OF NUTRITION</t>
  </si>
  <si>
    <t>Fish oil; Krill oil; Glucose tolerance; Obesity; Gene expression; Lipogenesis</t>
  </si>
  <si>
    <t>FATTY-ACID OXIDATION; INSULIN SENSITIVITY; ADIPOSE-TISSUE; LIPOPROTEIN-LIPASE; METABOLIC SYNDROME; RESISTANCE; LIVER; DIET; MECHANISM; MODEL</t>
  </si>
  <si>
    <t>This study was conducted to investigate the effect of fish oil (FO) and krill oil (KO) supplementation on glucose tolerance in obese New Zealand white rabbits. The experiments were carried out with 24 male rabbits randomly divided into four groups: KO-castrated, treated with KO; FO-castrated, treated with FO; C-castrated, non-treated; NC-non-castrated, non-treated. At the end of treatment period (2 months), an intravenous glucose tolerance test (IVGTT) was performed in all rabbits. Fasting blood glucose concentrations in FO and KO animals were significantly lower than in group C. The blood glucose concentrations in FO- and KO-treated animals returned to initial values after 30 and 60 min of IVGTT, respectively. In liver, carnitine palmitoyltransferase 2 (Cpt2) and 3-hydroxy-3-methyl-glutaryl-CoA synthase 2 (Hmgcs2) genes were significantly increased in FO-fed rabbits compared with the C group. Acetyl-CoA carboxylase alpha (Acaca) expression was significantly reduced in both KO- and FO-fed rabbits. In skeletal muscle, Hmgcs2 and Cd36 were significantly higher in KO-fed rabbits compared with the C group. Acaca expression was significantly lower in KO- and FO-fed rabbits compared with the C group. The present results indicate that FO and KO supplementation decreases fasting blood glucose and improves glucose tolerance in obese New Zealand white rabbits. This could be ascribed to the ameliorated insulin sensitivity and insulin secretion and modified gene expressions of some key enzymes involved in beta-oxidation and lipogenesis in liver and skeletal muscle.</t>
  </si>
  <si>
    <t>[Ivanova, Zhenya; Grigorova, Natalia; Vachkova, Ekaterina; Milanova, Anelia; Georgieva, Teodora Mircheva; Bivolraski, Boycho; Georgiev, Ivan Penchev] Trakia Univ, Fac Vet Med, Dept Pharmacol Anim Physiol &amp; Physiol Chem, Stara Zagora 6000, Bulgaria; [Bjorndal, Bodil; Berge, Rolf; Vik, Rita] Univ Bergen, Dept Clin Sci, N-5020 Bergen, Norway; [Roussenov, Anton] Trakia Univ, Fac Vet Med, Dept Internal Dis, Stara Zagora 6000, Bulgaria; [Berge, Kjetil; Burri, Lena] Aker BioMarine Antarctic AS, N-0115 Oslo, Norway; [Stanilova, Spaska] Trakia Univ, Fac Med, Mol Biol Immunol &amp; Med Genet, Stara Zagora 6000, Bulgaria; [Penchev, Georgi] Trakia Univ, Fac Vet Med, Dept Vet Anat Histol &amp; Embryol, Stara Zagora 6000, Bulgaria; [Petrov, Vladimir] Trakia Univ, Fac Vet Med, Dept Vet Microbiol Infect &amp; Parasit Dis, Stara Zagora 6000, Bulgaria</t>
  </si>
  <si>
    <t>Trakia University; University of Bergen; Trakia University; Trakia University; Trakia University; Trakia University</t>
  </si>
  <si>
    <t>Georgiev, IP (corresponding author), Trakia Univ, Fac Vet Med, Dept Pharmacol Anim Physiol &amp; Physiol Chem, Stara Zagora 6000, Bulgaria.</t>
  </si>
  <si>
    <t>iv_p63@yahoo.com</t>
  </si>
  <si>
    <t>Petrov, Vladimir/AAH-2792-2021; Grigorova, Natalia Tsoneva/E-4812-2012; Bjørndal, Bodil/ITT-0544-2023; Stanilova, Spaska Angelova/AAZ-6612-2021; Milanova, Aneliya/I-8831-2019; Bjørndal, Bodil/HDN-4287-2022; Stanilova, Spaska/N-9042-2018; Bjorndal, Bodil/H-6143-2017</t>
  </si>
  <si>
    <t>Grigorova, Natalia Tsoneva/0000-0001-5749-7773; Milanova, Aneliya/0000-0002-6876-9436; Stanilova, Spaska/0000-0003-1368-9081; Rusenov, Anton/0000-0001-7766-7194; Penchev Georgiev, Ivan/0000-0001-8047-9928; Vachkova, Ekaterina/0000-0002-9291-332X; Bjorndal, Bodil/0000-0001-9718-5117; Ivanova, Zhenya/0000-0003-4053-515X; Petrov, Vladimir/0000-0002-7495-1760</t>
  </si>
  <si>
    <t>1436-6207</t>
  </si>
  <si>
    <t>1436-6215</t>
  </si>
  <si>
    <t>EUR J NUTR</t>
  </si>
  <si>
    <t>Eur. J. Nutr.</t>
  </si>
  <si>
    <t>10.1007/s00394-014-0782-0</t>
  </si>
  <si>
    <t>Nutrition &amp; Dietetics</t>
  </si>
  <si>
    <t>CR8WK</t>
  </si>
  <si>
    <t>WOS:000361634700003</t>
  </si>
  <si>
    <t>Austermann, J; Pollard, D; Mitrovica, JX; Moucha, R; Forte, AM; DeConto, RM; Rowley, DB; Raymo, ME</t>
  </si>
  <si>
    <t>Austermann, Jacqueline; Pollard, David; Mitrovica, Jerry X.; Moucha, Robert; Forte, Alessandro M.; DeConto, Robert M.; Rowley, David B.; Raymo, Maureen E.</t>
  </si>
  <si>
    <t>The impact of dynamic topography change on Antarctic ice sheet stability during the mid-Pliocene warm period</t>
  </si>
  <si>
    <t>GEOLOGY</t>
  </si>
  <si>
    <t>MODEL; SURFACE; MANTLE; RECONSTRUCTION; PLEISTOCENE; UPLIFT</t>
  </si>
  <si>
    <t>The evolution of the Antarctic ice sheet during the mid-Pliocene warm period (MPWP) remains uncertain and has important implications for our understanding of ice sheet response to modern global warming. The extent to which marine-based sectors of the East Antarctic Ice Sheet (EAIS) retreated during the MPWP is particularly contentious, with geological observations and geochemical analyses being cited to argue for either a relatively minor or a significant ice sheet retreat in response to mid-Pliocene warming. The stability of marine-based ice sheets is intimately linked to bedrock elevation at their grounding lines, and previous ice sheet modeling assumed that Antarctic bedrock elevation during the MPWP was the same as today with the exception of a correction for the crustal response to ice loading. However, various processes may have perturbed bedrock elevation over the past 3 m.y., most notably vertical deflections of the crust driven by mantle convective flow, or dynamic topography. Here we present simulations of mantle convective flow that are consistent with a wide range of present-day observables and use them to predict changes in dynamic topography and reconstruct bedrock elevations during the MPWP. We incorporate these elevations into a simulation of the Antarctic ice sheet during the MPWP and find that the correction for dynamic topography change has a significant effect on the stability of the EAIS within the marine-based Wilkes Basin, with the ice margin in that sector retreating considerably further inland (200-560 km) relative to simulations that do not include this correction for bedrock elevation.</t>
  </si>
  <si>
    <t>[Austermann, Jacqueline; Mitrovica, Jerry X.] Harvard Univ, Dept Earth &amp; Planetary Sci, Cambridge, MA 02138 USA; [Pollard, David] Penn State Univ, Earth &amp; Environm Syst Inst, University Pk, PA 16802 USA; [Moucha, Robert] Syracuse Univ, Dept Earth Sci, Syracuse, NY 13244 USA; [Forte, Alessandro M.] Univ Quebec, Ctr GEOTOP, Montreal, PQ H3C 3P8, Canada; [DeConto, Robert M.] Univ Massachusetts, Dept Geosci, Amherst, MA 01003 USA; [Rowley, David B.] Univ Chicago, Dept Geophys Sci, Chicago, IL 60637 USA; [Raymo, Maureen E.] Columbia Univ, Lamont Doherty Earth Observ, Palisades, NY 10964 USA</t>
  </si>
  <si>
    <t>Harvard University; Pennsylvania Commonwealth System of Higher Education (PCSHE); Pennsylvania State University; Pennsylvania State University - University Park; Syracuse University; University of Quebec; University of Quebec Montreal; University of Massachusetts System; University of Massachusetts Amherst; University of Chicago; Columbia University</t>
  </si>
  <si>
    <t>Austermann, J (corresponding author), Harvard Univ, Dept Earth &amp; Planetary Sci, Cambridge, MA 02138 USA.</t>
  </si>
  <si>
    <t>jaustermann@fas.harvard.edu</t>
  </si>
  <si>
    <t>Raymo, Maureen E/A-1270-2012</t>
  </si>
  <si>
    <t>Rowley, David/0000-0001-9767-9029; Austermann, Jacqueline/0000-0003-3754-5082; Forte, Alessandro/0000-0002-3530-0455; Moucha, Robert/0000-0001-8393-4279</t>
  </si>
  <si>
    <t>National Science Foundation Division of Ocean Sciences PLIOMAX [OCE-0825293]; Harvard University; Div Atmospheric &amp; Geospace Sciences; Directorate For Geosciences [1203910] Funding Source: National Science Foundation</t>
  </si>
  <si>
    <t>National Science Foundation Division of Ocean Sciences PLIOMAX; Harvard University; Div Atmospheric &amp; Geospace Sciences; Directorate For Geosciences(National Science Foundation (NSF)NSF - Directorate for Geosciences (GEO))</t>
  </si>
  <si>
    <t>We thank Tim Naish, Daniel Hill, and one anonymous reviewer for their constructive comments on this manuscript, as well as Robert Ackert, Jr., for a number of discussions. We thank Wolfgang Bangerth and Timo Heister for making the ASPECT code available to the community, and the Computational Infrastructure for Geodynamics (geodynamics.org) for supporting Austermann's participation at two ASPECT hackathons. Support for this research was provided by National Science Foundation Division of Ocean Sciences grant OCE-0825293 PLIOMAX and Harvard University. Forte acknowledges support provided by the Natural Sciences and Engineering Research Council of Canada.</t>
  </si>
  <si>
    <t>GEOLOGICAL SOC AMER, INC</t>
  </si>
  <si>
    <t>BOULDER</t>
  </si>
  <si>
    <t>PO BOX 9140, BOULDER, CO 80301-9140 USA</t>
  </si>
  <si>
    <t>0091-7613</t>
  </si>
  <si>
    <t>1943-2682</t>
  </si>
  <si>
    <t>10.1130/G36988.1</t>
  </si>
  <si>
    <t>CS1MQ</t>
  </si>
  <si>
    <t>WOS:000361830400021</t>
  </si>
  <si>
    <t>Kobelkova, A; Goto, SG; Peyton, JT; Ikeno, T; Lee, RE; Denlinger, DL</t>
  </si>
  <si>
    <t>Kobelkova, Alena; Goto, Shin G.; Peyton, Justin T.; Ikeno, Tomoko; Lee, Richard E., Jr.; Denlinger, David L.</t>
  </si>
  <si>
    <t>Continuous activity and no cycling of clock genes in the Antarctic midge during the polar summer</t>
  </si>
  <si>
    <t>Polar biology; Circadian rhythms; Clock genes; Natural conditions; Continuous light</t>
  </si>
  <si>
    <t>CIRCADIAN BEHAVIORAL RHYTHMS; CONTINUOUS DAYLIGHT; NATURAL CONDITIONS; PLASMA MELATONIN; NERVOUS-SYSTEM; TIMELESS GENES; ARCTIC SUMMER; DROSOPHILA; PERIOD; EXPRESSION</t>
  </si>
  <si>
    <t>The extreme seasonal shifts of day length in polar regions, ranging from constant light in the summer to constant darkness in the winter, pose an intriguing environment for probing activity rhythms and the functioning of circadian clocks. Here, we monitor locomotor activity during the summer on the Antarctic Peninsula and under laboratory conditions, as well as the accompanying patterns of clock gene expression in the Antarctic midge, the only insect endemic to Antarctica. Larvae and adults are most active during the warmest portion of the day, but at a constant temperature they remain continuously active regardless of the photoregime, and activity also persists in constant darkness. The canonical clock genes period, timeless, Clock, and vrille are expressed in the head but we detected no cycling of expression in either the field or under diverse photoregimes in the laboratory. The timekeeping function of the clock has possibly been lost, enabling the midge to opportunistically exploit the unpredictable availability of permissive thermal conditions for growth, development, and reproduction during the short summer in Antarctica. (C) 2015 Elsevier Ltd. All rights reserved.</t>
  </si>
  <si>
    <t>[Kobelkova, Alena; Peyton, Justin T.; Denlinger, David L.] Ohio State Univ, Dept Entomol, Columbus, OH 43210 USA; [Kobelkova, Alena; Peyton, Justin T.; Denlinger, David L.] Ohio State Univ, Dept Evolut Ecol &amp; Organismal Biol, Columbus, OH 43210 USA; [Goto, Shin G.; Ikeno, Tomoko] Osaka City Univ, Grad Sch Sci, Osaka 5588585, Japan; [Lee, Richard E., Jr.] Miami Univ, Dept Zool, Oxford, OH 45056 USA</t>
  </si>
  <si>
    <t>University System of Ohio; Ohio State University; University System of Ohio; Ohio State University; Osaka Metropolitan University; University System of Ohio; Miami University</t>
  </si>
  <si>
    <t>Denlinger, DL (corresponding author), Ohio State Univ, Dept Entomol, Columbus, OH 43210 USA.</t>
  </si>
  <si>
    <t>denlinger.1@osu.edu</t>
  </si>
  <si>
    <t>Hrbatova, Alena/AAU-2834-2020; Goto, Shin G/K-2614-2015</t>
  </si>
  <si>
    <t>Goto, Shin G/0000-0002-4431-7531</t>
  </si>
  <si>
    <t>National Science Foundation [OPP-ANT-0837613, OPP-ANT-0837559]; Directorate For Geosciences; Office of Polar Programs (OPP) [1341385] Funding Source: National Science Foundation; Office of Polar Programs (OPP); Directorate For Geosciences [1341393] Funding Source: National Science Foundation</t>
  </si>
  <si>
    <t>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</si>
  <si>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thank Palmer Station staff for support provided during our field seasons and Martina Hajduskova for assistance in preparing figures of the activity patterns. This work was supported by National Science Foundation OPP-ANT-0837613 and OPP-ANT-0837559.</t>
  </si>
  <si>
    <t>10.1016/j.jinsphys.2015.07.008</t>
  </si>
  <si>
    <t>CS1WT</t>
  </si>
  <si>
    <t>WOS:000361860300012</t>
  </si>
  <si>
    <t>Aoki, S; Mizuta, G; Sasaki, H; Sasai, Y; Rintoul, SR; Bindoff, NL</t>
  </si>
  <si>
    <t>Aoki, Shigeru; Mizuta, Genta; Sasaki, Hideharu; Sasai, Yoshikazu; Rintoul, Stephen R.; Bindoff, Nathaniel L.</t>
  </si>
  <si>
    <t>Atlantic-Pacific asymmetry of subsurface temperature change and frontal response of the Antarctic Circumpolar Current for the recent three decades</t>
  </si>
  <si>
    <t>JOURNAL OF OCEANOGRAPHY</t>
  </si>
  <si>
    <t>Antarctic Circumpolar Current; Atlantic; Pacific; Warming; Frontal shift; Multi-decadal variability</t>
  </si>
  <si>
    <t>HEMISPHERE CLIMATE-CHANGE; SOUTHERN-OCEAN; VARIABILITY; WINDS; GYRE</t>
  </si>
  <si>
    <t>For the 32-year period from 1979 to 2010, trends of surface and subsurface temperature and meridional motion of the current system in the Antarctic Circumpolar Current (ACC) region are studied with in situ observations and an eddy-resolving general circulation model. The observed and simulated surface temperature shows a similar pattern between the Atlantic and Pacific: warming to the north of the Subantarctic/Subtropical Fronts in the Atlantic and of the Subtropical Front in the Pacific and cooling to the south of those fronts. The subsurface temperature trend, again from both observation and model, reveals an asymmetric pattern between the Atlantic and Pacific: subsurface warming is dominant over the whole ACC region in the Atlantic, while both warming and cooling are significant in the Pacific, the former located to the north of the Subantarctic Front and the latter to the south. The model reveals that the ACC has generally shifted poleward in the Atlantic, while it has shifted equatorward around Subantarctic Front and Polar Front in the Pacific. The ACC shift is consistent with the overall subsurface temperature trend. The basin-scale difference of the ACC response can be related to the different regime of the trend in meridional gradient of the zonal wind stress to the north and south of 50-55A degrees S and suggests a coupling of the ACC and overlying westerly on the multi-decadal time scale.</t>
  </si>
  <si>
    <t>[Aoki, Shigeru] Hokkaido Univ, Inst Low Temp Sci, Kita Ku, Sapporo, Hokkaido 0600819, Japan; [Mizuta, Genta] Hokkaido Univ, Grad Sch Environm Sci, Kita Ku, Sapporo, Hokkaido 0600810, Japan; [Sasaki, Hideharu] JAMSTEC, Applicat Lab, Kanazawa Ku, Yokohama, Kanagawa 2360001, Japan; [Sasai, Yoshikazu] JAMSTEC, Res &amp; Dev Ctr Global Change, Kanazawa Ku, Yokohama, Kanagawa 2360001, Japan; [Rintoul, Stephen R.; Bindoff, Nathaniel L.] Univ Tasmania, Antarctic Climate &amp; Ecosyst Cooperat Res Ctr, Hobart, Tas, Australia; [Rintoul, Stephen R.; Bindoff, Nathaniel L.] CSIRO, Hobart, Tas, Australia; [Rintoul, Stephen R.] Ctr Australian Weather &amp; Climate Res, Hobart, Tas, Australia; [Rintoul, Stephen R.] Wealth Oceans Natl Res Flagship, Hobart, Tas, Australia; [Bindoff, Nathaniel L.] Univ Tasmania, Hobart, Tas, Australia; [Bindoff, Nathaniel L.] ARC Ctr Excellence Climate Syst Sci, Hobart, Tas, Australia</t>
  </si>
  <si>
    <t>Hokkaido University; Hokkaido University; Japan Agency for Marine-Earth Science &amp; Technology (JAMSTEC); Japan Agency for Marine-Earth Science &amp; Technology (JAMSTEC); University of Tasmania; Antarctic Climate &amp; Ecosystems Cooperative Research Centre (ACE CRC); Commonwealth Scientific &amp; Industrial Research Organisation (CSIRO); Commonwealth Scientific &amp; Industrial Research Organisation (CSIRO); Commonwealth Scientific &amp; Industrial Research Organisation (CSIRO); University of Tasmania; ARC Centre of Excellence for Climate System Science</t>
  </si>
  <si>
    <t>Aoki, S (corresponding author), Hokkaido Univ, Inst Low Temp Sci, Kita Ku, N19W8, Sapporo, Hokkaido 0600819, Japan.</t>
  </si>
  <si>
    <t>shigeru@lowtem.hokudai.ac.jp</t>
  </si>
  <si>
    <t>Bindoff, Nathaniel Lee/IVV-0333-2023; 英治, 佐々木/G-2247-2016; Aoki, Shigeru/D-9105-2012; Bindoff, Nathaniel Lee/C-8050-2011; Rintoul, Stephen R/A-1471-2012</t>
  </si>
  <si>
    <t>Bindoff, Nathaniel Lee/0000-0001-5662-9519; 英治, 佐々木/0000-0003-0657-7532; Bindoff, Nathaniel Lee/0000-0001-5662-9519; Rintoul, Stephen R/0000-0002-7055-9876</t>
  </si>
  <si>
    <t>MEXT of the Japanese Government [22106009]; Australian Government, through the Antarctic Climate and Ecosystems Cooperative Research Centre; Australian Government Department of the Environment; Bureau of Meteorology; CSIRO through the Australian Climate Change Science Program; Grants-in-Aid for Scientific Research [22106006, 22106009] Funding Source: KAKEN</t>
  </si>
  <si>
    <t>MEXT of the Japanese Government(Ministry of Education, Culture, Sports, Science and Technology, Japan (MEXT)); Australian Government, through the Antarctic Climate and Ecosystems Cooperative Research Centre(Australian GovernmentDepartment of Industry, Innovation and ScienceCooperative Research Centres (CRC) Programme); Australian Government Department of the Environment(Australian Government); Bureau of Meteorology(Bureau of Meteorology - Australia); CSIRO through the Australian Climate Change Science Program; Grants-in-Aid for Scientific Research(Ministry of Education, Culture, Sports, Science and Technology, Japan (MEXT)Japan Society for the Promotion of ScienceGrants-in-Aid for Scientific Research (KAKENHI))</t>
  </si>
  <si>
    <t>We thank Akira Taniguchi for his data handling of OFES. Discussion with Drs. Andy Hogg and Katsuro Katsumata are very helpful in interpreting the results. Comments and suggestions from two anonymous reviewers helped substantially improve this manuscript. This work was supported by Grant-in-Aid for Scientific Research (22106009) of the MEXT of the Japanese Government, by the Cooperative Research Centre program of the Australian Government, through the Antarctic Climate and Ecosystems Cooperative Research Centre and by the Australian Government Department of the Environment, the Bureau of Meteorology and CSIRO through the Australian Climate Change Science Program.</t>
  </si>
  <si>
    <t>0916-8370</t>
  </si>
  <si>
    <t>1573-868X</t>
  </si>
  <si>
    <t>J OCEANOGR</t>
  </si>
  <si>
    <t>J. Oceanogr.</t>
  </si>
  <si>
    <t>10.1007/s10872-015-0284-6</t>
  </si>
  <si>
    <t>CS2FL</t>
  </si>
  <si>
    <t>WOS:000361883200010</t>
  </si>
  <si>
    <t>Mao, YZ; Yin, YC; Zhang, LJ; Alias, SA; Gao, B; Wei, DZ</t>
  </si>
  <si>
    <t>Mao, Youzhi; Yin, Yanchen; Zhang, Lujia; Alias, Siti Aisyah; Gao, Bei; Wei, Dongzhi</t>
  </si>
  <si>
    <t>Development of a novel Aspergillus uracil deficient expression system and its application in expressing a cold-adapted α-amylase gene from Antarctic fungi Geomyces pannorum</t>
  </si>
  <si>
    <t>PROCESS BIOCHEMISTRY</t>
  </si>
  <si>
    <t>Cold-adapted alpha-amylase; pyrF; Aspergillus oryzae; Geomyces pannorum; Heterologous expression</t>
  </si>
  <si>
    <t>OROTATE PHOSPHORIBOSYLTRANSFERASE; RNA INTERFERENCE; HUMAN LYSOZYME; ORYZAE; PURIFICATION; CLONING; STABILITY; RESIDUES; DOCKING; MALTOSE</t>
  </si>
  <si>
    <t>Filamentous fungi have increasingly been used as hosts for heterologous protein production because of their high secretion capability and ability to add eukaryotic post-translational modifications. In this study, a novel uracil-deficient Aspergillus transformation system, which was based on an orotate phosphoribosyltransferase (pyrF) nutritional selection marker, was discovered. Additionally, a universal, purify-able vector that directed genes into the Aspergillus host strain was engineered. A genomic DNA segment encoding a novel a-amylase was isolated from the psychrotolerant fungus Geomyces pannorum and the open reading frame was determined, deduced 497 amino acids. G. pannorum alpha-amylase was then expressed in the newly constructed Aspergillus oryzae system, with an amylase activity reaching 958 U/ml. It was purified to electrophoretic homogeneity and has a molecular mass of approximately 54 kDa. The enzyme exhibited an optimal activity at pH 5.0 and 40 degrees C and retained over 20% of maximal activity over the temperature range 0-20 degrees C. To our knowledge, this report is the first of the heterologous expression of a cold-adapted enzyme in filamentous fungi. G. pannorum alpha-amylase is an economical amylase with many potential applications. (C) 2015 Elsevier Ltd. All rights reserved.</t>
  </si>
  <si>
    <t>[Mao, Youzhi; Yin, Yanchen; Zhang, Lujia; Gao, Bei; Wei, Dongzhi] E China Univ Sci &amp; Technol, New World Inst Biotechnol, State Key Lab Bioreactor Engn, Shanghai 200237, Peoples R China; [Alias, Siti Aisyah] Univ Malaya, Inst Ocean &amp; Earth Sci, Inst Postgrad Studies, Kuala Lumpur 50603, Malaysia</t>
  </si>
  <si>
    <t>East China University of Science &amp; Technology; Universiti Malaya</t>
  </si>
  <si>
    <t>Gao, B (corresponding author), E China Univ Sci &amp; Technol, POB 311,130 Meilong Rd, Shanghai 200237, Peoples R China.</t>
  </si>
  <si>
    <t>maoyz08@yeah.net; tjuirisyin@163.com; ljzhang@ecust.edu.cn; saa@um.edu.my; gaobei@ecust.edu.cn; dzhwei@ecust.edu.cn</t>
  </si>
  <si>
    <t>Zhang, Lujia/ABI-3724-2020; Wei, Dongzhi/AAJ-3404-2021; FASc, SITI AISYAH A. HJ ALIAS/B-9785-2010</t>
  </si>
  <si>
    <t>Zhang, Lujia/0000-0003-3566-917X; FASc, SITI AISYAH A. HJ ALIAS/0000-0002-6759-5745</t>
  </si>
  <si>
    <t>National Natural Foundation of China [31201296]; Fundamental Research Funds for the Central Universities; National High Technology Research and Development Program of China [2013AA102109]; Higher Institute Centre of Excellence Grant, Ministry Of Education [IOES-2014G]</t>
  </si>
  <si>
    <t>National Natural Foundation of China(National Natural Science Foundation of China (NSFC)); Fundamental Research Funds for the Central Universities(Fundamental Research Funds for the Central Universities); National High Technology Research and Development Program of China(National High Technology Research and Development Program of China); Higher Institute Centre of Excellence Grant, Ministry Of Education</t>
  </si>
  <si>
    <t>This work was funded by The National Natural Foundation of China (No. 31201296), the Fundamental Research Funds for the Central Universities, and the National High Technology Research and Development Program of China (No.2013AA102109). We are grateful to Institute of Ocean and Earth Sciences, University of Malaya for offering strain Geomyces pannorum. This polar work was supported by Higher Institute Centre of Excellence Grant, Ministry Of Education (No. IOES-2014G).</t>
  </si>
  <si>
    <t>1359-5113</t>
  </si>
  <si>
    <t>1873-3298</t>
  </si>
  <si>
    <t>PROCESS BIOCHEM</t>
  </si>
  <si>
    <t>Process Biochem.</t>
  </si>
  <si>
    <t>10.1016/j.procbio.2015.06.016</t>
  </si>
  <si>
    <t>Biochemistry &amp; Molecular Biology; Biotechnology &amp; Applied Microbiology; Engineering, Chemical</t>
  </si>
  <si>
    <t>Biochemistry &amp; Molecular Biology; Biotechnology &amp; Applied Microbiology; Engineering</t>
  </si>
  <si>
    <t>CS0TP</t>
  </si>
  <si>
    <t>WOS:000361775400011</t>
  </si>
  <si>
    <t>Griener, KW; Warny, S</t>
  </si>
  <si>
    <t>Griener, Kathryn W.; Warny, Sophie</t>
  </si>
  <si>
    <t>Nothofagus pollen grain size as a proxy for long-term climate change: An applied study on Eocene, Oligocene, and Miocene sediments from Antarctica</t>
  </si>
  <si>
    <t>REVIEW OF PALAEOBOTANY AND PALYNOLOGY</t>
  </si>
  <si>
    <t>Nothofagus; Pollen; Size; Climate; Antarctica; Cenozoic</t>
  </si>
  <si>
    <t>VEGETATION; PENINSULA; LONGEVITY; VIABILITY; HISTORY</t>
  </si>
  <si>
    <t>Understanding the nature of moisture availability in the Eocene, Oligocene, and Miocene of Antarctica is imperative for climate reconstructions and for understanding the potential influence of future climate change on modern landscapes. Previous studies have used traditional palynological techniques, fossil leaf margins, hydrogen isotope leaf waxes, and palynomorph delta C-13 values to indicate changes in moisture on the southernmost continent. Here, we explore the relationship between pollen width (equatorial diameter) and climate as a potential indicator of changes in moisture availability in Antarctica, a technique that had not been widely applied previously. To date, studies of pollen grain size response to environmental stress and the applicability of using fossil pollen grain size as a climate change proxy are limited. In this paper, we explore the relationship between pollen grain size and environmental stress (desiccation intensity) and whether such a relationship can be applied to fossil pollen from Antarctica. We measured the widths of 157 modern specimens of Nothofagus spp. (the genus of Southern beech) pollen from throughout the Southern Hemisphere and compared them with mean annual precipitation records to assess the relationship between pollen grain size and moisture availability. The widths of 458 Antarctic Nothofagidites lachlaniae-complex pollen grains (from Eocene, Oligocene, and Miocene cores) were then measured and compared to other paleoenvironmental proxies to evaluate whether or not a significant trend in size variability can be associated with a change in moisture availability through geological time. Modern data show a significant relationship between decreased moisture availability and increased pollen grain size and are consistent with a previous study, providing confidence for using changes in pollen grain size as an indicator of moisture. Fossil data show a 23% increase in average pollen grain size from the late Eocene through the early to mid Miocene, indicating a decrease in moisture availability in Antarctica during this time. (C) 2015 Elsevier B.V. All rights reserved.</t>
  </si>
  <si>
    <t>[Griener, Kathryn W.; Warny, Sophie] Louisiana State Univ, Dept Geol &amp; Geophys, Baton Rouge, LA 70803 USA</t>
  </si>
  <si>
    <t>Louisiana State University System; Louisiana State University</t>
  </si>
  <si>
    <t>Griener, KW (corresponding author), Louisiana State Univ, E235 Howe Russell Geosci Complex, Baton Rouge, LA 70803 USA.</t>
  </si>
  <si>
    <t>kgrien4@lsu.edu</t>
  </si>
  <si>
    <t>Warny, Sophie A/A-8226-2013</t>
  </si>
  <si>
    <t>Warny, Sophie/0000-0002-3451-040X</t>
  </si>
  <si>
    <t>NSF CAREER program [1048343]; Louisiana State University Marathon GeoDE Fellowship [101072]; Directorate For Geosciences; Office of Polar Programs (OPP) [1048343] Funding Source: National Science Foundation</t>
  </si>
  <si>
    <t>NSF CAREER program(National Science Foundation (NSF)NSF - Office of the Director (OD)); Louisiana State University Marathon GeoDE Fellowship; Directorate For Geosciences; Office of Polar Programs (OPP)(National Science Foundation (NSF)NSF - Directorate for Geosciences (GEO))</t>
  </si>
  <si>
    <t>We thank the Herbarium at the Museum of New Zealand and the Harvard University Herbarium for providing modern Nothofagus specimens and J. Ian Raine, Lowell Urbatsch, and Jennifer Kluse for assistance in obtaining herbaria material. Thanks to the Antarctic Research Facility at the University of Florida for core sampling and SHALDRIL and ANDRILL research teams for core collection. Funding for this project was provided through the NSF CAREER program (Grant #1048343 to SW) and through the Louisiana State University Marathon GeoDE Fellowship (Grant #101072 to KWG). Additional thanks are extended to Daniel Buechmann, who helped access precipitation data in the BIOCLIM package using GIS software. Thanks are also extended to Rosie Askin for assistance with Nothofagidites classification.</t>
  </si>
  <si>
    <t>0034-6667</t>
  </si>
  <si>
    <t>1879-0615</t>
  </si>
  <si>
    <t>REV PALAEOBOT PALYNO</t>
  </si>
  <si>
    <t>Rev. Palaeobot. Palynology</t>
  </si>
  <si>
    <t>10.1016/j.revpalbo.2015.06.003</t>
  </si>
  <si>
    <t>Plant Sciences; Paleontology</t>
  </si>
  <si>
    <t>CS0UO</t>
  </si>
  <si>
    <t>WOS:000361777900013</t>
  </si>
  <si>
    <t>Yenen, SD; Gulyaeva, TL; Arikan, F; Arikan, O</t>
  </si>
  <si>
    <t>Yenen, S. D.; Gulyaeva, T. L.; Arikan, F.; Arikan, O.</t>
  </si>
  <si>
    <t>Association of ionospheric storms and substorms of Global Electron Content with proxy AE index</t>
  </si>
  <si>
    <t>Ionosphere; Global Electron Content (GEC); Total Electron Content (TEC); Auroral Electrojet (AE) index; Space weather; Geomagnetic storms</t>
  </si>
  <si>
    <t>EMPIRICAL-MODEL; LATITUDES; WEATHER</t>
  </si>
  <si>
    <t>Storm time modeling of Global Electron Content (GEC) calculated from GIM-TEC for 1999-2013 is associated with new proxy of Auroral Electrojet variability expressed as a smoothed and normalized Auroral Electrojet index (AE(sn)). The variability in GEC is captured by the computation of DGEC which is obtained by taking the hourly ratio of instant GEC to median of GEC values at the same hour of 7 preceding days. The storm onset is determined by a joint analysis of variations in IMF-B magnitude, its derivative (dB/dt) and direction of IMF-Bz together with sudden increase in AE exceeding 900 nT. The start of the pre-storm period is chosen to be 7 h prior to the storm onset time and the storm recovery period ends 41 h after the storm onset. The hourly AE, is related to DGEC during the storm period through a polynomial whose coefficients are estimated in the linear least squares sense. Estimated coefficients are examined and grouped with respect to different kinds of auroral storms. Examples of modeling methodology are provided using four different kinds of intense storms and substorms, namely, Positive Arctic, Positive Antarctic, Negative Arctic and Negative Antarctic that occurred between 1999 and 2013. The estimated coefficients for storm periods are compared with those of non-storm periods. It is observed that the positive correlation between the increase of AE and GEC can be a promising precursor of space weather variability. (C) 2015 COSPAR. Published by Elsevier Ltd. All rights reserved.</t>
  </si>
  <si>
    <t>[Yenen, S. D.; Arikan, F.] Hacettepe Univ, Dept EEE, TR-06800 Ankara, Turkey; [Gulyaeva, T. L.] IZMIRAN, Troitsk 142190, Russia; [Arikan, O.] Bilkent Univ, Dept EEE, TR-06800 Ankara, Turkey</t>
  </si>
  <si>
    <t>Hacettepe University; Ihsan Dogramaci Bilkent University</t>
  </si>
  <si>
    <t>Yenen, SD (corresponding author), Hacettepe Univ, Dept EEE, TR-06800 Ankara, Turkey.</t>
  </si>
  <si>
    <t>s.d.yenen@gmail.com; gulyaeva@izmiran.ru; arikan@hacettepe.edu.tr; oarikan@ee.bilkent.edu.tr</t>
  </si>
  <si>
    <t>ARIKAN, FEZA/G-5908-2013</t>
  </si>
  <si>
    <t>ARIKAN, FEZA/0000-0002-6481-1385; ARIKAN, ORHAN/0000-0002-3698-8888</t>
  </si>
  <si>
    <t>TUBITAK [112E568, 114E092]; RFBR [13-02-91370-CT_a]; AS CR [14/001]</t>
  </si>
  <si>
    <t>TUBITAK(Turkiye Bilimsel ve Teknolojik Arastirma Kurumu (TUBITAK)); RFBR(Russian Foundation for Basic Research (RFBR)); AS CR(Czech Academy of Sciences)</t>
  </si>
  <si>
    <t>The storm lists and GEC values are provided by http://www.izmiran.ru/ionosphere/weather/stormi AE, Dst and Kp indices are provided by Geomagnetism Data Service http://wdc.kugi.kyoto-u.ac.jp/wdc/. IMF-B and IMF-Bz are obtained from http://omniweb.gsfc.nasa.gov/form/dxl.html. This study is supported by the joint grants from TUBITAK 112E568 and RFBR 13-02-91370-CT_a, and TUBITAK 114E092 and AS CR 14/001.</t>
  </si>
  <si>
    <t>10.1016/j.asr.2015.06.025</t>
  </si>
  <si>
    <t>CR5RT</t>
  </si>
  <si>
    <t>WOS:000361402300007</t>
  </si>
  <si>
    <t>Rodrigues, E; Feijó-Oliveira, M; Suda, CNK; Vani, GS; Donatti, L; Rodrigues, E; Lavrado, HP</t>
  </si>
  <si>
    <t>Rodrigues, Edson, Jr.; Feijo-Oliveira, Mariana; Kawagoe Suda, Cecilia Nohome; Vani, Gannabathula Sree; Donatti, Lucelia; Rodrigues, Edson; Lavrado, Helena Passeri</t>
  </si>
  <si>
    <t>Metabolic responses of the Antarctic fishes Notothenia rossii and Notothenia coriiceps to sewage pollution</t>
  </si>
  <si>
    <t>FISH PHYSIOLOGY AND BIOCHEMISTRY</t>
  </si>
  <si>
    <t>Antarctica; Sewage; Liver; Energy metabolism; Oxidative defense</t>
  </si>
  <si>
    <t>TROUT ONCORHYNCHUS-MYKISS; KING-GEORGE ISLAND; RAINBOW-TROUT; TREMATOMUS-BERNACCHII; OXIDATIVE STRESS; INTERMEDIARY METABOLISM; BIOCHEMICAL PARAMETERS; ENZYMATIC-ACTIVITIES; ENERGY-METABOLISM; COLD ADAPTATION</t>
  </si>
  <si>
    <t>The present study aimed to assess the sewage effects of the Brazilian Antarctic Station Comandante Ferraz, Admiralty Bay, King George Island, on the hepatic metabolism (energetic, antioxidant, and arginase levels) and levels of plasma constituents of two Antarctic fish species Notothenia rossii and N. coriiceps. The bioassays were conducted under controlled temperature (0 degrees C) and salinity (35 psu), exposing the fish for 96 h, to sewage effluent diluted in seawater to 0.5 % (v/v). Liver homogenates were tested for the specific activities of the enzymes glucose-6-phosphatase (G6Pase), glycogen phosphorylase (GPase), hexokinase, citrate synthase, lactate dehydrogenase, malate dehydrogenase, glucose-6-phosphate dehydrogenase, superoxide dismutase, glutathione reductase, catalase, and arginase. Plasma levels of glucose, triacylglycerides, cholesterol, total protein, albumin, chloride, magnesium, calcium, and inorganic phosphate were also determined. In N. rossii, the decrease in citrate synthase and the increase in G6Pase and GPase suggested that the sewage effluent activated glycogenolysis and hepatic gluconeogenesis, whereas is N. coriiceps, only G6Pase levels were increased. In N. rossii, sewage effluent induced hypertriglyceridemia without modulating glucose plasma levels, in contrast to N. coriiceps, which developed hypoglycemia without elevating plasma triglyceride levels. The decrease in glutathione reductase levels in N. coriiceps and in superoxide dismutase and catalase in N. rossii suggest that these two species are susceptible to oxidative stress stemming from the production of reactive oxygen species. An increase in magnesium in N. rossii and a decrease in N. coriiceps showed that sewage effluent compromised the control of plasma levels of this cation. Although phylogenetically close, both species of Antarctic fish exhibited different metabolic responses to the sewage effluent, with N. coriiceps showing greater susceptibility to the toxic effects of the pollutants. The present study suggests that the biochemical responses of these two species are potential indicators of metabolic changes caused by sewage effluents.</t>
  </si>
  <si>
    <t>[Rodrigues, Edson, Jr.; Feijo-Oliveira, Mariana; Kawagoe Suda, Cecilia Nohome; Vani, Gannabathula Sree; Rodrigues, Edson] Univ Taubate, Inst Basic Biosci, BR-12030180 Taubate, SP, Brazil; [Donatti, Lucelia] Univ Fed Parana, Dept Cell Biol, BR-81530130 Curitiba, PR, Brazil; [Lavrado, Helena Passeri] Univ Fed Rio de Janeiro, Dept Marine Biol, BR-21941902 Rio De Janeiro, RJ, Brazil</t>
  </si>
  <si>
    <t>Universidade de Taubate; Universidade Federal do Parana; Universidade Federal do Rio de Janeiro</t>
  </si>
  <si>
    <t>Rodrigues, E (corresponding author), Univ Taubate, Inst Basic Biosci, Av Tiradentes,500 Ctr, BR-12030180 Taubate, SP, Brazil.</t>
  </si>
  <si>
    <t>edsonrodj@gmail.com; rodedson@gmail.com</t>
  </si>
  <si>
    <t>Suda, Cecilia N.K./J-7071-2014; Donatti, Lucelia/E-1930-2013; Lavrado, Helena/M-9737-2014; Rodrigues, Edson/C-6792-2015</t>
  </si>
  <si>
    <t>Donatti, Lucelia/0000-0002-9023-2483; Lavrado, Helena/0000-0002-7275-7075; Rodrigues, Edson/0000-0003-3968-6882; Suda, Cecilia/0000-0002-6544-8661</t>
  </si>
  <si>
    <t>Brazilian Ministry of Environment (MMA); Ministry of Science, Technology and Innovation (MCTI); National Council for the Development of Scientific and Technological Research (CNPq); Brazilian Federal Agency for Support and Evaluation of Graduate Education (CAPES); Secretariat of the Inter-ministerial Commission for the Resources of the Sea (SeCIRM); CNPq through the project INCT-APA [574018/2008-5]; FAPERJ through the project INCT-APA [FAPERJ E-26/170.023/2008]</t>
  </si>
  <si>
    <t>Brazilian Ministry of Environment (MMA); Ministry of Science, Technology and Innovation (MCTI); National Council for the Development of Scientific and Technological Research (CNPq)(Conselho Nacional de Desenvolvimento Cientifico e Tecnologico (CNPQ)Fundacao de Apoio a Pesquisa do Distrito Federal (FAPDF)); Brazilian Federal Agency for Support and Evaluation of Graduate Education (CAPES)(Coordenacao de Aperfeicoamento de Pessoal de Nivel Superior (CAPES)); Secretariat of the Inter-ministerial Commission for the Resources of the Sea (SeCIRM); CNPq through the project INCT-APA; FAPERJ through the project INCT-APA</t>
  </si>
  <si>
    <t>We are grateful to the following for their support: Brazilian Ministry of Environment (MMA), Ministry of Science, Technology and Innovation (MCTI), National Council for the Development of Scientific and Technological Research (CNPq), Brazilian Federal Agency for Support and Evaluation of Graduate Education (CAPES), and the Secretariat of the Inter-ministerial Commission for the Resources of the Sea (SeCIRM). The authors would like to thank Dr Yocie Yoneshigue Valentin, coordinator of the National Institute of Antarctic Science and Technology of Environmental Research (INCT APA), for all the help and incentive given during execution of the present work. This research was supported by the grants from the CNPq and FAPERJ through the project INCT-APA (CNPq Process No. 574018/2008-5, FAPERJ E-26/170.023/2008).</t>
  </si>
  <si>
    <t>0920-1742</t>
  </si>
  <si>
    <t>1573-5168</t>
  </si>
  <si>
    <t>FISH PHYSIOL BIOCHEM</t>
  </si>
  <si>
    <t>Fish Physiol. Biochem.</t>
  </si>
  <si>
    <t>10.1007/s10695-015-0080-7</t>
  </si>
  <si>
    <t>Biochemistry &amp; Molecular Biology; Fisheries; Physiology</t>
  </si>
  <si>
    <t>CR7OC</t>
  </si>
  <si>
    <t>WOS:000361539100010</t>
  </si>
  <si>
    <t>Shero, MR; Costa, DP; Burns, JM</t>
  </si>
  <si>
    <t>Shero, Michelle R.; Costa, Daniel P.; Burns, Jennifer M.</t>
  </si>
  <si>
    <t>Scaling matters: incorporating body composition into Weddell seal seasonal oxygen store comparisons reveals maintenance of aerobic capacities</t>
  </si>
  <si>
    <t>JOURNAL OF COMPARATIVE PHYSIOLOGY B-BIOCHEMICAL SYSTEMS AND ENVIRONMENTAL PHYSIOLOGY</t>
  </si>
  <si>
    <t>Aerobic dive limit; Body composition; Diving physiology; Enzymes; Myosin heavy chain; Oxygen stores</t>
  </si>
  <si>
    <t>MAMMALIAN SKELETAL-MUSCLE; DIVING METABOLIC-RATES; DIVE LIMIT; ELECTROPHORETIC SEPARATION; LEPTONYCHOTES-WEDDELLII; GLYCOLYTIC-ENZYMES; FORAGING BEHAVIOR; MARINE PREDATOR; BLOOD-CHEMISTRY; MYOGLOBIN</t>
  </si>
  <si>
    <t>Adult Weddell seals (Leptonychotes weddellii) haul-out on the ice in October/November (austral spring) for the breeding season and reduce foraging activities for similar to 4 months until their molt in the austral fall (January/February). After these periods, animals are at their leanest and resume actively foraging for the austral winter. In mammals, decreased exercise and hypoxia exposure typically lead to decreased production of O-2-carrying proteins and muscle wasting, while endurance training increases aerobic potential. To test whether similar effects were present in marine mammals, this study compared the physiology of 53 post-molt female Weddell seals in the austral fall to 47 pre-breeding females during the spring in McMurdo Sound, Antarctica. Once body mass and condition (lipid) were controlled for, there were no seasonal changes in total body oxygen (TBO2) stores. Within each season, hematocrit and hemoglobin values were negatively correlated with animal size, and larger animals had lower mass-specific TBO2 stores. But because larger seals had lower mass-specific metabolic rates, their calculated aerobic dive limit was similar to smaller seals. Indicators of muscular efficiency, myosin heavy chain composition, myoglobin concentrations, and aerobic enzyme activities (citrate synthase and beta-hydroxyacyl CoA dehydrogenase) were likewise maintained across the year. The preservation of aerobic capacity is likely critical to foraging capabilities, so that following the molt Weddell seals can rapidly regain body mass at the start of winter foraging. In contrast, muscle lactate dehydrogenase activity, a marker of anaerobic metabolism, exhibited seasonal plasticity in this diving top predator and was lowest after the summer period of reduced activity.</t>
  </si>
  <si>
    <t>[Shero, Michelle R.; Burns, Jennifer M.] Univ Alaska Anchorage, Dept Biol Sci, Anchorage, AK 99508 USA; [Shero, Michelle R.] Univ Alaska Fairbanks, Sch Fisheries &amp; Ocean Sci, Fairbanks, AK 99775 USA; [Costa, Daniel P.] Univ Calif Santa Cruz, Dept Ecol &amp; Evolutionary Biol, Santa Cruz, CA 95060 USA</t>
  </si>
  <si>
    <t>University of Alaska System; University of Alaska Anchorage; University of Alaska System; University of Alaska Fairbanks; University of California System; University of California Santa Cruz</t>
  </si>
  <si>
    <t>Shero, MR (corresponding author), Univ Alaska Anchorage, Dept Biol Sci, Anchorage, AK 99508 USA.</t>
  </si>
  <si>
    <t>Burns, Jennifer/AAC-8243-2019; Costa, Daniel Paul/E-2616-2013</t>
  </si>
  <si>
    <t>Burns, Jennifer/0000-0001-9652-2943; Costa, Daniel Paul/0000-0002-0233-5782; Shero, Michelle/0000-0003-4633-5351</t>
  </si>
  <si>
    <t>NSF [ANT-0838892, ANT-0838937]; National Science Foundation Graduate Research Fellowship [DGE-1242789]</t>
  </si>
  <si>
    <t>NSF(National Science Foundation (NSF)); National Science Foundation Graduate Research Fellowship(National Science Foundation (NSF))</t>
  </si>
  <si>
    <t>We thank field team members: Kimberly Goetz, Linnea Pearson, Dr. Patrick Robinson, and Dr. Luis Huckstadt for sample collection, and also group B-009-M led by Drs. Robert Garrott, Jay Rotella, and Thierry Chambert for their help locating study animals. Logistical support was provided by the National Science Foundation (NSF) U.S. Antarctic Program, Raytheon Polar Services, and Lockheed Martin ASC; we thank all the support staff in Christchurch, NZ and McMurdo Station. This research was conducted with support from NSF ANT-0838892 to D.P.C. and ANT-0838937 to J.M.B. This material is based upon work supported by the National Science Foundation Graduate Research Fellowship (to M.R.S.) under Grant no. DGE-1242789. Any opinion, findings, and conclusions or recommendations expressed in this material are those of the authors and do not necessarily reflect the views of the National Science Foundation. Animal handling protocols were approved by the University of Alaska Anchorage and University of California Santa Cruz's Institutional Animal Care and Use Committees. Research and sample import to the United States were authorized under the Marine Mammal Permit no. 87-1851-04 issued by the Office of Protected Resources, National Marine Fisheries Service. Research activities were approved through Antarctic Conservation Act permits while at McMurdo Station.</t>
  </si>
  <si>
    <t>0174-1578</t>
  </si>
  <si>
    <t>1432-136X</t>
  </si>
  <si>
    <t>J COMP PHYSIOL B</t>
  </si>
  <si>
    <t>J. Comp. Physiol. B-Biochem. Syst. Environ. Physiol.</t>
  </si>
  <si>
    <t>10.1007/s00360-015-0922-8</t>
  </si>
  <si>
    <t>Physiology; Zoology</t>
  </si>
  <si>
    <t>CR6QF</t>
  </si>
  <si>
    <t>WOS:000361471600008</t>
  </si>
  <si>
    <t>Haseloff, M; Schoof, C; Gagliardini, O</t>
  </si>
  <si>
    <t>Haseloff, M.; Schoof, C.; Gagliardini, O.</t>
  </si>
  <si>
    <t>A boundary layer model for ice stream margins</t>
  </si>
  <si>
    <t>JOURNAL OF FLUID MECHANICS</t>
  </si>
  <si>
    <t>boundary layers; geophysical and geological flows; ice sheets</t>
  </si>
  <si>
    <t>FLOW; SHEET; GLACIERS; MIGRATION; PRESSURE; VELOCITY; SYSTEM; WATER; SLIP; BED</t>
  </si>
  <si>
    <t>The majority of Antarctic ice is discharged via long and narrow fast-flowing ice streams. At ice stream margins, the rapid transition from the vertical shearing flow in the ice ridges surrounding the stream to a rapidly sliding plug flow in the stream itself leads to high stress concentrations and a velocity field whose form is non-trivial to determine. In this paper, we develop a boundary layer theory for this narrow region separating a lubrication-type ice ridge flow and a membrane-type ice stream flow. This allows us to derive jump conditions for the outer models describing ridge and stream self-consistently. Much of our focus is, however, on determining the velocity and shear heating fields in the margin itself. Ice stream margins have been observed to change position over time, with potentially significant implications for ice stream discharge. Our boundary layer model allows us to extend previous work that has determined rates of margin migration from a balance between shear heating in the margin and the cooling effect of margin migration into the colder ice of the surrounding ice ridge. Solving for the transverse velocity field in the margin allows us to include the effect of advection due to lateral inflow of ice from the ridge on margin migration, and we demonstrate that this reduces the rate of margin migration, as previously speculated.</t>
  </si>
  <si>
    <t>[Haseloff, M.; Schoof, C.] Univ British Columbia, Dept Earth Ocean &amp; Atmospher Sci, Vancouver, BC V6T 1Z4, Canada; [Gagliardini, O.] CNRS, LGGE, UMR5183, F-38041 Grenoble, France; [Gagliardini, O.] Univ Grenoble Alpes, LGGE, UMR5183, F-38041 Grenoble, France; [Gagliardini, O.] Inst Univ France, Paris, France</t>
  </si>
  <si>
    <t>University of British Columbia; Centre National de la Recherche Scientifique (CNRS); Communaute Universite Grenoble Alpes; Universite Grenoble Alpes (UGA); Communaute Universite Grenoble Alpes; Universite Grenoble Alpes (UGA); Institut Universitaire de France</t>
  </si>
  <si>
    <t>Haseloff, M (corresponding author), Univ British Columbia, Dept Earth Ocean &amp; Atmospher Sci, Vancouver, BC V6T 1Z4, Canada.</t>
  </si>
  <si>
    <t>Gagliardini, Olivier/GQQ-1222-2022</t>
  </si>
  <si>
    <t>Gagliardini, Olivier/0000-0001-9162-3518; Haseloff, Marianne/0000-0002-6576-5384</t>
  </si>
  <si>
    <t>Four Year Fellowship at the University of British Columbia (UBC); Natural Sciences and Engineering Research Council of Canada (NSERC) [357193-13]; NSERC [357193-13, 446042-13]; Killam Faculty Research Fellowship at UBC; Compute Canada</t>
  </si>
  <si>
    <t>Four Year Fellowship at the University of British Columbia (UBC); Natural Sciences and Engineering Research Council of Canada (NSERC)(Natural Sciences and Engineering Research Council of Canada (NSERC)); NSERC(Natural Sciences and Engineering Research Council of Canada (NSERC)); Killam Faculty Research Fellowship at UBC; Compute Canada</t>
  </si>
  <si>
    <t>We thank two anonymous referees and the editor Grae Worster for their constructive comments. M.H. acknowledges financial support through a Four Year Fellowship at the University of British Columbia (UBC) and Natural Sciences and Engineering Research Council of Canada (NSERC) grant no. 357193-13. C.S. was supported by NSERC grants 357193-13 and 446042-13 and a Killam Faculty Research Fellowship at UBC. Numerical calculations on WestGrid equipment were supported by Compute Canada.</t>
  </si>
  <si>
    <t>0022-1120</t>
  </si>
  <si>
    <t>1469-7645</t>
  </si>
  <si>
    <t>J FLUID MECH</t>
  </si>
  <si>
    <t>J. Fluid Mech.</t>
  </si>
  <si>
    <t>10.1017/jfm.2015.503</t>
  </si>
  <si>
    <t>Mechanics; Physics, Fluids &amp; Plasmas</t>
  </si>
  <si>
    <t>Mechanics; Physics</t>
  </si>
  <si>
    <t>CR6TF</t>
  </si>
  <si>
    <t>WOS:000361479600020</t>
  </si>
  <si>
    <t>González-Medina, E; Castillo-Guerrero, JA; Santiago-Quesada, F; Villegas, A; Masero, JA; Sánchez-Guzmán, JM; Fernández, G</t>
  </si>
  <si>
    <t>Gonzalez-Medina, Erick; Alfredo Castillo-Guerrero, Jose; Santiago-Quesada, Francisco; Villegas, Auxiliadora; Masero, Jose A.; Sanchez-Guzman, Juan M.; Fernandez, Guillermo</t>
  </si>
  <si>
    <t>Regulation of breeding expenditure in the blue-footed booby, Sula nebouxii: an experimental approach</t>
  </si>
  <si>
    <t>ANIMAL BEHAVIOUR</t>
  </si>
  <si>
    <t>creatine kinase; foraging effort; leucocytes; parental care; reproductive effort</t>
  </si>
  <si>
    <t>SEXUAL SIZE DIMORPHISM; THIN-BILLED PRION; PARENTAL EFFORT; BODY-MASS; EXPERIMENTAL MANIPULATION; EXPERIMENTAL INCREASE; LEUKOCYTE PROFILES; ANTARCTIC PETREL; PELAGIC SEABIRD; CARE</t>
  </si>
  <si>
    <t>In the short-term, reproductive expenditure has repercussions for survival and future reproductive output. In long-lived seabirds, parents are expected to adjust their reproductive investment based on their physiological and immune status and then respond to the needs of their offspring without incurring additional costs. However, the impacts of parental expenditures on physiological and immune status have not been well explored. We compared the foraging effort (number and duration of foraging trips), time at nest and physiological status (plasma metabolites, heterophil/lymphocyte (H/L) ratio, creatine kinase (CK) activity) and body condition index (BCI) of blue-footed boobies subjected to experimentally increased or decreased breeding demands. When parental reproductive demands were increased, adults made more foraging trips and decreased their time at the nest. The increases in adult physical activity were reflected in higher levels of creatine kinase/total protein (CK/TP, U/g) and higher H/L ratios, indicating that adjustments in foraging effort were reflected in their physiological status. When parental reproductive demands were reduced, parents adjusted their level of effort according to the lower needs of their offspring; as a result, their overall physiological status was greater than that of the controls, showing lower CK/TP levels and H/L ratios. Our findings indicate that parents modified their foraging effort in response to variation in the food demands of the brood to maintain reproductive value, but this adjustment had consequences for physiological status in both costs and benefits. Blue-footed boobies inhabit upwelling systems where they experience high environmental variability throughout their life span. Thus, the ability to adjust breeding effort may buffer breeding success under different scenarios, with short-term physiological expenditures possibly related to long-term survival. (C) 2015 The Association for the Study of Animal Behaviour. Published by Elsevier Ltd. All rights reserved.</t>
  </si>
  <si>
    <t>[Gonzalez-Medina, Erick; Fernandez, Guillermo] Univ Nacl Autonoma Mexico, Inst Ciencias Mar &amp; Limnol, Unidad Acad Mazatlan, Mazatlan 82040, Sinaloa, Mexico; [Gonzalez-Medina, Erick] Univ Nacl Autonoma Mexico, Posgrad Ciencias Mar &amp; Limnol, Mazatlan 82040, Sinaloa, Mexico; [Alfredo Castillo-Guerrero, Jose] Ctr Invest Alimentac &amp; Desarrollo AC, Unidad Mazatlan Acuicultura &amp; Manejo Ambiental, Sinaloa, Mexico; [Santiago-Quesada, Francisco; Villegas, Auxiliadora; Masero, Jose A.; Sanchez-Guzman, Juan M.] Univ Extremadura, Area Zool, Conservat Biol Res Grp, Badajoz, Spain</t>
  </si>
  <si>
    <t>Universidad Nacional Autonoma de Mexico; Universidad Nacional Autonoma de Mexico; CIAD - Centro de Investigacion en Alimentacion y Desarrollo; Universidad de Extremadura</t>
  </si>
  <si>
    <t>Fernández, G (corresponding author), Univ Nacl Autonoma Mexico, Inst Ciencias Mar &amp; Limnol, Unidad Acad Mazatlan, Apartado Postal 811, Mazatlan 82040, Sinaloa, Mexico.</t>
  </si>
  <si>
    <t>gmedinaerick@gmail.com; alfredocas@gmail.com; fquesada@unex.es; villegas@unex.es; jamasero@unex.es; jsanchez@unex.es; gfernandez@ola.icmyl.unam.mx</t>
  </si>
  <si>
    <t>Auxiliadora, Villegas/M-7212-2019; Fernandez, Guillermo/B-7534-2008; González-Medina, Erick/ABG-9046-2020; Masero, Jose A./P-3418-2019; Auxiliadora, Villegas/E-5468-2012; SANCHEZ, JUAN MANUEL/M-1889-2014</t>
  </si>
  <si>
    <t>Auxiliadora, Villegas/0000-0001-7906-5613; Fernandez, Guillermo/0000-0002-8478-5575; González-Medina, Erick/0000-0002-9748-8641; Masero, Jose A./0000-0001-5318-4833; Auxiliadora, Villegas/0000-0001-7906-5613; Sanchez Guzman, Juan Manuel/0000-0002-0484-6308</t>
  </si>
  <si>
    <t>Fondo Mexicano para la Conservacion de la Naturaleza A.C. [PIE-2012-A-P-C-IGSI-12-12]; CONACYT [I010/176/2012]; Sonoran Joint Venture; Pronatura Mexico A.C.; Instituto de Ciencias del Mar y Limnologia - UNAM; Programa de Apoyo Academico del Posgrado de Alta Calidad, CONACYT [37621811]; CONACYT (Programa de Doctorado en Ciencias del Mar y Limnologia, UNAM) [201218]; Gobierno de Extremadura; FSE funds [RE12002]</t>
  </si>
  <si>
    <t>Fondo Mexicano para la Conservacion de la Naturaleza A.C.; CONACYT(Consejo Nacional de Ciencia y Tecnologia (CONACyT)); Sonoran Joint Venture; Pronatura Mexico A.C.; Instituto de Ciencias del Mar y Limnologia - UNAM(Universidad Nacional Autonoma de Mexico); Programa de Apoyo Academico del Posgrado de Alta Calidad, CONACYT; CONACYT (Programa de Doctorado en Ciencias del Mar y Limnologia, UNAM); Gobierno de Extremadura; FSE funds</t>
  </si>
  <si>
    <t>We thank M. Guevara, A. Mendoza, M. Leal, M. Arvizu, S. Rendon, M. Lerma, J. P. Ceyca, A. Leal, D. Brito, C. Franco and N. Albano for their help with fieldwork, I. Piedad for laboratory support and P. Castro for transportation to the islands and for keeping us aware of the weather forecast while we were there. We also thank two anonymous referees and the editor, Ken Yasukawa, who provided thoughtful recommendations that improved the manuscript. Funding for this work was provided by Fondo Mexicano para la Conservacion de la Naturaleza A.C. (PIE-2012-A-P-C-IGSI-12-12), CONACYT (no. I010/176/2012), Sonoran Joint Venture, Pronatura Mexico A.C. and Instituto de Ciencias del Mar y Limnologia - UNAM. Funding for the English translation of this article was provided by Programa de Apoyo Academico del Posgrado de Alta Calidad, CONACYT (no. 37621811). E. Gonzalez-Medina was supported by a Ph.D. student scholarship provided by CONACYT (Programa de Doctorado en Ciencias del Mar y Limnologia, UNAM no. 201218), and F. Santiago-Quesada was supported by a grant from the Gobierno de Extremadura and FSE funds (RE12002). This paper constitutes partial fulfilment of the Graduate Program in Marine Sciences and Limnology, UNAM.</t>
  </si>
  <si>
    <t>0003-3472</t>
  </si>
  <si>
    <t>1095-8282</t>
  </si>
  <si>
    <t>ANIM BEHAV</t>
  </si>
  <si>
    <t>Anim. Behav.</t>
  </si>
  <si>
    <t>10.1016/j.anbehav.2015.06.025</t>
  </si>
  <si>
    <t>Behavioral Sciences; Zoology</t>
  </si>
  <si>
    <t>CR7ZE</t>
  </si>
  <si>
    <t>WOS:000361570000003</t>
  </si>
  <si>
    <t>Walton, DWH</t>
  </si>
  <si>
    <t>Walton, D. W. H.</t>
  </si>
  <si>
    <t>Twenty Five Years of the IPCC Reports</t>
  </si>
  <si>
    <t>10.1017/S0954102015000358</t>
  </si>
  <si>
    <t>WOS:000363942300001</t>
  </si>
  <si>
    <t>Sobota, I; Kejna, M; Arazny, A</t>
  </si>
  <si>
    <t>Sobota, Ireneusz; Kejna, Marek; Arazny, Andrzej</t>
  </si>
  <si>
    <t>Short-term mass changes and retreat of the Ecology and Sphinx glacier system, King George Island, Antarctic Peninsula</t>
  </si>
  <si>
    <t>air temperature; Antarctic; climate change; glacier; glacier retreat; ice temperature; mass balance</t>
  </si>
  <si>
    <t>ICE CAP; SURFACE; ACCUMULATION; TEMPERATURE; FIELD</t>
  </si>
  <si>
    <t>This study investigated the mass balance, melting, near-surface ice thermal structure and meteorological conditions of the Ecology and Sphinx glacier system (ESGS), located on King George Island, Antarctic Peninsula. The study also analysed the role of climate change in glacial retreat of the ESGS in the long (1979-2012) and short term, with a particular focus on the impact on the 2012-13 mass balance of the ESGS. In 2012-13, the glaciers had a mean annual net mass balance of +17.8 cm w.e., but over the long term the glaciers have been receding in this region. The area loss of the ESGS between 1979 and 2012 amounted to 41%. This investigation of mass balance is especially important as it offers one of only a few records available on King George Island. The mean near-surface ice temperature (February to June 2012) for the Ecology and Sphinx glaciers was -0.3 degrees C and -1.0 degrees C at 10m depth, respectively. From 1948-2012, the air temperature on King George Island increased by 1.2 degrees C (0.19 degrees C per decade).</t>
  </si>
  <si>
    <t>[Sobota, Ireneusz] Nicholas Copernicus Univ, Nicolaus Copernicus Polar Stn, Dept Hydrol &amp; Water Management, PL-87100 Torun, Poland; [Kejna, Marek; Arazny, Andrzej] Nicholas Copernicus Univ, Dept Meteorol &amp; Climatol, PL-87100 Torun, Poland</t>
  </si>
  <si>
    <t>Nicolaus Copernicus University; Nicolaus Copernicus University</t>
  </si>
  <si>
    <t>Sobota, I (corresponding author), Nicholas Copernicus Univ, Nicolaus Copernicus Polar Stn, Dept Hydrol &amp; Water Management, Lwowska 1, PL-87100 Torun, Poland.</t>
  </si>
  <si>
    <t>irso@umk.pl</t>
  </si>
  <si>
    <t>Sobota, Ireneusz/L-7768-2013; Sobota, Ireneusz/JCO-3029-2023; Arazny, Andrzej/J-8542-2014</t>
  </si>
  <si>
    <t>Sobota, Ireneusz/0000-0001-5983-7049; Arazny, Andrzej/0000-0002-4277-9599; Kejna, Marek/0000-0003-4815-9312</t>
  </si>
  <si>
    <t>National Science Centre [NN 306 722540]</t>
  </si>
  <si>
    <t>National Science Centre(National Science Centre, Poland)</t>
  </si>
  <si>
    <t>These observations were carried out as part of the 'Climatic and glaciological interactions in the context of global warming. Study based on the example of SSSI No. 8 (King George Island, West Antarctica)' study, funded by the National Science Centre (NN 306 722540). The authors wish to thank the Participants of the 36th and the 37th Antarctic Expeditions of the Polish Academy of Sciences for their logistical support with the observations in the area of the Arctowski Station. The authors would also like to thank the anonymous reviewers and Editor for the valuable comments and suggestions that helped to improve the paper.</t>
  </si>
  <si>
    <t>10.1017/S0954102015000188</t>
  </si>
  <si>
    <t>WOS:000363942300009</t>
  </si>
  <si>
    <t>Allison, P; Auffenberg, J; Bard, R; Beatty, JJ; Besson, DZ; Bora, C; Chen, CC; Chen, P; Connolly, A; Davies, JP; DuVernois, MA; Fox, B; Gorham, PW; Hanson, K; Hill, B; Hoffman, KD; Hong, E; Hu, LC; Ishihara, A; Karle, A; Kelley, J; Kravchenko, I; Landsman, H; Laundrie, A; Li, CJ; Liu, T; Lu, MY; Maunu, R; Mase, K; Meures, T; Miki, C; Nam, J; Nichol, RJ; Nir, G; O'Murchadha, A; Pfendner, CG; Ratzlaff, K; Richman, M; Rotter, B; Sandstrom, P; Seckel, D; Shultz, A; Stockham, J; Stockham, M; Sullivan, M; Touart, J; Tu, HY; Varner, GS; Yoshida, S; Young, R</t>
  </si>
  <si>
    <t>Allison, P.; Auffenberg, J.; Bard, R.; Beatty, J. J.; Besson, D. Z.; Bora, C.; Chen, C-C; Chen, P.; Connolly, A.; Davies, J. P.; DuVernois, M. A.; Fox, B.; Gorham, P. W.; Hanson, K.; Hill, B.; Hoffman, K. D.; Hong, E.; Hu, L. -C.; Ishihara, A.; Karle, A.; Kelley, J.; Kravchenko, I.; Landsman, H.; Laundrie, A.; Li, C. -J.; Liu, T.; Lu, M. -Y.; Maunu, R.; Mase, K.; Meures, T.; Miki, C.; Nam, J.; Nichol, R. J.; Nir, G.; O'Murchadha, A.; Pfendner, C. G.; Ratzlaff, K.; Richman, M.; Rotter, B.; Sandstrom, P.; Seckel, D.; Shultz, A.; Stockham, J.; Stockham, M.; Sullivan, M.; Touart, J.; Tu, H. -Y.; Varner, G. S.; Yoshida, S.; Young, R.</t>
  </si>
  <si>
    <t>First constraints on the ultra-high energy neutrino flux from a prototype station of the Askaryan Radio Array</t>
  </si>
  <si>
    <t>ASTROPARTICLE PHYSICS</t>
  </si>
  <si>
    <t>GZK effect; UHE neutrinos; Radio Cherenkov</t>
  </si>
  <si>
    <t>COSMIC NEUTRINOS; SOUTH-POLE; SPECTRUM; DETECTOR; SHOWERS; ICE; TEMPERATURE; EMISSION; PULSES; MEDIA</t>
  </si>
  <si>
    <t>The Askaryan Radio Array (ARA) is an ultra-high energy (&gt; 10(17) eV) cosmic neutrino detector in phased construction near the south pole. ARA searches for radio Cherenkov emission from particle cascades induced by neutrino interactions in the ice using radio frequency antennas (similar to 150 - 800 MHz) deployed at a design depth of 200 m in the Antarctic ice. A prototype ARA Testbed station was deployed at similar to 30 m depth in the 2010-2011 season and the first three full ARA stations were deployed in the 2011-2012 and 2012-2013 seasons. We present the first neutrino search with ARA using data taken in 2011 and 2012 with the ARA Testbed and the resulting constraints on the neutrino flux from 10(17)-10(21) eV. (C) 2015 Elsevier B.V. All rights reserved.</t>
  </si>
  <si>
    <t>[Allison, P.; Beatty, J. J.; Connolly, A.; Hong, E.; Pfendner, C. G.] Ohio State Univ, Dept Phys, Columbus, OH 43210 USA; [Allison, P.; Beatty, J. J.; Connolly, A.; Hong, E.; Pfendner, C. G.] Ohio State Univ, CCAPP, Columbus, OH 43210 USA; [Bard, R.; Hoffman, K. D.; Maunu, R.; Richman, M.; Touart, J.] Univ Maryland, Dept Phys, College Pk, MD 20742 USA; [Besson, D. Z.; Stockham, J.; Stockham, M.] Univ Kansas, Dept Phys &amp; Astron, Lawrence, KS 66045 USA; [Besson, D. Z.; Sullivan, M.] Moscow Engn &amp; Phys Inst, Moscow 115409, Russia; [Bora, C.; Kravchenko, I.; Shultz, A.] Univ Nebraska, Dept Phys &amp; Astron, Lincoln, NE 68588 USA; [Chen, C-C; Chen, P.; Hu, L. -C.; Li, C. -J.; Liu, T.; Nam, J.] Natl Taiwan Univ, Grad Inst Astrophys, Dept Phys, Taipei 10617, Taiwan; [Chen, C-C; Chen, P.; Hu, L. -C.; Li, C. -J.; Liu, T.; Nam, J.] Natl Taiwan Univ, Leung Ctr Cosmol &amp; Particle Astrophys, Taipei 10617, Taiwan; [Davies, J. P.; Nichol, R. J.] UCL, Dept Phys &amp; Astron, London WC1E 6BT, England; [Fox, B.; Gorham, P. W.; Hill, B.; Miki, C.; Rotter, B.; Varner, G. S.] Univ Hawaii Manoa, Dept Phys &amp; Astron, Honolulu, HI 96822 USA; [Auffenberg, J.; DuVernois, M. A.; Karle, A.; Kelley, J.; Laundrie, A.; Lu, M. -Y.; Sandstrom, P.] Univ Wisconsin, Dept Phys, Madison, WI 53706 USA; [DuVernois, M. A.; Karle, A.; Kelley, J.; Laundrie, A.; Lu, M. -Y.; Sandstrom, P.] Univ Wisconsin, Wisconsin IceCube Particle Astrophys Ctr, Madison, WI 53706 USA; [Landsman, H.] Weizmann Inst Sci, Dept Particle Phys &amp; Astrophys, IL-76100 Rehovot, Israel; [Hanson, K.; Meures, T.; O'Murchadha, A.] Univ Libre Bruxelles, Serv Phys Particules Elementaires, B-1050 Brussels, Belgium; [Ishihara, A.; Mase, K.] Chiba Univ, Dept Phys, Inage Ku, Chiba, Chiba 2638522, Japan; [Seckel, D.] Univ Delaware, Dept Phys &amp; Astron, Newark, DE 19716 USA; [Ratzlaff, K.; Young, R.] Univ Kansas, Instrumentat Design Lab, Lawrence, KS 66045 USA</t>
  </si>
  <si>
    <t>University System of Ohio; Ohio State University; University System of Ohio; Ohio State University; University System of Maryland; University of Maryland College Park; University of Kansas; National Research Nuclear University MEPhI (Moscow Engineering Physics Institute); University of Nebraska System; University of Nebraska Lincoln; National Taiwan University; National Taiwan University; University of London; University College London; University of Hawaii System; University of Hawaii Manoa; University of Wisconsin System; University of Wisconsin Madison; University of Wisconsin System; University of Wisconsin Madison; Weizmann Institute of Science; Universite Libre de Bruxelles; Chiba University; University of Delaware; University of Kansas</t>
  </si>
  <si>
    <t>Connolly, A (corresponding author), Ohio State Univ, Dept Phys, 191 W Woodruff Ave, Columbus, OH 43210 USA.</t>
  </si>
  <si>
    <t>connolly@physics.osu.edu</t>
  </si>
  <si>
    <t>Ratzlaff, Kenneth/G-6221-2017; Chen, Pisin/IAO-8769-2023; Nichol, Ryan/C-1645-2008; Nir, Guy/HJJ-0199-2023; Beatty, James/D-9310-2011</t>
  </si>
  <si>
    <t>Chen, Pisin/0000-0001-5251-7210; Nichol, Ryan/0000-0003-0557-0443; Beatty, James/0000-0003-0481-4952; Yoshida, Shigeru/0000-0003-2480-5105; Maunu, Ryan/0000-0002-5755-3437; Gorham, Peter/0000-0002-0923-9363; Li, Chuan-Jui/0000-0003-1449-7284; Allison, Patrick/0000-0001-8141-2653</t>
  </si>
  <si>
    <t>National Science Foundation [NSF OPP-1002483, NSF OPP-1359535, 1255557, 0847658]; Taiwan National Science Councils Vanguard Program [NSC 102-2628-M-002-010]; FRSFNRS (Belgium); Ohio Supercomputer Center; United States-Israel Binational Science Foundation [2012077]; National Science Foundation through BIGDATA Grant [1250720]; University of Wisconsin Alumni Research Foundation; University of Maryland; Ohio State University; STFC [ST/N000285/1, PP/E006876/1, ST/K001426/1] Funding Source: UKRI; Science and Technology Facilities Council [PP/E006876/1, ST/N000285/1, ST/K001426/1] Funding Source: researchfish; Div Of Information &amp; Intelligent Systems; Direct For Computer &amp; Info Scie &amp; Enginr [1250720] Funding Source: National Science Foundation</t>
  </si>
  <si>
    <t>National Science Foundation(National Science Foundation (NSF)); Taiwan National Science Councils Vanguard Program; FRSFNRS (Belgium)(Fonds de la Recherche Scientifique - FNRS); Ohio Supercomputer Center; United States-Israel Binational Science Foundation(US-Israel Binational Science Foundation); National Science Foundation through BIGDATA Grant; University of Wisconsin Alumni Research Foundation; University of Maryland; Ohio State University(Ohio State University); STFC(UK Research &amp; Innovation (UKRI)Science &amp; Technology Facilities Council (STFC)); Science and Technology Facilities Council(UK Research &amp; Innovation (UKRI)Science &amp; Technology Facilities Council (STFC)); Div Of Information &amp; Intelligent Systems; Direct For Computer &amp; Info Scie &amp; Enginr(National Science Foundation (NSF)NSF - Directorate for Computer &amp; Information Science &amp; Engineering (CISE))</t>
  </si>
  <si>
    <t>We thank the National Science Foundation for their generous support through Grant NSF OPP-1002483 and Grant NSF OPP-1359535, Taiwan National Science Councils Vanguard Program: NSC 102-2628-M-002-010 and the the FRSFNRS (Belgium). A. Connolly would also like to thank the National Science Foundation for their support through CAREER award 1255557, and also the Ohio Supercomputer Center. K. Hoffman would likewise like to thank the National Science Foundation for their support through CAREER award 0847658. A. Connolly, H. Landsman and D. Besson would like to thank the United States-Israel Binational Science Foundation for their support through Grant 2012077. A. Connolly, A. Karle and J. Kelley would like to thank the National Science Foundation for the support through BIGDATA Grant 1250720. We are grateful to the U.S. National Science Foundation-Office of Polar Programs and the U.S. National Science Foundation-Physics Division. We would also like to thank the University of Wisconsin Alumni Research Foundation, the University of Maryland and the Ohio State University for their support. We would also like to thank Raytheon Polar Services Corporation and the Antarctic Support Contractor, Lockheed, for field support. We thank Chris Weaver from the University of Wisconsin for his work developing the RaySolver algorithm used in AraSim, and David Saltzberg for helpful conversations.</t>
  </si>
  <si>
    <t>0927-6505</t>
  </si>
  <si>
    <t>1873-2852</t>
  </si>
  <si>
    <t>ASTROPART PHYS</t>
  </si>
  <si>
    <t>Astropart Phys.</t>
  </si>
  <si>
    <t>10.1016/j.astropartphys.2015.04.006</t>
  </si>
  <si>
    <t>Astronomy &amp; Astrophysics; Physics, Particles &amp; Fields</t>
  </si>
  <si>
    <t>Astronomy &amp; Astrophysics; Physics</t>
  </si>
  <si>
    <t>CL2EC</t>
  </si>
  <si>
    <t>WOS:000356755400007</t>
  </si>
  <si>
    <t>Barbaro, E; Kirchgeorg, T; Zangrando, R; Vecchiato, M; Piazza, R; Barbante, C; Garnbaro, A</t>
  </si>
  <si>
    <t>Barbaro, Elena; Kirchgeorg, Torben; Zangrando, Roberta; Vecchiato, Marco; Piazza, Rossano; Barbante, Carlo; Garnbaro, Andrea</t>
  </si>
  <si>
    <t>Sugars in Antarctic aerosol</t>
  </si>
  <si>
    <t>ATMOSPHERIC ENVIRONMENT</t>
  </si>
  <si>
    <t>Sugars; Antarctica; HPAEC-MS; WSOC; Aerosol</t>
  </si>
  <si>
    <t>ANION-EXCHANGE CHROMATOGRAPHY; POLAR ORGANIC-COMPOUNDS; ATMOSPHERIC AEROSOLS; LIQUID-CHROMATOGRAPHY; SEASONAL-VARIATIONS; BIOMASS COMBUSTION; BIOGENIC AEROSOLS; MARINE AEROSOLS; TRACERS; LEVOGLUCOSAN</t>
  </si>
  <si>
    <t>The processes and transformations occurring in the Antarctic aerosol during atmospheric transport were described using selected sugars as source tracers. Monosaccharides (arabinose, fructose, galactose, glucose, mannose, ribose, xylose), disaccharides (sucrose, lactose, maltose, lactulose), alcohol-sugars (erythritol, mannitol, ribitol, sorbitol, xylitol, maltitol, galactitol) and anhydrosugars (levoglucosan, mannosan and galactosan) were measured in the Antarctic aerosol collected during four different sampling campaigns. For quantification, a sensitive high-pressure anion exchange chromatography was coupled with a single quadrupole mass spectrometer. The method was validated, showing good accuracy and low method quantification limits. This study describes the first determination of sugars in the Antarctic aerosol. The total mean concentration of sugars in the aerosol collected at the Mario Zucchelli coastal station was 140 pg m(-3); as for the aerosol collected over the Antarctic plateau during two consecutive sampling campaigns, the concentration amounted to 440 and 438 pg m(-3). The study of particle-size distribution allowed us to identify the natural emission from spores or from sea-spray as the main sources of sugars in the coastal area. The enrichment of sugars in the fine fraction of the aerosol collected on the Antarctic plateau is due to the degradation of particles during long-range atmospheric transport. The composition of sugars in the coarse fraction was also investigated in the aerosol collected during the oceanographic cruise. (C) 2015 Elsevier Ltd. All rights reserved.</t>
  </si>
  <si>
    <t>[Barbaro, Elena; Kirchgeorg, Torben; Vecchiato, Marco; Piazza, Rossano; Garnbaro, Andrea] Univ Venice, Dept Environm Sci Informat &amp; Stat, I-30172 Venice, Italy; [Kirchgeorg, Torben] Leuphana Univ Luneburg, Inst Sustainable &amp; Environm Chem, D-21335 Luneburg, Germany; [Zangrando, Roberta; Vecchiato, Marco; Piazza, Rossano; Barbante, Carlo; Garnbaro, Andrea] CNR, Inst Dynam Environm Proc, I-30172 Venice, Italy</t>
  </si>
  <si>
    <t>Universita Ca Foscari Venezia; Leuphana University Luneburg; Consiglio Nazionale delle Ricerche (CNR); Istituto per la Dinamica dei Processi Ambientali (IDPA-CNR)</t>
  </si>
  <si>
    <t>Barbaro, E (corresponding author), Univ Venice, Via Torino 155, I-30172 Venice, Italy.</t>
  </si>
  <si>
    <t>barbaro@unive.it</t>
  </si>
  <si>
    <t>BARBARO, ELENA/AAK-3106-2021; Barbante, Carlo/B-3195-2011; Barbaro, Elena/AAX-8809-2020</t>
  </si>
  <si>
    <t>Barbaro, Elena/0000-0003-2639-7475; Barbante, Carlo/0000-0003-4177-2288; Piazza, Rossano/0000-0002-1897-4124; Kirchgeorg, Torben/0000-0002-5253-8318; Vecchiato, Marco/0000-0002-5112-8472</t>
  </si>
  <si>
    <t>Italian Programma Nazionale di Ricerche in Antartide (PNRA) through the project Studio delle sorgenti e dei processi di trasferimento dell'aerosol atmosferico antartico [2009/A2.11]; National Research Council of Italy (CNR); Early Human Impact ERC Advance Grant from the European Commission's VII Framework Programme [267696]; European Research Council (ERC) [267696] Funding Source: European Research Council (ERC)</t>
  </si>
  <si>
    <t>Italian Programma Nazionale di Ricerche in Antartide (PNRA) through the project Studio delle sorgenti e dei processi di trasferimento dell'aerosol atmosferico antartico; National Research Council of Italy (CNR)(Consiglio Nazionale delle Ricerche (CNR)); Early Human Impact ERC Advance Grant from the European Commission's VII Framework Programme; European Research Council (ERC)(European Research Council (ERC)Spanish Government)</t>
  </si>
  <si>
    <t>This work was financially supported by the Italian Programma Nazionale di Ricerche in Antartide (PNRA) through the project Studio delle sorgenti e dei processi di trasferimento dell'aerosol atmosferico antartico (2009/A2.11). The research was also supported by funding from the National Research Council of Italy (CNR) and from the Early Human Impact ERC Advance Grant from the European Commission's VII Framework Programme, grant number 267696, contribution no 16.</t>
  </si>
  <si>
    <t>1352-2310</t>
  </si>
  <si>
    <t>1873-2844</t>
  </si>
  <si>
    <t>ATMOS ENVIRON</t>
  </si>
  <si>
    <t>Atmos. Environ.</t>
  </si>
  <si>
    <t>10.1016/j.atmosenv.2015.07.047</t>
  </si>
  <si>
    <t>CR5UM</t>
  </si>
  <si>
    <t>WOS:000361409900013</t>
  </si>
  <si>
    <t>Ross, AN; Grant, ER</t>
  </si>
  <si>
    <t>Ross, Andrew. N.; Grant, Eleanor R.</t>
  </si>
  <si>
    <t>A new continuous planar fit method for calculating fluxes in complex, forested terrain</t>
  </si>
  <si>
    <t>ATMOSPHERIC SCIENCE LETTERS</t>
  </si>
  <si>
    <t>complex terrain; sonic anemometer coordinate transformation; eddy covariance; planar fit</t>
  </si>
  <si>
    <t>COORDINATE SYSTEMS; SONIC ANEMOMETER; CANOPY; EXCHANGE; FLOWS</t>
  </si>
  <si>
    <t>The planar fit (PF) method is often recommended for long-term eddy covariance flux measurements because it offers a number of advantages over rotating into streamwise coordinates. For sites over complex, forested terrain a single PF may not account for complex variations in slope and canopy cover with wind direction. An alternative to the PF method is presented where the tilt angle is fitted as a continuous function of the wind direction. This retains many of the benefits of the PF method, while at the same time better representing local variations in tilt with wind direction.</t>
  </si>
  <si>
    <t>[Ross, Andrew. N.; Grant, Eleanor R.] Univ Leeds, Sch Earth &amp; Environm, Inst Climate &amp; Atmospher Sci, Leeds LS2 9JT, W Yorkshire, England; [Grant, Eleanor R.] British Antarctic Survey, Cambridge CB3 0ET, England</t>
  </si>
  <si>
    <t>University of Leeds; UK Research &amp; Innovation (UKRI); Natural Environment Research Council (NERC); NERC British Antarctic Survey</t>
  </si>
  <si>
    <t>Ross, AN (corresponding author), Univ Leeds, Sch Earth &amp; Environm, Leeds LS2 9JT, W Yorkshire, England.</t>
  </si>
  <si>
    <t>a.n.ross@leeds.ac.uk</t>
  </si>
  <si>
    <t>Ross, Andrew N/D-9312-2011</t>
  </si>
  <si>
    <t>Ross, Andrew N/0000-0002-8631-3512</t>
  </si>
  <si>
    <t>Natural Environmental Research Council (NERC) [NE/C003691/1]; NERC CASE; Forest Research; Natural Environment Research Council [NE/C003691/1, bas0100023] Funding Source: researchfish; NERC [bas0100023, NE/C003691/1] Funding Source: UKRI</t>
  </si>
  <si>
    <t>Natural Environmental Research Council (NERC)(UK Research &amp; Innovation (UKRI)Natural Environment Research Council (NERC)); NERC CASE(UK Research &amp; Innovation (UKRI)Natural Environment Research Council (NERC)); Forest Research; Natural Environment Research Council(UK Research &amp; Innovation (UKRI)Natural Environment Research Council (NERC)); NERC(UK Research &amp; Innovation (UKRI)Natural Environment Research Council (NERC))</t>
  </si>
  <si>
    <t>This work was funded by the Natural Environmental Research Council (NERC) grant NE/C003691/1. ERG would like to acknowledge additional support through a NERC CASE award with Forest Research. We would also like to thank the two anonymous reviewers for some useful suggestions.</t>
  </si>
  <si>
    <t>1530-261X</t>
  </si>
  <si>
    <t>ATMOS SCI LETT</t>
  </si>
  <si>
    <t>Atmos. Sci. Lett.</t>
  </si>
  <si>
    <t>10.1002/asl.580</t>
  </si>
  <si>
    <t>Geochemistry &amp; Geophysics; Meteorology &amp; Atmospheric Sciences</t>
  </si>
  <si>
    <t>CU0JU</t>
  </si>
  <si>
    <t>Green Accepted, hybrid</t>
  </si>
  <si>
    <t>WOS:000363203100004</t>
  </si>
  <si>
    <t>Wang, Z; Na, GS; Ma, XD; Ge, LK; Lin, ZS; Yao, ZW</t>
  </si>
  <si>
    <t>Wang, Zhen; Na, Guangshui; Ma, Xindong; Ge, Linke; Lin, Zhongsheng; Yao, Ziwei</t>
  </si>
  <si>
    <t>Characterizing the distribution of selected PBDEs in soil, moss and reindeer dung at Ny-Alesund of the Arctic</t>
  </si>
  <si>
    <t>CHEMOSPHERE</t>
  </si>
  <si>
    <t>PBDEs; Ny-Alesund; Soil; Moss; Reindeer dung</t>
  </si>
  <si>
    <t>POLYBROMINATED DIPHENYL ETHERS; POLYCYCLIC AROMATIC-HYDROCARBONS; PERSISTENT ORGANIC POLLUTANTS; BROMINATED FLAME RETARDANTS; MARINE FOOD-WEB; ORGANOCHLORINE PESTICIDES; POLYCHLORINATED-BIPHENYLS; PARTITION-COEFFICIENTS; AGRICULTURAL SOILS; TROPHIC TRANSFER</t>
  </si>
  <si>
    <t>Distribution of 12 selected polybrominated diphenyl ethers (PBDEs) was characterized in soil, moss and reindeer dung samples collected simultaneously at Ny-Alesund of the Arctic. The average PBDE concentrations were 42 pg/g (dry weight) in soil, 122 pg/g in moss and 72 pg/g in reindeer dung. Significant log/log-linear relationship was observed between the soil/moss quotients (Q(SM)) and the sub-cooled liquid vapor pressures of PBDEs (r(2) = 0.80). Moreover, excellent log/log-linear relationships between Q(SM) and the octanol/air partition coefficients as well as between the moss/dung quotient (Q(MD)) and the octanol/water partition coefficients of PBDEs were also observed, indicating that the physicochemical properties of PBDEs are appropriate parameters for characterizing the distribution of PBDEs in soil, moss and reindeer dung at Ny-Alesund. Capsule abstract: Significant log-linear correlations were observed between physicochemical properties of PBDEs and their soil/moss (moss/dung) quotients. (C) 2015 Elsevier Ltd. All rights reserved.</t>
  </si>
  <si>
    <t>[Wang, Zhen; Na, Guangshui; Ma, Xindong; Ge, Linke; Lin, Zhongsheng; Yao, Ziwei] Natl Marine Environm Monitoring Ctr, Dalian 116023, Peoples R China</t>
  </si>
  <si>
    <t>National Marine Environmental Monitoring Center</t>
  </si>
  <si>
    <t>Wang, Z (corresponding author), Natl Marine Environm Monitoring Ctr, Dalian 116023, Peoples R China.</t>
  </si>
  <si>
    <t>zwang@nmemc.org.cn</t>
  </si>
  <si>
    <t>Ma, Xindong/0000-0001-8949-9327</t>
  </si>
  <si>
    <t>National Natural Science Foundation of China [21007012, 21377032]; Chinese Polar Environment Comprehensive Investigation &amp; Assessment Programmes [02-01, 03-04, 04-01, 04-03]; polar science key laboratory foundation of SOA [KP201208]</t>
  </si>
  <si>
    <t>National Natural Science Foundation of China(National Natural Science Foundation of China (NSFC)); Chinese Polar Environment Comprehensive Investigation &amp; Assessment Programmes; polar science key laboratory foundation of SOA</t>
  </si>
  <si>
    <t>This study was supported by the National Natural Science Foundation of China (21007012, 21377032), the Chinese Polar Environment Comprehensive Investigation &amp; Assessment Programmes (02-01, 03-04,04-01 and 04-03) and the polar science key laboratory foundation of SOA (KP201208). We express our sincere gratitude to the Chinese Arctic and Antarctic Administration.</t>
  </si>
  <si>
    <t>0045-6535</t>
  </si>
  <si>
    <t>1879-1298</t>
  </si>
  <si>
    <t>Chemosphere</t>
  </si>
  <si>
    <t>10.1016/j.chemosphere.2015.04.030</t>
  </si>
  <si>
    <t>CQ8OG</t>
  </si>
  <si>
    <t>WOS:000360867100002</t>
  </si>
  <si>
    <t>Hwang, B; Elosegui, P; Wilkinson, J</t>
  </si>
  <si>
    <t>Hwang, Byongjun; Elosegui, Pedro; Wilkinson, Jeremy</t>
  </si>
  <si>
    <t>Small-scale deformation of an Arctic sea ice floe detected by GPS and satellite imagery</t>
  </si>
  <si>
    <t>DEEP-SEA RESEARCH PART II-TOPICAL STUDIES IN OCEANOGRAPHY</t>
  </si>
  <si>
    <t>Arctic; Sea ice; Deformation; Strain rate; Dynamics; Fracturing</t>
  </si>
  <si>
    <t>STRESS; FAILURE; BALANCE; BASIN; DRIFT</t>
  </si>
  <si>
    <t>Small-scale (similar to 100-200 m) deformations of an Arctic sea ice floe were detected from multiple GPS-equipped buoys that were deployed on the same ice floe. Over a nine-month period three deformation events were recorded. At each case the event was of limited duration, each lasting less than a day. The events were highly compressive in nature with the area occupied by the buoy array decreasing by over half of the original area. The strain rate during the deformation, of the order of 10(-5) s(-1), is about three orders of magnitude larger than previous estimates for brittle fracturing for cracks of about 100 m in length. On the 2 day time scale, the strain rate became too small and none of the deformation events could be detected. This suggests that satellite data with longer time scales may significantly underestimate the amount of intermittent, small-scale brittle failure of total deformation. Taken as a whole, our results show the influence that large-scale wind stress can have on small-scale deformation. However, it is important to note that the impact of large-scale wind stress is also dependent on the properties of sea ice as well as on the spatial and temporal evolution of the underlying forces that influence the fracturing process. (C) 2015 Published by Elsevier Ltd.</t>
  </si>
  <si>
    <t>[Hwang, Byongjun] Scottish Assoc Marine Sci, Oban PA37 1QA, Argyll, Scotland; [Elosegui, Pedro] Inst Marine Sci ICM CSIC, Barcelona, Spain; [Elosegui, Pedro] MIT, Haystack Observ, Westford, MA 01886 USA; [Wilkinson, Jeremy] British Antarctic Survey, Cambridge CB3 0ET, England</t>
  </si>
  <si>
    <t>UHI Millennium Institute; Consejo Superior de Investigaciones Cientificas (CSIC); CSIC - Centro Mediterraneo de Investigaciones Marinas y Ambientales (CMIMA); CSIC - Instituto de Ciencias del Mar (ICM); Massachusetts Institute of Technology (MIT); UK Research &amp; Innovation (UKRI); Natural Environment Research Council (NERC); NERC British Antarctic Survey</t>
  </si>
  <si>
    <t>Hwang, B (corresponding author), Scottish Assoc Marine Sci, Oban PA37 1QA, Argyll, Scotland.</t>
  </si>
  <si>
    <t>phil.hwang@sams.ac.uk</t>
  </si>
  <si>
    <t>Hwang, Byongjun/0000-0003-4579-2040</t>
  </si>
  <si>
    <t>ACCESS, an European Project within the Ocean of Tomorrow call of the European Commission Seventh Framework Programme; SATICE, an European Science Foundation (ESF) PolarCLIMATE Programme project; Marginal Ice Zone (MIZ) Programme by the Office of Naval Research (ONR), United States; MINECO; K-PORT (KOPRI) - Ministry of Oceans and Fisheries (MOF), South Korea [PM13020]; Korea Polar Research Institute (KOPRI), South Korea; Natural Environment Research Council [bas0100023] Funding Source: researchfish; NERC [bas0100023] Funding Source: UKRI</t>
  </si>
  <si>
    <t>ACCESS, an European Project within the Ocean of Tomorrow call of the European Commission Seventh Framework Programme; SATICE, an European Science Foundation (ESF) PolarCLIMATE Programme project; Marginal Ice Zone (MIZ) Programme by the Office of Naval Research (ONR), United States; MINECO(Spanish Government); K-PORT (KOPRI) - Ministry of Oceans and Fisheries (MOF), South Korea; Korea Polar Research Institute (KOPRI), South Korea; Natural Environment Research Council(UK Research &amp; Innovation (UKRI)Natural Environment Research Council (NERC)); NERC(UK Research &amp; Innovation (UKRI)Natural Environment Research Council (NERC))</t>
  </si>
  <si>
    <t>This work was partly supported by ACCESS, an European Project within the Ocean of Tomorrow call of the European Commission Seventh Framework Programme; SATICE, an European Science Foundation (ESF) PolarCLIMATE Programme project; the Marginal Ice Zone (MIZ) Programme by the Office of Naval Research (ONR), United States; the Spanish Ministry of Science and Innovation (MICINN; now MINECO); and the K-PORT (KOPRI, PM13020) Project funded by the Ministry of Oceans and Fisheries (MOF), South Korea. We acknowledge grateful support from Korea Polar Research Institute (KOPRI), South Korea, and the captain and crews of IBRV Araon during the ARA04B cruise. We also thank engineers Markus Olsson of CSIC and Shane Rodwell, Alistair James, and Bernard Hagan at SAMS for their involvement in SATICE instrument development and deployment. The TerraSAR-X imagery in this project was acquired via DLR TSX SSS project to BJH. ECMWF ERA Interim data were acquired from BADC. SIMB GPS data is publicly available thanks to CRREL. We thank Jennifer Hutchings and an anonymous reviewer for constructive reviews.</t>
  </si>
  <si>
    <t>0967-0645</t>
  </si>
  <si>
    <t>1879-0100</t>
  </si>
  <si>
    <t>DEEP-SEA RES PT II</t>
  </si>
  <si>
    <t>Deep-Sea Res. Part II-Top. Stud. Oceanogr.</t>
  </si>
  <si>
    <t>10.1016/j.dsr2.2015.01.007</t>
  </si>
  <si>
    <t>CT2CX</t>
  </si>
  <si>
    <t>WOS:000362610700002</t>
  </si>
  <si>
    <t>Sahy, D; Condon, DJ; Terry, DO; Fischer, AU; Kuiper, KF</t>
  </si>
  <si>
    <t>Sahy, Diana; Condon, Daniel J.; Terry, Dennis O., Jr.; Fischer, Anne U.; Kuiper, Klaudia F.</t>
  </si>
  <si>
    <t>Synchronizing terrestrial and marine records of environmental change across the Eocene-Oligocene transition</t>
  </si>
  <si>
    <t>U-Pb; zircon; geochronology; NALMA; Eocene-Oligocene transition; White River Group</t>
  </si>
  <si>
    <t>NORTHWESTERN NEBRASKA; PALEOCLIMATIC CHANGE; CLIMATE TRANSITION; CHADRON FORMATION; DECAY CONSTANTS; GEOCHRONOLOGY; BOUNDARY; PART; INTERCALIBRATION; UNCERTAINTIES</t>
  </si>
  <si>
    <t>Records of terrestrial environmental change indicate that continental cooling and/or aridification may have predated the greenhouse-icehouse climate shift at the Eocene-Oligocene transition (EOT) by ca. 600 kyr. In North America, marine-terrestrial environmental change asynchronicity is inferred from a direct comparison between the astronomically tuned marine EOT record and published 40Ar/39Ar geochronology of volcanic tuffs from the White River Group (WRG) sampled at Flagstaff Rim (Wyoming) and Toadstool Geologic Park (Nebraska), which are type sections for the Chadronian and Orellan North American Land Mammal Ages. We present a new age-model for the WRG, underpinned by high-precision Pb-206/U-238 zircon dates from 15 volcanic tuffs, including six tuffs previously dated using the 40Ar/39Ar technique. Weighted mean zircon Pb-206/U-238 dates from this study are up to 1.0 Myr younger than published anorthoclase and biotite 40Ar/39Ar data (calibrated relative to Fish Canyon sanidine at 28.201 Ma). Giving consideration to the complexities, strengths, and limitations associated with both the 40Ar/39Ar and Pb-206/U-238 datasets, our interpretation is that the recalculated 40Ar/39Ar dates are anomalously old, and the Pb-206/U-238 (zircon) dates more accurately constrain deposition. Pb-206/U-238 calibrated age-depth models were developed in order to facilitate a robust intercomparison between marine and terrestrial archives of environmental change, and indicate that: (i) early Orellan (terrestrial) cooling recorded at Toadstool Geologic Park was synchronous with the onset of early Oligocene Antarctic glaciation and (ii) the last appearance datums of key Chadronian mammal taxa are diachronous by ca. 0.7 Myr between central Wyoming and NW Nebraska. (C) 2015 Elsevier B.V. All rights reserved.</t>
  </si>
  <si>
    <t>[Sahy, Diana; Condon, Daniel J.] British Geol Survey, Keyworth NG12 5GG, Notts, England; [Sahy, Diana] Univ Leicester, Dept Geol, Leicester LEI 7RH, Leics, England; [Terry, Dennis O., Jr.] Temple Univ, Earth &amp; Environm Sci, Philadelphia, PA 19122 USA; [Fischer, Anne U.; Kuiper, Klaudia F.] Vrije Univ, Fac Earth &amp; Life Sci, NL-1081 HV Amsterdam, Netherlands; [Kuiper, Klaudia F.] Univ Utrecht, Dept Earth Sci, NL-3584 CD Utrecht, Netherlands</t>
  </si>
  <si>
    <t>UK Research &amp; Innovation (UKRI); Natural Environment Research Council (NERC); NERC British Geological Survey; University of Leicester; Pennsylvania Commonwealth System of Higher Education (PCSHE); Temple University; Vrije Universiteit Amsterdam; Utrecht University</t>
  </si>
  <si>
    <t>Sahy, D (corresponding author), British Geol Survey, Keyworth NG12 5GG, Notts, England.</t>
  </si>
  <si>
    <t>dihy@bgs.ac.uk; dcondon@bgs.ac.uk; doterry@temple.edu; anne.fischer@falw.vu.nl; k.f.kuiper@vu.nl</t>
  </si>
  <si>
    <t>Condon, Daniel/A-4249-2008</t>
  </si>
  <si>
    <t>Condon, Daniel/0000-0002-9082-3283</t>
  </si>
  <si>
    <t>European Community [215458]; NIGFSC [IP-1228-1110]; NERC [nigl010001] Funding Source: UKRI; Natural Environment Research Council [nigl010001] Funding Source: researchfish</t>
  </si>
  <si>
    <t>European Community; NIGFSC; NERC(UK Research &amp; Innovation (UKRI)Natural Environment Research Council (NERC)); Natural Environment Research Council(UK Research &amp; Innovation (UKRI)Natural Environment Research Council (NERC))</t>
  </si>
  <si>
    <t>This work was funded through the European Community's Seventh Framework Programme (FP7/2007-2013) under grant agreement no [215458] and NIGFSC award IP-1228-1110. The authors thank Brent Breithaupt (Bureau of Land Management, Cheyenne, Wyoming), Carla Loop, and Barbara Beasley (Nebraska National Forest, US Forest Service) for providing permits to collect samples at Flagstaff Rim and TGP, Joe Hiess, Hemmo Abels and Bill Lukens for assistance during field work, and Blair Schoene and an anonymous reviewer for their thoughtful comments.</t>
  </si>
  <si>
    <t>10.1016/j.epsl.2015.06.057</t>
  </si>
  <si>
    <t>CO7HS</t>
  </si>
  <si>
    <t>WOS:000359330800018</t>
  </si>
  <si>
    <t>Moon, HW; Hussin, WMRW; Kim, HC; Ahn, IY</t>
  </si>
  <si>
    <t>Moon, Hye-Won; Hussin, Wan Mohd Rauhan Wan; Kim, Hyun-Cheol; Ahn, In-Young</t>
  </si>
  <si>
    <t>The impacts of climate change on Antarctic nearshore mega-epifaunal benthic assemblages in a glacial fjord on King George Island: Responses and implications</t>
  </si>
  <si>
    <t>ECOLOGICAL INDICATORS</t>
  </si>
  <si>
    <t>Antarctic; Climate impact; Diversity; Glacier retreat; Marian Cove; Marine benthic community; Spatial variation</t>
  </si>
  <si>
    <t>SOUTH SHETLAND ISLANDS; BIVALVE LATERNULA-ELLIPTICA; FUNCTIONAL DIVERSITY; MARIAN COVE; MAXWELL BAY; POTTER COVE; ECOSYSTEM; BIODIVERSITY; OCEAN; SEDIMENTATION</t>
  </si>
  <si>
    <t>We examined the impacts of climate change on Antarctic nearshore marine benthic communities on the West Antarctic Peninsula, one of the most rapidly warming regions on earth. We surveyed the epibenthic megafaunal assemblages of Marian Cove, a representative fjord on King George Island. We collected specimens by SCUBA diving at varying distances from the retreating glacier front during the 2013/2014 austral summer. Based on presence/absence data from the collected taxa, we determined species richness (S), taxonomic distinctness (TD) and functional diversity (FD) and further analyzed differences in assemblages in relation to environmental characteristics. Faunal assemblages in the inner cove (ice-proximal zone) were compositionally distinct from those in the outer cove. Species number and FD were also lower in the inner cove and tended to increase toward the outer cove. Nonetheless, TD values were similar among sites, indicating that all sites were distinct taxonomically. This may be because glacier retreat affected organisms of lower taxonomic levels the most. Multivariate and univariate analyses demonstrated that these differences were significantly related to distance from the glacier, substrate grain size, and organic content. The high correlation (R=0.909, P&lt;0.01) of assemblages with distance from the glacier front suggests that physical disturbance by ice is a major process shaping benthic communities. Thus, we provide evidence that glacier retreat and its consequent processes impact the structure and function of communities. With their spatial pattern significantly associated with environmental suites, nearshore megabenthic communities respond sensitively and measurably to climate-induced impacts, suggesting their utility as long-term biomonitors. As a small but confined glacial cove with very distinct environmental gradients related to climate-induced processes, Marian Cove could serve as a model ecosystem for assessing climate impacts on Antarctic nearshore benthic communities. (C) 2015 Elsevier Ltd. All rights reserved.</t>
  </si>
  <si>
    <t>[Moon, Hye-Won; Kim, Hyun-Cheol; Ahn, In-Young] Korea Polar Res Inst KOPRI, Div Polar Ocean Environm, Inchon 406840, South Korea; [Moon, Hye-Won; Kim, Hyun-Cheol; Ahn, In-Young] Univ Sci &amp; Technol, Dept Polar Sci, Taejon, South Korea; [Hussin, Wan Mohd Rauhan Wan] Univ Malaysia Terengganu, Sch Fisheries &amp; Aquaculture Sci, Kuala Terengganu 21030, Malaysia</t>
  </si>
  <si>
    <t>Korea Polar Research Institute (KOPRI); Universiti Malaysia Terengganu</t>
  </si>
  <si>
    <t>Ahn, IY (corresponding author), Korea Polar Res Inst KOPRI, Div Polar Ocean Environm, 26 Songdomirae Ro, Inchon 406840, South Korea.</t>
  </si>
  <si>
    <t>iahn@kopri.re.kr</t>
  </si>
  <si>
    <t>Hussin, Wan Mohd Rauhan Wan/F-9262-2016; Kim, Hyun-Cheol/AAP-1250-2020</t>
  </si>
  <si>
    <t>Hussin, Wan Mohd Rauhan Wan/0000-0003-1544-0677; Kim, Hyun-Cheol/0000-0002-6831-9291</t>
  </si>
  <si>
    <t>Korea Polar Research Institute [PE10040, PE13030, PE14300]; Sultan Mizan Antarctic Research Foundation, Malaysia</t>
  </si>
  <si>
    <t>Korea Polar Research Institute(Korea Polar Research Institute of Marine Research Placement (KOPRI)); Sultan Mizan Antarctic Research Foundation, Malaysia</t>
  </si>
  <si>
    <t>The authors extend special thanks to the divers, Mr. Seung-Goo Ra and Mr. Kwan-Young Song, for their hard work in all underwater surveys and sampling. We also thank the 27th Korea Antarctic overwintering members for their field assistance. We'd like to appreciate the constructive comments by anonymous referees. This work was funded primarily by the Korea Polar Research Institute (PE10040, PE13030 and PE14300), and partly by Sultan Mizan Antarctic Research Foundation, Malaysia.</t>
  </si>
  <si>
    <t>1470-160X</t>
  </si>
  <si>
    <t>1872-7034</t>
  </si>
  <si>
    <t>ECOL INDIC</t>
  </si>
  <si>
    <t>Ecol. Indic.</t>
  </si>
  <si>
    <t>10.1016/j.ecolind.2015.04.031</t>
  </si>
  <si>
    <t>Biodiversity Conservation; Environmental Sciences</t>
  </si>
  <si>
    <t>Biodiversity &amp; Conservation; Environmental Sciences &amp; Ecology</t>
  </si>
  <si>
    <t>CN0GJ</t>
  </si>
  <si>
    <t>WOS:000358091800033</t>
  </si>
  <si>
    <t>Hayes, KR; Dambacher, JM; Hosack, GR; Bax, NJ; Dunstan, PK; Fulton, EA; Thompson, PA; Hartog, JR; Hobday, AJ; Bradford, R; Foster, SD; Hedge, P; Smith, DC; Marshall, CJ</t>
  </si>
  <si>
    <t>Hayes, K. R.; Dambacher, J. M.; Hosack, G. R.; Bax, N. J.; Dunstan, P. K.; Fulton, E. A.; Thompson, P. A.; Hartog, J. R.; Hobday, A. J.; Bradford, R.; Foster, S. D.; Hedge, P.; Smith, D. C.; Marshall, C. J.</t>
  </si>
  <si>
    <t>Identifying indicators and essential variables for marine ecosystems</t>
  </si>
  <si>
    <t>Ecological indicators; Essential variables; Monitoring; Ecosystem health</t>
  </si>
  <si>
    <t>TORREY-CANYON; BIODIVERSITY; MANAGEMENT; MODELS; SUSTAINABILITY; CONSERVATION; UNCERTAINTY; SYSTEMS; HEALTH; IMPACT</t>
  </si>
  <si>
    <t>Identifying essential biological variables in marine ecosystems is harder than essential ocean variables because choices about the latter are guided by the needs of global oceanic models, and the number of candidate variables to choose from is much smaller. We present a process designed to assist managers identify biological indicators and essential variables for marine ecosystems, and demonstrate its application to Australia's Exclusive Econoinic Zone. The process begins with a spatially explicit description of key ecological systems and predicts how these systems are impacted by anthropogenic pressures. The process does not require experts to agree on the system's structure or the activities that threaten the ecosystem. Rather it defines a suite of pressure scenarios that accommodate uncertainty in these aspects, and seeks to identify indicators that are predicted to respond in a consistent fashion across these scenarios. When the process is applied at national or regional scales, essential biological variables emerge as the set of consistent indicators that are common to similar but spatially distinct systems. (C) 2015 Elsevier Ltd. All rights reserved.</t>
  </si>
  <si>
    <t>[Hayes, K. R.; Dambacher, J. M.; Hosack, G. R.] CSIRO Digital Prod, Hobart, Tas 7001, Australia; [Bax, N. J.; Dunstan, P. K.; Fulton, E. A.; Thompson, P. A.; Hartog, J. R.; Hobday, A. J.; Bradford, R.; Foster, S. D.; Smith, D. C.] CSIRO Ocean &amp; Atmosphere Flagship, Hobart, Tas 7001, Australia; [Bax, N. J.; Hedge, P.] Univ Tasmania, Inst Marine &amp; Antarctic Studies, Hobart, Tas 7000, Australia; [Marshall, C. J.] Australian Antarctic Div, Kingston, Tas 7050, Australia</t>
  </si>
  <si>
    <t>Commonwealth Scientific &amp; Industrial Research Organisation (CSIRO); Commonwealth Scientific &amp; Industrial Research Organisation (CSIRO); University of Tasmania; Australian Antarctic Division</t>
  </si>
  <si>
    <t>Hayes, KR (corresponding author), CSIRO Digital Prod, GPO Box 1538, Hobart, Tas 7001, Australia.</t>
  </si>
  <si>
    <t>keith.hayes@csiro.au; jeffrey.dambacher@csiro.au; geoff.hosack@csiro.au; nic.bax@csiro.au; piers.dunstan@csiro.au; beth.fulton@csiro.au; peter.a.thompson@csiro.au; jason.hartog@csiro.au; alistair.hobday@csiro.au; russ.bradford@csiro.au; scott.foster@csiro.au; paul.hedge@csiro.au; david.c.smith@csiro.au; marshcm@iinet.net.au</t>
  </si>
  <si>
    <t>Hobday, Alistair/A-1460-2012; Fulton, Beth/A-2871-2008; Hosack, Geoffrey/E-8566-2010; Thompson, Peter/A-2361-2012; Bax, Nicholas/A-2321-2012; Foster, Scott/E-9311-2010; Hayes, Keith/A-4550-2009; Dunstan, Piers/B-7309-2016; Bradford, Russell/N-3442-2015</t>
  </si>
  <si>
    <t>Hosack, Geoffrey/0000-0002-6462-6817; Thompson, Peter/0000-0002-9504-5433; Hedge, Paul/0000-0002-2040-9618; Bax, Nicholas/0000-0002-9697-4963; Foster, Scott/0000-0002-6719-8002; Hayes, Keith/0000-0003-4094-3575; Dunstan, Piers/0000-0002-2568-5945; Bradford, Russell/0000-0003-0291-3180</t>
  </si>
  <si>
    <t>Marine Biodiversity Hub; Australian Governments National Environmental Research Program (NERP)</t>
  </si>
  <si>
    <t>Marine Biodiversity Hub; Australian Governments National Environmental Research Program (NERP)(Australian Government)</t>
  </si>
  <si>
    <t>The contributions of KRH, JMD, GRH, PD, PH, NB and SF were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t>
  </si>
  <si>
    <t>10.1016/j.ecolind.2015.05.006</t>
  </si>
  <si>
    <t>WOS:000358091800046</t>
  </si>
  <si>
    <t>Baylis, AMM; Orben, RA; Arnould, JPY; Christiansen, F; Hays, GC; Staniland, IJ</t>
  </si>
  <si>
    <t>Baylis, Alastair M. M.; Orben, Rachael A.; Arnould, John P. Y.; Christiansen, Fredrik; Hays, Graeme C.; Staniland, Iain J.</t>
  </si>
  <si>
    <t>Disentangling the cause of a catastrophic population decline in a large marine mammal</t>
  </si>
  <si>
    <t>ECOLOGY</t>
  </si>
  <si>
    <t>bottom-up forcing; historical baselines; killer whales; megafaunal collapse; ocean climate; Orcinus orca; pinniped; South Atlantic; top-down control</t>
  </si>
  <si>
    <t>LIONS OTARIA-FLAVESCENS; AMERICAN SEA LIONS; KILLER WHALE PREDATION; FORAGING BEHAVIOR; ENVIRONMENTAL-CHANGE; SOUTHERN-OCEAN; TOP-DOWN; CLIMATE; DYNAMICS; SEABIRD</t>
  </si>
  <si>
    <t>Considerable uncertainties often surround the causes of long-term changes in population abundance. One striking example is the precipitous decline of southern sea lions (SSL; Otaria flavescens) at the Falkland Islands, from 80 555 pups in the mid 1930s to just 5506 pups in 1965. Despite an increase in SSL abundance over the past two decades, the population has not recovered, with the number of pups born in 2014 (minimum 4443 pups) less than 6% of the 1930s estimate. The order-of-magnitude decline is primarily attributed to commercial sealing in Argentina. Here, we test this established paradigm and alternative hypotheses by assessing (1) commercial sealing at the Falkland Islands, (2) winter migration of SSL from the Falkland Islands to Argentina, (3) whether the number of SSL in Argentina could have sustained the reported level of exploitation, and (4) environmental change. The most parsimonious hypothesis explaining the SSL population decline was environmental change. Specifically, analysis of 160 years of winter sea surface temperatures revealed marked changes, including a period of warming between 1930 and 1950 that was consistent with the period of SSL decline. Sea surface temperature changes likely influenced the distribution or availability of SSL prey and impacted its population dynamics. We suggest that historical harvesting may not always be the smoking gun'' as is often purported. Rather, our conclusions support the growing evidence for bottom-up forcing on the abundance of species at lower trophic levels (e.g., plankton and fish) and resulting impacts on higher trophic levels across a broad range of ecosystems.</t>
  </si>
  <si>
    <t>[Baylis, Alastair M. M.; Arnould, John P. Y.; Christiansen, Fredrik; Hays, Graeme C.] Deakin Univ, Sch Life &amp; Environm Sci, Ctr Integrat Ecol, Warrnambool, Vic 32801, Australia; [Baylis, Alastair M. M.] South Atlantic Environm Res Inst, Stanley FIQQ1ZZ, Falkland Island, Peoples R China; [Baylis, Alastair M. M.] Falklands Conservat, Stanley FIQQ1ZZ, Falkland Island, Peoples R China; [Orben, Rachael A.] Univ Calif Santa Cruz, Long Marine Lab, Dept Ocean Sci, Santa Cruz, CA 95060 USA; [Orben, Rachael A.] Oregon State Univ, Hatfield Marine Sci Ctr, Dept Fisheries &amp; Wildlife, Newport, OR 97365 USA; [Christiansen, Fredrik] Murdoch Univ, Sch Vet &amp; Life Sci, Cetacean Res Unit, Murdoch, WA 6150, Australia; [Hays, Graeme C.] Swansea Univ, Dept Biosci, Swansea SA2 8PP, W Glam, Wales; [Staniland, Iain J.] British Antarctic Survey, NERC, Cambridge CB3 0ET, England</t>
  </si>
  <si>
    <t>Deakin University; University of California System; University of California Santa Cruz; Oregon State University; Murdoch University; Swansea University; UK Research &amp; Innovation (UKRI); Natural Environment Research Council (NERC); NERC British Antarctic Survey</t>
  </si>
  <si>
    <t>Baylis, AMM (corresponding author), Deakin Univ, Sch Life &amp; Environm Sci, Ctr Integrat Ecol, Warrnambool, Vic 32801, Australia.</t>
  </si>
  <si>
    <t>al_baylis@yahoo.com.au</t>
  </si>
  <si>
    <t>Baylis, Alastair/H-9471-2019; Orben, Rachael A./H-9460-2019; Christiansen, Fredrik/O-3655-2017; Staniland, Iain/I-4725-2012</t>
  </si>
  <si>
    <t>Baylis, Alastair/0000-0002-5167-0472; Orben, Rachael A./0000-0002-0802-407X; Christiansen, Fredrik/0000-0001-9090-8458; Staniland, Iain/0000-0003-2736-9134; Hays, Graeme/0000-0002-3314-8189</t>
  </si>
  <si>
    <t>Darwin Initiative; Project AWARE; Shackleton Scholarship Fund (Centenary Award); Rufford Small Grants; Sea World and Busch Gardens Conservation Fund; Joint Nature Conservation Council; Falkland Islands Government; National Geographic; Winnifred Violet Scott Charitable Trust</t>
  </si>
  <si>
    <t>Darwin Initiative; Project AWARE; Shackleton Scholarship Fund (Centenary Award); Rufford Small Grants; Sea World and Busch Gardens Conservation Fund; Joint Nature Conservation Council; Falkland Islands Government; National Geographic(National Geographic Society); Winnifred Violet Scott Charitable Trust</t>
  </si>
  <si>
    <t>For facilitating research, we thank Rincon Grande farm, Elephant Beach farm, Cape Dolphin farm, A. Blake, P. Brickle, R. Cordiero, C. Dockrill, J. Fenton, T. Newman, and N. Rendell. We are indebted to L. Poncet for sailing us around the Falklands. A. M. M. Baylis gratefully acknowledges T. Branch and D. Thompson for sharing their data, the Elephant Seal Research Group for counting Sea Lion Island, A. Schimel, and two anonymous reviewers who improved earlier manuscript drafts. A. M. M. Baylis and I. J. Staniland received funding from the Darwin Initiative and Project AWARE for PTT deployments. A. M. M. Baylis received funding from the Shackleton Scholarship Fund (Centenary Award), Rufford Small Grants, Sea World and Busch Gardens Conservation Fund, Joint Nature Conservation Council, and the Falkland Islands Government for the 2014 census. A. M. M. Baylis also gratfully acknowledges funding received from National Geographic and the Winnifred Violet Scott Charitable Trust. A. M. M. Baylis conceived the study. A. M. M. Baylis and R. A. Orben completed the fieldwork. A. M. M. Baylis, F. Christiansen, G. C. Hays, and I. J. Staniland analyzed the data. A. M. M. Baylis wrote the paper with G. C. Hays and contributions from all authors. Research was conducted under permits R14/2011 and R14/2013 issued by the Falkland Islands Government.</t>
  </si>
  <si>
    <t>0012-9658</t>
  </si>
  <si>
    <t>1939-9170</t>
  </si>
  <si>
    <t>10.1890/14-1948.1.sm</t>
  </si>
  <si>
    <t>CT5MD</t>
  </si>
  <si>
    <t>WOS:000362853600026</t>
  </si>
  <si>
    <t>Wietz, M; Wemheuer, B; Simon, H; Giebel, HA; Seibt, MA; Daniel, R; Brinkhoff, T; Simon, M</t>
  </si>
  <si>
    <t>Wietz, Matthias; Wemheuer, Bernd; Simon, Heike; Giebel, Helge-Ansgar; Seibt, Maren A.; Daniel, Rolf; Brinkhoff, Thorsten; Simon, Meinhard</t>
  </si>
  <si>
    <t>Bacterial community dynamics during polysaccharide degradation at contrasting sites in the Southern and Atlantic Oceans</t>
  </si>
  <si>
    <t>ENVIRONMENTAL MICROBIOLOGY</t>
  </si>
  <si>
    <t>DISSOLVED ORGANIC-MATTER; MARINE-BACTERIA; SEAWATER MESOCOSMS; ENZYME-ACTIVITIES; BACTERIOPLANKTON; CHITIN; PROTEOBACTERIA; DIVERSITY; CARBON; GENES</t>
  </si>
  <si>
    <t>The bacterial degradation of polysaccharides is central to marine carbon cycling, but little is known about the bacterial taxa that degrade specific marine polysaccharides. Here, bacterial growth and community dynamics were studied during the degradation of the polysaccharides chitin, alginate and agarose in microcosm experiments at four contrasting locations in the Southern and Atlantic Oceans. At the Southern polar front, chitin-supplemented microcosms were characterized by higher fractions of actively growing cells and a community shift from Alphaproteobacteria to Gammaproteobacteria and Bacteroidetes. At the Antarctic ice shelf, chitin degradation was associated with growth of Bacteroidetes, with 24% higher cell numbers compared with the control. At the Patagonian continental shelf, alginate and agarose degradation covaried with growth of different Alteromonadaceae populations, each with specific temporal growth patterns. At the Mauritanian upwelling, only the alginate hydrolysis product guluronate was consumed, coincident with increasing abundances of Alteromonadaceae and possibly cross-feeding SAR11. 16S rRNA gene amplicon libraries indicated that growth of the Bacteroidetes-affiliated genus Reichenbachiella was stimulated by chitin at all cold and temperate water stations, suggesting comparable ecological roles over wide geographical scales. Overall, the predominance of location-specific patterns showed that bacterial communities from contrasting oceanic biomes have members with different potentials to hydrolyse polysaccharides.</t>
  </si>
  <si>
    <t>[Wietz, Matthias; Simon, Heike; Giebel, Helge-Ansgar; Brinkhoff, Thorsten; Simon, Meinhard] Carl von Ossietzky Univ Oldenburg, Inst Chem &amp; Biol Marine Environm, D-26129 Oldenburg, Germany; [Wemheuer, Bernd; Daniel, Rolf] Univ Gottingen, Inst Microbiol &amp; Genet, Gen &amp; Appl Microbiol, D-37077 Gottingen, Germany; [Wemheuer, Bernd; Daniel, Rolf] Univ Gottingen, Inst Microbiol &amp; Genet, Gottingen Genom Lab, D-37077 Gottingen, Germany; [Seibt, Maren A.] Carl von Ossietzky Univ Oldenburg, Inst Chem &amp; Biol Marine Environm, ICBM MPI Bridging Grp Marine Geochem, D-26129 Oldenburg, Germany</t>
  </si>
  <si>
    <t>Carl von Ossietzky Universitat Oldenburg; University of Gottingen; University of Gottingen; Carl von Ossietzky Universitat Oldenburg</t>
  </si>
  <si>
    <t>Wietz, M (corresponding author), Carl von Ossietzky Univ Oldenburg, Inst Chem &amp; Biol Marine Environm, D-26129 Oldenburg, Germany.</t>
  </si>
  <si>
    <t>matthias.wietz@uni-oldenburg.de</t>
  </si>
  <si>
    <t>Daniel, Rolf/AAQ-5933-2021; Wietz, Matthias/H-3303-2019</t>
  </si>
  <si>
    <t>Daniel, Rolf/0000-0002-8646-7925; Wietz, Matthias/0000-0002-9786-3026; Giebel, Helge-Ansgar/0000-0002-9452-0810</t>
  </si>
  <si>
    <t>German Research Foundation, DFG [WI3888/1-1, NI1366/1-1, TRR51]</t>
  </si>
  <si>
    <t>German Research Foundation, DFG(German Research Foundation (DFG))</t>
  </si>
  <si>
    <t>We thank the captain, crew and scientists of RV Polarstern cruises ANTXXVIII/2 and ANTXXVIII/5, in particular Mascha Wurst, Birgit Kurzel, Helena Osterholz, Christine Beardsley and John Vollmers, for experimental assistance onboard. Rolf Weinert, Andrea Thurmer, Frauke-Dorothee Meyer, Mathias Wolterink, Regina Gohl and Matthias Friebe are gratefully acknowledged for technical assistance. This work was supported by grants WI3888/1-1 (to MW; Temporary Position for Principal Investigators), NI1366/1-1, and TRR51 (German Research Foundation, DFG).</t>
  </si>
  <si>
    <t>1462-2912</t>
  </si>
  <si>
    <t>1462-2920</t>
  </si>
  <si>
    <t>ENVIRON MICROBIOL</t>
  </si>
  <si>
    <t>Environ. Microbiol.</t>
  </si>
  <si>
    <t>10.1111/1462-2920.12842</t>
  </si>
  <si>
    <t>CU3TO</t>
  </si>
  <si>
    <t>WOS:000363448500029</t>
  </si>
  <si>
    <t>Torstensson, A; Dinasquet, J; Chierici, M; Fransson, A; Riemann, L; Wulff, A</t>
  </si>
  <si>
    <t>Torstensson, Anders; Dinasquet, Julie; Chierici, Melissa; Fransson, Agneta; Riemann, Lasse; Wulff, Angela</t>
  </si>
  <si>
    <t>Physicochemical control of bacterial and protist community composition and diversity in Antarctic sea ice</t>
  </si>
  <si>
    <t>RIBOSOMAL-RNA SEQUENCES; M-CRESOL PURPLE; GENE DATABASE; WEDDELL SEA; PACK ICE; TEMPERATURE; SEAWATER; CLIMATE; ENERGY; DINOFLAGELLATE</t>
  </si>
  <si>
    <t>Due to climate change, sea ice experiences changes in terms of extent and physical properties. In order to understand how sea ice microbial communities are affected by changes in physicochemical properties of the ice, we used 454-sequencing of 16S and 18S rRNA genes to examine environmental control of microbial diversity and composition in Antarctic sea ice. We observed a high diversity and richness of bacteria, which were strongly negatively correlated with temperature and positively with brine salinity. We suggest that bacterial diversity in sea ice is mainly controlled by physicochemical properties of the ice, such as temperature and salinity, and that sea ice bacterial communities are sensitive to seasonal and environmental changes. For the first time in Antarctic interior sea ice, we observed a strong eukaryotic dominance of the dinoflagellate phylotype SL163A10, comprising 63% of the total sequences. This phylotype is known to be kleptoplastic and could be a significant primary producer in sea ice. We conclude that mixotrophic flagellates may play a greater role in the sea ice microbial ecosystem than previously believed, and not only during the polar night but also during summer when potential food sources are abundant.</t>
  </si>
  <si>
    <t>[Torstensson, Anders; Wulff, Angela] Univ Gothenburg, Dept Biol &amp; Environm Sci, SE-40530 Gothenburg, Sweden; [Fransson, Agneta] Univ Gothenburg, Dept Earth Sci, SE-40530 Gothenburg, Sweden; [Dinasquet, Julie; Riemann, Lasse] Univ Copenhagen, Dept Biol, Marine Biol Sect, DK-3000 Helsingor, Denmark; [Chierici, Melissa] Univ Gothenburg, Dept Chem &amp; Mol Biol, SE-40530 Gothenburg, Sweden; [Chierici, Melissa] Inst Marine Res, NO-9294 Tromso, Norway; [Fransson, Agneta] Fram Ctr, Norwegian Polar Inst, NO-9296 Tromso, Norway</t>
  </si>
  <si>
    <t>University of Gothenburg; University of Gothenburg; University of Copenhagen; University of Gothenburg; Institute of Marine Research - Norway; Norwegian Polar Institute</t>
  </si>
  <si>
    <t>Torstensson, A (corresponding author), Univ Gothenburg, Dept Biol &amp; Environm Sci, SE-40530 Gothenburg, Sweden.</t>
  </si>
  <si>
    <t>anders.torstensson@bioenv.gu.se</t>
  </si>
  <si>
    <t>Riemann, Lasse/J-7091-2014</t>
  </si>
  <si>
    <t>Riemann, Lasse/0000-0001-9207-2543; Torstensson, Anders/0000-0002-8283-656X</t>
  </si>
  <si>
    <t>Swedish Research Council [2007-8365, 2008-6228, 2009-2994]; BONUS+ project BAZOOCA (Baltic Zooplankton Cascades) through the Swedish Research Council for Environment, Agricultural Sciences and Spatial Planning, FORMAS [2008-1893, 2008-1882]; Royal Society of Arts and Sciences in Gothenburg (KVVS); Danish Council for Independent Research, Natural Sciences [09-066396]</t>
  </si>
  <si>
    <t>Swedish Research Council(Swedish Research Council); BONUS+ project BAZOOCA (Baltic Zooplankton Cascades) through the Swedish Research Council for Environment, Agricultural Sciences and Spatial Planning, FORMAS(Swedish Research Council Formas); Royal Society of Arts and Sciences in Gothenburg (KVVS); Danish Council for Independent Research, Natural Sciences(Det Frie Forskningsrad (DFF))</t>
  </si>
  <si>
    <t>We are grateful to the captain and crew of the IB Oden for their support. We thank the Swedish Polar Research Secretariat and the US National Science Foundation for the cruise planning and logistical support before and during the Oden Southern Ocean expedition 2010/2011. This project was funded by the Swedish Research Council projects (2007-8365, 2008-6228 and 2009-2994), the BONUS+ project BAZOOCA (Baltic Zooplankton Cascades) through the Swedish Research Council for Environment, Agricultural Sciences and Spatial Planning, FORMAS (2008-1893 and 2008-1882), and grants from the Royal Society of Arts and Sciences in Gothenburg (KVVS) and The Danish Council for Independent Research, Natural Sciences (09-066396). The authors declare no conflict of interest.</t>
  </si>
  <si>
    <t>10.1111/1462-2920.12865</t>
  </si>
  <si>
    <t>WOS:000363448500033</t>
  </si>
  <si>
    <t>Fernández, LD; Lara, E; Mitchell, EAD</t>
  </si>
  <si>
    <t>Fernandez, Leonardo D.; Lara, Enrique; Mitchell, Edward A. D.</t>
  </si>
  <si>
    <t>Checklist, diversity and distribution of testate amoebae in Chile</t>
  </si>
  <si>
    <t>EUROPEAN JOURNAL OF PROTISTOLOGY</t>
  </si>
  <si>
    <t>Amoebozoa; Biogeography; Ecology; SAR supergroup; South America; The Antarctic</t>
  </si>
  <si>
    <t>PUYEHUE NATIONAL-PARK; APODERA-VAS CERTES; PROTOZOA; ARCELLINIDA; ECOLOGY; DISPERSAL; RHIZOPODA; AMOEBOZOA; GRADIENT; PEATLAND</t>
  </si>
  <si>
    <t>Bringing together more than 170 years of data, this study represents the first attempt to construct a species checklist and analyze the diversity and distribution of testate amoebae in Chile, a country that encompasses the southwestern region of South America, countless islands and part of the Antarctic. In Chile, known diversity includes 416 testate amoeba taxa (64 genera, 352 infrageneric taxa), 24 of which are here reported for the first time. Species accumulation plots show that in Chile, the number of testate amoeba species reported has been continually increasing since the mid-19th century without leveling off. Testate amoebae have been recorded in 37 different habitats, though they are more diverse in peatlands and rainforest soils. Only 11% of species are widespread in continental Chile, while the remaining 89% of the species exhibit medium or short latitudinal distribution ranges. Also, species composition of insular Chile and the Chilean Antarctic territory is a depauperated subset of that found in continental Chile. Nearly, the 10% of the species reported here are endemic to Chile and many of them are distributed only within the so-called Chilean biodiversity hotspot (ca. 25 degrees S-47 degrees S). These findings are here thoroughly discussed in a biogeographical and evolutionary context. (C) 2015 Elsevier GmbH. All rights reserved.</t>
  </si>
  <si>
    <t>[Fernandez, Leonardo D.; Lara, Enrique; Mitchell, Edward A. D.] Univ Neuchatel, Inst Biol, Lab Soil Biol, CH-2000 Neuchatel, Switzerland; [Fernandez, Leonardo D.] Univ Concepcion, Fac Ciencias Nat &amp; Oceanog, Dept Zool, Lab Ecol Evolut &amp; Filoinformat, Concepcion, Chile; [Fernandez, Leonardo D.] Ctr Estudios Biodiversidad CEBCH, Osorno, Chile; [Mitchell, Edward A. D.] Bot Garden Neuchatel, CH-2000 Neuchatel, Switzerland</t>
  </si>
  <si>
    <t>University of Neuchatel; Universidad de Concepcion</t>
  </si>
  <si>
    <t>Fernández, LD (corresponding author), Univ Neuchatel, Inst Biol, Lab Soil Biol, Rue Emile Argand 11, CH-2000 Neuchatel, Switzerland.</t>
  </si>
  <si>
    <t>limnoleo@gmail.com</t>
  </si>
  <si>
    <t>Mitchell, Edward AD/B-7259-2013; Fernández, Leonardo/AAS-2142-2021; Lara, Enrique/N-3679-2017</t>
  </si>
  <si>
    <t>Mitchell, Edward AD/0000-0003-0358-506X; Fernández, Leonardo/0000-0001-9550-1921; Lara, Enrique/0000-0001-8500-522X</t>
  </si>
  <si>
    <t>CONICYT [21110037, 78130011]; Universidad de Concepcion (Direccion de Postgrado); Ministerio del Medio Ambiente del Gobiemo de Chile (FPA project) [11-007-08]; Wildlife Conservation Society (Karukinka grant) [2012]; Universidad de Los Lagos (Foraminfferos de marismas salobres del Sur de Chile) [2008]; University of Neuchatel (mobility grant, IDPOB)</t>
  </si>
  <si>
    <t>CONICYT(Comision Nacional de Investigacion Cientifica y Tecnologica (CONICYT)); Universidad de Concepcion (Direccion de Postgrado); Ministerio del Medio Ambiente del Gobiemo de Chile (FPA project); Wildlife Conservation Society (Karukinka grant); Universidad de Los Lagos (Foraminfferos de marismas salobres del Sur de Chile); University of Neuchatel (mobility grant, IDPOB)</t>
  </si>
  <si>
    <t>L.D.F. was supported by CONICYT (doctoral scholarships No. 21110037 and 78130011) and the Universidad de Concepcion (Direccion de Postgrado). Field expeditions conducted by L.D.F. in Chile were funded by the following institutions (in alphabetic order): Ministerio del Medio Ambiente del Gobierno de Chile (FPA project No 11-007-08), the Wildlife Conservation Society (Karukinka grant No 2012), Universidad de Los Lagos (project No. 2008: Foraminiferos de marismas salobres del Sur de Chile), and University of Neuchatel (mobility grant, IDPOB). We thank Franziska Sorge and Ildiko Szelecz for helping with German translations; Pamela Santibanez and Centro de Estudios Cientificos-Chile for sharing with us SEM pictures of P. Jenswendti; Lorena and Monica from Naturalis (FCNYM, UNLP-Argentina); Julio Pascual (Biblioteca IGME, Spain) for sharing specialized literature; and two anonymous referees for their helpful comments. Special thanks to Krzysztof Wiackowski for authorizing the use of figures previously published in Acta Protozool.; Jaime Zapata for providing his private collection of permanent slides; Ralf Meisterfeld and Yuri Mazei for kindly reviewing the taxonomic information in our database; and Fabiola Barrientos-Loebel for performing the artwork of Figs 5 and 6.</t>
  </si>
  <si>
    <t>ELSEVIER GMBH</t>
  </si>
  <si>
    <t>MUNICH</t>
  </si>
  <si>
    <t>HACKERBRUCKE 6, 80335 MUNICH, GERMANY</t>
  </si>
  <si>
    <t>0932-4739</t>
  </si>
  <si>
    <t>1618-0429</t>
  </si>
  <si>
    <t>EUR J PROTISTOL</t>
  </si>
  <si>
    <t>Eur. J. Protistol.</t>
  </si>
  <si>
    <t>10.1016/j.ejop.2015.07.001</t>
  </si>
  <si>
    <t>CY2JT</t>
  </si>
  <si>
    <t>WOS:000366235500005</t>
  </si>
  <si>
    <t>Baker, SC; Halpern, CB; Wardlaw, TJ; Crawford, RL; Bigley, RE; Edgar, GJ; Evans, SA; Franklin, JF; Jordan, GJ; Karpievitch, Y; Spies, TA; Thomson, RJ</t>
  </si>
  <si>
    <t>Baker, Susan C.; Halpern, Charles B.; Wardlaw, Timothy J.; Crawford, Rodney L.; Bigley, Richard E.; Edgar, Graham J.; Evans, Shelley A.; Franklin, Jerry F.; Jordan, Gregory J.; Karpievitch, Yuliya; Spies, Thomas A.; Thomson, Russell J.</t>
  </si>
  <si>
    <t>Short- and long-term benefits for forest biodiversity of retaining unlogged patches in harvested areas</t>
  </si>
  <si>
    <t>FOREST ECOLOGY AND MANAGEMENT</t>
  </si>
  <si>
    <t>Edge effects; Forest influence; Retention forestry; Variable retention; Plants; Invertebrates</t>
  </si>
  <si>
    <t>VARIABLE-RETENTION; DWELLING SPIDERS; RESPONSES; EDGE; MICROCLIMATE; BEETLES; CONSERVATION; MANAGEMENT; LANDSCAPE; INFERENCE</t>
  </si>
  <si>
    <t>Aggregated retention, in which patches of trees (aggregates) remain unlogged within larger harvested units, was first applied commercially in 1986. A primary goal was to maintain greater diversity of forest-dependent species through harvest, relative to conventional clearcutting. Despite its global application, the long-term benefits for biodiversity and the comparative responses of disparate taxonomic groups to aggregated retention are largely unknown. A critical knowledge gap relates to the role of 'forest influence' whether and to what extent aggregates affect biodiversity in neighboring harvested areas. We sampled plants, beetles, and spiders/harvestmen in the world's three oldest aggregated-retention sites (21-26 years old), matched with three recently harvested sites (5-8 years old). For each taxonomic group, we compared species composition between undisturbed aggregates and regenerating forests to assess the 'lifeboating' function of aggregates. For each group, we also modeled changes in species composition, and in the numbers of aggregate- and regeneration-affiliated species, with distance from the aggregate edge into the regenerating forest along transects at north-facing edges. For all three taxa, species composition differed between aggregates and regenerating forests in both older and recent sites, confirming the long-term effectiveness of aggregates for lifeboating. The compositional difference between habitats was significantly greater at recent than at older sites for plants, but not for invertebrates. Plants and spiders/harvestmen responded to forest influence, with a marginal response for beetles. Responses for plants and spiders generally manifested as increased numbers of aggregate-affiliated species and decreased numbers of regeneration-affiliated species in regenerating areas closer to edges. Our results indicate that aggregated retention has short- and long-term benefits for biodiversity reflecting both the lifeboating and forest-influence functions of aggregates. However, variation in the responses of plants, beetles and spiders suggests that these benefits cannot be generalized among taxa. We advocate broader application of aggregated retention in forests managed for timber production and encourage managers to incorporate the benefits of forest influence in harvest designs by arranging aggregates to reduce average distances from harvested areas to unlogged habitats. (C) 2015 Elsevier B.V. All rights reserved.</t>
  </si>
  <si>
    <t>[Baker, Susan C.; Wardlaw, Timothy J.; Evans, Shelley A.; Jordan, Gregory J.] Univ Tasmania, Sch Biol Sci, Hobart, Tas 7001, Australia; [Baker, Susan C.; Wardlaw, Timothy J.] Forestry Tasmania, Hobart, Tas 7001, Australia; [Baker, Susan C.; Halpern, Charles B.; Evans, Shelley A.; Franklin, Jerry F.] Univ Washington, Sch Environm &amp; Forest Sci, Seattle, WA 98195 USA; [Crawford, Rodney L.] Univ Washington, Burke Museum, Seattle, WA 98195 USA; [Bigley, Richard E.] Washington State Dept Nat Resources, Forest Resources Div, Olympia, WA 98505 USA; [Edgar, Graham J.; Thomson, Russell J.] Univ Tasmania, Inst Marine &amp; Antarctic Studies, Hobart, Tas 7001, Australia; [Karpievitch, Yuliya] Univ Tasmania, Sch Math &amp; Phys, Hobart, Tas 7001, Australia; [Spies, Thomas A.] US Forest Serv, USDA, PNW Res Stn, Corvallis, OR 97331 USA</t>
  </si>
  <si>
    <t>University of Tasmania; University of Washington; University of Washington Seattle; University of Washington; University of Washington Seattle; University of Tasmania; University of Tasmania; United States Department of Agriculture (USDA); United States Forest Service</t>
  </si>
  <si>
    <t>Baker, SC (corresponding author), Forestry Tasmania, GPO Box 207, Hobart, Tas 7001, Australia.</t>
  </si>
  <si>
    <t>sue.baker@forestrytas.com.au</t>
  </si>
  <si>
    <t>Baker, Susan/O-8482-2019; Jordan, Gregory/B-3932-2013; Edgar, Graham/AAY-3797-2020; Baker, Susan C/F-9307-2011; Thomson, Russell/H-5653-2012</t>
  </si>
  <si>
    <t>Baker, Susan/0000-0002-7593-0267; Jordan, Gregory/0000-0002-6033-2766; Edgar, Graham/0000-0003-0833-9001; Thomson, Russell/0000-0003-4949-4120; Halpern, Charles/0000-0003-3790-8322; Wardlaw, Tim/0000-0002-8686-0671</t>
  </si>
  <si>
    <t>Australian Research Council Linkage grant [LP100100050]; Forestry Tasmania; Fulbright Scholarship - Washington Department of Natural Resources (DNR); University of Washington</t>
  </si>
  <si>
    <t>Australian Research Council Linkage grant(Australian Research Council); Forestry Tasmania; Fulbright Scholarship - Washington Department of Natural Resources (DNR); University of Washington(University of Washington)</t>
  </si>
  <si>
    <t>This research was funded by the Australian Research Council Linkage grant LP100100050, Forestry Tasmania, and a Fulbright Scholarship awarded to S.C.B., sponsored by Washington Department of Natural Resources (DNR) and the University of Washington. The study design benefited from input from a group of 16 forest ecologists and managers at a retention forestry workshop in Sweden in 2011 along with US Forest Service statistician Ashley Steel. Our research at the Big Dog site in Mt. Rainier National Park was conducted under permit MORA-2012-SCI-0027. A fantastic field crew assisted with plant surveys: Alessandra Zuin, Kara Randall, Paul Yurky, and Lauren Urgenson. Dana Ross and Paul Yurky assisted with processing of beetles and Chris Looney, Rod Rood, Samuel Perry, and Paul Hammond assisted with beetle identification. Numerous DNR staff under the leadership of Angus Brodie facilitated the project, as did Kirk Naylor from PacifiCorp. Lorin Hicks, Stu Farber and Tim Halme provided information on sites harvested by Plum Creek. We thank Sophie Edgar for producing the map of study site locations. We are grateful to the anonymous referees for useful suggestions on previous versions of this paper.</t>
  </si>
  <si>
    <t>0378-1127</t>
  </si>
  <si>
    <t>1872-7042</t>
  </si>
  <si>
    <t>FOREST ECOL MANAG</t>
  </si>
  <si>
    <t>For. Ecol. Manage.</t>
  </si>
  <si>
    <t>10.1016/j.foreco.2015.05.021</t>
  </si>
  <si>
    <t>Forestry</t>
  </si>
  <si>
    <t>CS4PQ</t>
  </si>
  <si>
    <t>WOS:000362058700020</t>
  </si>
  <si>
    <t>Simoes, CL; da Rosa, KK; Czapela, FF; Vieira, R; Simoes, JC</t>
  </si>
  <si>
    <t>Simoes, Carolina Lorenz; da Rosa, Katia Kellem; Czapela, Fabiane Fernanda; Vieira, Rosemary; Simoes, Jefferson Cardia</t>
  </si>
  <si>
    <t>Collins Glacier Retreat Process and Regional Climatic Variations, King George Island, Antarctica</t>
  </si>
  <si>
    <t>GEOGRAPHICAL REVIEW</t>
  </si>
  <si>
    <t>climate change; snow line; glacier retraction; Antarctica</t>
  </si>
  <si>
    <t>This paper investigates the recent climatic variability and changes in snow line and ice front position in Collins Glacier, King George Island, South Shetland Islands, Antarctic Peninsula. This region has recorded one of the largest temperature increases in the past fifty years and has been demonstrated to be highly sensitive to climate changes. To monitor recent changes (1983-2006), we determined the fluctuations of the terminus and snow line of the glacier via remote sensing data and field observation in the summer of 2013. We conclude that the Collins Glacier has responded slowly to regional climate changes (decades or even centuries), as glacial responses to climatic events do not depend solely on one environmental variable. The glacier presented more retreat and elevation of the snow line in the north sector. The retreat data are correlated with the mean monthly temperature and annual number of days of melting-degree variations.</t>
  </si>
  <si>
    <t>[Simoes, Carolina Lorenz; Simoes, Jefferson Cardia] Univ Fed Rio Grande do Sul, Climatol, BR-91501970 Porto Alegre, RS, Brazil; [da Rosa, Katia Kellem] Univ Fed Rio Grande do Sul, Geog, BR-91501970 Porto Alegre, RS, Brazil; [Czapela, Fabiane Fernanda] Univ Fed Fronteira Sul, BR-99700000 Erechim, Brazil; [Vieira, Rosemary] Univ Fed Fluminense, Geog, BR-24210346 Niteroi, RJ, Brazil</t>
  </si>
  <si>
    <t>Universidade Federal do Rio Grande do Sul; Universidade Federal do Rio Grande do Sul; Universidade Federal da Fronteira Sul; Universidade Federal Fluminense</t>
  </si>
  <si>
    <t>Simoes, CL (corresponding author), Univ Fed Rio Grande do Sul, Climatol, BR-91501970 Porto Alegre, RS, Brazil.</t>
  </si>
  <si>
    <t>carolina.lsimoes@gmail.com; rosa@ufrgs.br; fabi.cz@bol.com.br; rosemaryvieira@id.uff.br; jefferson.simoes@ufrgs.br</t>
  </si>
  <si>
    <t>da Rosa, Kátia Kellem/AAO-8367-2020; Simoes, Jefferson Cardia/D-7232-2013</t>
  </si>
  <si>
    <t>da Rosa, Kátia Kellem/0000-0003-0977-9658; Simoes, Jefferson Cardia/0000-0001-5555-3401; Vieira, Rosemary/0000-0003-0312-2890</t>
  </si>
  <si>
    <t>Fundacao de Amparo a Pesquisa do Estado do Rio Grande do Sul (FAPERGS); Brazilian National Council for Scientific and Technological Development (CNPq)</t>
  </si>
  <si>
    <t>Fundacao de Amparo a Pesquisa do Estado do Rio Grande do Sul (FAPERGS)(Fundacao de Amparo a Ciencia e Tecnologia do Estado do Rio Grande do Sul (FAPERGS)); Brazilian National Council for Scientific and Technological Development (CNPq)(Conselho Nacional de Desenvolvimento Cientifico e Tecnologico (CNPQ))</t>
  </si>
  <si>
    <t>This work was supported by the Fundacao de Amparo a Pesquisa do Estado do Rio Grande do Sul (FAPERGS) and Brazilian National Council for Scientific and Technological Development (CNPq). Field logistics provided by the Physical Geography Laboratory - Federal Fluminense University, INACH and Ricardo Jana Obregon, and the Brazilian Antarctic Program (PROANTAR). QUICKBIRD image was provided by Andre Medeiros de Andrade.</t>
  </si>
  <si>
    <t>0016-7428</t>
  </si>
  <si>
    <t>1931-0846</t>
  </si>
  <si>
    <t>GEOGR REV</t>
  </si>
  <si>
    <t>Geogr. Rev.</t>
  </si>
  <si>
    <t>10.1111/j.1931-0846.2015.12091.x</t>
  </si>
  <si>
    <t>CQ7DW</t>
  </si>
  <si>
    <t>WOS:000360764100005</t>
  </si>
  <si>
    <t>Sevastyanov, DV; Korostelev, EM; Gavrilov, YG; Karpova, AV</t>
  </si>
  <si>
    <t>Sevastyanov, D. V.; Korostelev, E. M.; Gavrilov, Yu. G.; Karpova, A. V.</t>
  </si>
  <si>
    <t>Recreational Nature Management as a Factor for Sustainable Development of Russian Arctic Regions</t>
  </si>
  <si>
    <t>GEOGRAPHY AND NATURAL RESOURCES</t>
  </si>
  <si>
    <t>polar regions; recreational nature management; arctic tourism; sustainable development; recreational carrying capacity</t>
  </si>
  <si>
    <t>We examine the current issues related to the promotion and development of recreation and international tourism in the Arctic. An analysis is made of foreign experience of recreational nature management, and of the socioeconomic role played by the promotion of the tourist-recreational sphere in polar latitudes under current climate and landscape change. The specific character of the organization of international tourism in the Russian sector of the Arctic is demonstrated having regard to the enhanced interest in the Arctic regions, and to an increase in the volume of cruise tourism and in anthropogenic pressure on polar landscapes. We present the results from an expert examination of recreational nature management in the key areas of the Russian polar protected natural territories which hold promise for the development of arctic tourism, such as the Khibiny and Franz Josef Land National Parks, the Putoranskii State Nature Reserve, the Beringia National Park as well as the area of Russian settlements of the Spitsbergen archipelago, and some areas of Polar Ural. We discuss the reasons behind inadequate development of the tourism resources of Russia's Arctic sector and the transport infrastructure to ease accessibility to the polar regions. Expert analysis revealed the leading factors that are responsible for the negative influences of tourism on the environment of the Arctic. The issues related to determination of an optimal recreational carrying capacity of the insular and mainland territories are considered. We highlight the need for a scientific accompaniment of nature management projects in the Arctic, and the role of international programs of tourist-recreational promotion for purposes of sustainable development of the Arctic territories of the Russian Federation. A package of tasks to be solved for tourism development of the water areas and territories in the Russian sector of the Arctic is outlined.</t>
  </si>
  <si>
    <t>[Sevastyanov, D. V.; Korostelev, E. M.; Karpova, A. V.] St Petersburg State Univ, St Petersburg 199034, Russia; [Gavrilov, Yu. G.] Arctic &amp; Antarctic Res Inst, St Petersburg 199226, Russia</t>
  </si>
  <si>
    <t>Saint Petersburg State University; Arctic &amp; Antarctic Research Institute</t>
  </si>
  <si>
    <t>Sevastyanov, DV (corresponding author), St Petersburg State Univ, St Petersburg 199034, Russia.</t>
  </si>
  <si>
    <t>ecolim@mail.ru; e.korostelev@spbu.ru; gawr@list.ru; alina.karpova90@gmail.ru</t>
  </si>
  <si>
    <t>Sevastyanov, Dmitrii V./G-3100-2015</t>
  </si>
  <si>
    <t>1875-3728</t>
  </si>
  <si>
    <t>1875-371X</t>
  </si>
  <si>
    <t>GEOGR NAT RESOUR</t>
  </si>
  <si>
    <t>Geogr. Natural Resources</t>
  </si>
  <si>
    <t>10.1134/S1875372815040071</t>
  </si>
  <si>
    <t>DA2HC</t>
  </si>
  <si>
    <t>WOS:000367614900007</t>
  </si>
  <si>
    <t>Winnick, MJ; Caves, JK</t>
  </si>
  <si>
    <t>Winnick, Matthew J.; Caves, Jeremy K.</t>
  </si>
  <si>
    <t>Oxygen isotope mass-balance constraints on Pliocene sea level and East Antarctic Ice Sheet stability</t>
  </si>
  <si>
    <t>UNITED-STATES; SIRIUS-GROUP; SURFACE; RECORD</t>
  </si>
  <si>
    <t>The mid-Pliocene warm period (MPWP, 3.3-2.9 Ma), with reconstructed atmospheric pCO(2) of 350-450 ppm, represents a potential analogue for climate change in the near future. Current highly cited estimates place MPWP maximum global mean sea level (GMSL) at 21 +/- 10 m above modern, requiring total loss of the Greenland and marine West Antarctic Ice Sheets and a substantial loss of the East Antarctic Ice Sheet, with only a concurrent 2-3 degrees C rise in global temperature. Many estimates of Pliocene GMSL are based on the partitioning of oxygen isotope records from benthic foraminifera (delta O-18(b)) into changes in deep-sea temperatures and terrestrial ice sheets. These isotopic budgets are underpinned by the assumption that the delta O-18 of Antarctic ice ((delta O-18(i)) was the same in the Pliocene as it is today, and while the sensitivity of delta O-18(b) to changing meltwater delta O-18 has been previously considered, these analyses neglect conservation of O-18/O-16 in the ocean-ice system. Using well-calibrated delta O-18-temperature relationships for Antarctic precipitation along with estimates of Pliocene Antarctic surface temperatures, we argue that the delta O-18(i) of the Pliocene Antarctic ice sheet was at minimum 1%-4% higher than present. Assuming conservation of O-18/O-16 in the ocean-ice system, this requires lower Pliocene seawater delta O-18 without a corresponding change in ice sheet mass. This effect alone accounts for 5%-20% of the delta O-18(b) difference between the MPWP interglacials and the modern. With this amended isotope budget, we present a new Pliocene GMSL estimate of 9-13.5 m above modern, which suggests that the East Antarctic Ice Sheet is less sensitive to radiative forcing than previously inferred from the geologic record.</t>
  </si>
  <si>
    <t>[Winnick, Matthew J.; Caves, Jeremy K.] Stanford Univ, Dept Earth Syst Sci, Stanford, CA 94305 USA</t>
  </si>
  <si>
    <t>Stanford University</t>
  </si>
  <si>
    <t>Winnick, MJ (corresponding author), Stanford Univ, Dept Earth Syst Sci, 473 Via Ortega,Room 140, Stanford, CA 94305 USA.</t>
  </si>
  <si>
    <t>mwinnick@stanford.edu</t>
  </si>
  <si>
    <t>Rugenstein, Jeremy Caves/I-4743-2015</t>
  </si>
  <si>
    <t>Rugenstein, Jeremy Caves/0000-0003-4123-3305; Winnick, Matthew/0000-0003-4237-9402</t>
  </si>
  <si>
    <t>National Science Foundation Graduate Research Fellowship Program grant [DGE-1147470]; Stanford Graduate Fellowship</t>
  </si>
  <si>
    <t>National Science Foundation Graduate Research Fellowship Program grant; Stanford Graduate Fellowship(Stanford University)</t>
  </si>
  <si>
    <t>We thank Jerry Mitrovica and two anonymous reviewers for comments that improved our study. Caves is funded by a National Science Foundation Graduate Research Fellowship Program grant (DGE-1147470) and a Stanford Graduate Fellowship. R code used in our analysis can be accessed at http://purl.stanford.edu/rm704hj0382.</t>
  </si>
  <si>
    <t>10.1130/G36999.1</t>
  </si>
  <si>
    <t>WOS:000361830400008</t>
  </si>
  <si>
    <t>Sumner, DY; Hawes, I; Mackey, TJ; Jungblut, AD; Doran, PT</t>
  </si>
  <si>
    <t>Sumner, Dawn Y.; Hawes, Ian; Mackey, Tyler J.; Jungblut, Anne D.; Doran, Peter T.</t>
  </si>
  <si>
    <t>Antarctic microbial mats: A modern analog for Archean lacustrine oxygen oases</t>
  </si>
  <si>
    <t>MCMURDO DRY VALLEYS; VICTORIA LAND; LAKE; OCEAN; RISE; LIFE; PHOTOSYNTHESIS</t>
  </si>
  <si>
    <t>The evolution of oxygenic photosynthesis was the most important geochemical event in Earth history, causing the Great Oxidation Event (GOE) similar to 2.4 b.y. ago. However, evidence is mixed as to whether O-2 production occurred locally as much as 2.8 b.y. ago, creating O-2 oases, or initiated just prior to the GOE. The biogeochemical dynamics of possible O-2 oases have been poorly constrained due to the absence of modern analogs. However, cyanobacteria in microbial mats in a perennially anoxic region of Lake Fryxell, Antarctica, create a 1-2 mm O-2-containing layer in the upper mat during summer, providing the first known modern analog for formation of benthic O-2 oases. In Lake Fryxell, benthic cyanobacteria are present below the oxycline in the lake. Mat photosynthesis rates were slow due to low photon flux rate (1-2 mu mol m(-2) s(-1)) under thick ice cover, but photosynthetic O-2 production was sufficient to sustain up to 50 mu mol O-2 L-1, sandwiched between anoxic overlying water and anoxic sediments. We hypothesize that Archean cyanobacteria could have similarly created O-2 oases in benthic mats prior to the GOE. Analogous mats may have been at least partly responsible for geological evidence of oxidative weathering prior to the GOE, and habitats such as Lake Fryxell provide natural laboratories where the impact of benthic O-2 oases on biogeochemical signatures can be investigated.</t>
  </si>
  <si>
    <t>[Sumner, Dawn Y.; Mackey, Tyler J.] Univ Calif Davis, Dept Earth &amp; Planetary Sci, Davis, CA 95616 USA; [Hawes, Ian] Univ Canterbury, Christchurch 8041, New Zealand; [Jungblut, Anne D.] Nat Hist Museum, Dept Life Sci, London SW7 5BD, England; [Doran, Peter T.] Louisiana State Univ, Dept Geol &amp; Geophys, Baton Rouge, LA 70803 USA</t>
  </si>
  <si>
    <t>University of California System; University of California Davis; University of Canterbury; Natural History Museum London; Louisiana State University System; Louisiana State University</t>
  </si>
  <si>
    <t>Sumner, DY (corresponding author), Univ Calif Davis, Dept Earth &amp; Planetary Sci, 1 Shields Ave, Davis, CA 95616 USA.</t>
  </si>
  <si>
    <t>; Sumner, Dawn/E-8744-2011</t>
  </si>
  <si>
    <t>Hawes, Ian/0000-0003-2471-6903; Sumner, Dawn/0000-0002-7343-2061; Mackey, Tyler/0000-0001-6377-3797</t>
  </si>
  <si>
    <t>National Science Foundation Division of Polar Programs [1115245]; McMurdo Long Term Ecological Research project; NASA Astrobiology [NN13AI60G]; Office of Polar Programs (OPP); Directorate For Geosciences [1115245] Funding Source: National Science Foundation</t>
  </si>
  <si>
    <t>National Science Foundation Division of Polar Programs(National Science Foundation (NSF)); McMurdo Long Term Ecological Research project; NASA Astrobiology; Office of Polar Programs (OPP); Directorate For Geosciences(National Science Foundation (NSF)NSF - Directorate for Geosciences (GEO))</t>
  </si>
  <si>
    <t>The collection of field data was supported by the National Science Foundation Division of Polar Programs through grant number 1115245, the McMurdo Long Term Ecological Research project. Sumner and Mackey were supported by NASA Astrobiology through grant NN13AI60G. We thank both the U.S. Antarctic program and Antarctica NZ for logistic support. We thank James Kasting and an anonymous reviewer for helpful comments.</t>
  </si>
  <si>
    <t>10.1130/G36966.1</t>
  </si>
  <si>
    <t>WOS:000361830400010</t>
  </si>
  <si>
    <t>Balco, G</t>
  </si>
  <si>
    <t>Balco, Greg</t>
  </si>
  <si>
    <t>The absence of evidence of absence of the East Antarctic Ice Sheet</t>
  </si>
  <si>
    <t>EUSTASY</t>
  </si>
  <si>
    <t>Berkeley Geochronol Ctr, Berkeley, CA 94709 USA</t>
  </si>
  <si>
    <t>Berkeley Geochronolgy Center</t>
  </si>
  <si>
    <t>Balco, G (corresponding author), Berkeley Geochronol Ctr, 2455 Ridge Rd, Berkeley, CA 94709 USA.</t>
  </si>
  <si>
    <t>10.1130/focus102015.1</t>
  </si>
  <si>
    <t>WOS:000361830400025</t>
  </si>
  <si>
    <t>Wolstencroft, M; King, MA; Whitehouse, PL; Bentley, MJ; Nield, GA; King, EC; McMillan, M; Shepherd, A; Barletta, V; Bordoni, A; Riva, REM; Didova, O; Gunter, BC</t>
  </si>
  <si>
    <t>Wolstencroft, Martin; King, Matt A.; Whitehouse, Pippa L.; Bentley, Michael J.; Nield, Grace A.; King, Edward C.; McMillan, Malcolm; Shepherd, Andrew; Barletta, Valentina; Bordoni, Andrea; Riva, Riccardo E. M.; Didova, Olga; Gunter, Brian C.</t>
  </si>
  <si>
    <t>Uplift rates from a new high-density GPS network in Palmer Land indicate significant late Holocene ice loss in the southwestern Weddell Sea</t>
  </si>
  <si>
    <t>GEOPHYSICAL JOURNAL INTERNATIONAL</t>
  </si>
  <si>
    <t>Sea level change; Space geodetic surveys; Global change from geodesy; Glaciology; Antarctica</t>
  </si>
  <si>
    <t>GLACIAL-ISOSTATIC-ADJUSTMENT; ANTARCTIC PENINSULA; MANTLE VISCOSITY; MASS-BALANCE; LEVEL CHANGE; DEGLACIAL HISTORY; MARGUERITE BAY; SURFACE; MODEL; GRACE</t>
  </si>
  <si>
    <t>The measurement of ongoing ice-mass loss and associated melt water contribution to sea-level change from regions such as West Antarctica is dependent on a combination of remote sensing methods. A key method, the measurement of changes in Earth's gravity via the GRACE satellite mission, requires a potentially large correction to account for the isostatic response of the solid Earth to ice-load changes since the Last Glacial Maximum. In this study, we combine glacial isostatic adjustment modelling with a new GPS dataset of solid Earth deformation for the southern Antarctic Peninsula to test the current understanding of ice history in this region. A sufficiently complete history of past ice-load change is required for glacial isostatic adjustment models to accurately predict the spatial variation of ongoing solid Earth deformation, once the independently-constrained effects of present-day ice mass loss have been accounted for. Comparisons between the GPS data and glacial isostatic adjustment model predictions reveal a substantial misfit. The misfit is localized on the southwestern Weddell Sea, where current ice models under-predict uplift rates by approximately 2 mm yr(-1). This under-prediction suggests that either the retreat of the ice sheet grounding line in this region occurred significantly later in the Holocene than currently assumed, or that the region previously hosted more ice than currently assumed. This finding demonstrates the need for further fieldwork to obtain direct constraints on the timing of Holocene grounding line retreat in the southwestern Weddell Sea and that GRACE estimates of ice sheet mass balance will be unreliable in this region until this is resolved.</t>
  </si>
  <si>
    <t>[Wolstencroft, Martin; Whitehouse, Pippa L.; Bentley, Michael J.] Univ Durham, Dept Geog, Durham DH1 3HP, England; [King, Matt A.] Univ Tasmania, Sch Land &amp; Food, Hobart, Tas 7001, Australia; [King, Matt A.; Nield, Grace A.] Newcastle Univ, Sch Civil Engn &amp; Geosci, Newcastle Upon Tyne NE1 7RU, Tyne &amp; Wear, England; [King, Edward C.] British Antarctic Survey, Cambridge CB3 0ET, England; [McMillan, Malcolm; Shepherd, Andrew] Univ Leeds, Ctr Polar Observat &amp; Modelling, Sch Earth &amp; Environm, Leeds LS2 9JT, W Yorkshire, England; [Barletta, Valentina] Tech Univ Denmark, DTU Space, DK-2800 Lyngby, Denmark; [Bordoni, Andrea] Tech Univ Denmark, DTU Phys, DK-2800 Lyngby, Denmark; [Bordoni, Andrea] Tech Univ Denmark, DTU Compute, DK-2800 Lyngby, Denmark; [Riva, Riccardo E. M.; Didova, Olga; Gunter, Brian C.] Delft Univ Technol, Dept Geosci &amp; Remote Sensing, NL-2600 AA Delft, Netherlands; [Gunter, Brian C.] Georgia Inst Technol, Guggenheim Sch Aerosp Engn, Atlanta, GA 30332 USA</t>
  </si>
  <si>
    <t>Durham University; University of Tasmania; Newcastle University - UK; UK Research &amp; Innovation (UKRI); Natural Environment Research Council (NERC); NERC British Antarctic Survey; University of Leeds; Technical University of Denmark; Technical University of Denmark; Technical University of Denmark; Delft University of Technology; University System of Georgia; Georgia Institute of Technology</t>
  </si>
  <si>
    <t>Wolstencroft, M (corresponding author), Univ Durham, Dept Geog, Durham DH1 3HP, England.</t>
  </si>
  <si>
    <t>pippa.whitehouse@durham.ac.uk</t>
  </si>
  <si>
    <t>Gunter, Brian C/C-7841-2014; King, Matt/B-4622-2008; Barletta, Valentina R./E-9128-2012; Bentley, Michael J/F-7386-2011; McMillan, Malcolm/HLQ-1163-2023; Wolstencroft, Martin/H-4825-2013; Nield, Grace/I-8366-2012</t>
  </si>
  <si>
    <t>King, Matt/0000-0001-5611-9498; Bentley, Michael J/0000-0002-2048-0019; Shepherd, Andrew/0000-0002-4914-1299; Barletta, Valentina Roberta/0000-0003-4427-0830; Wolstencroft, Martin/0000-0002-6080-1710; Riva, Riccardo/0000-0002-2042-5669; Gunter, Brian/0000-0002-4743-6173; Nield, Grace/0000-0002-3897-7904; Whitehouse, Pippa/0000-0002-9092-3444; McMillan, Malcolm/0000-0002-5113-0177</t>
  </si>
  <si>
    <t>NERC [NE/F01452X/1, NE/K009958/1]; Australian Research Council [FT110100207]; Netherlands Organisation for Scientific Research VIDI grant [864.12.012]; New Netherlands Polar Programme of the Netherlands Organization for Scientific Research; National Aeronautics and Space Administration (NASA) under NSF [EAR-0735156]; Natural Environment Research Council [NE/J005673/1, NE/F01466X/1, cpom30001, NE/J008176/1, NE/F014260/1, bas0100034, NE/F01452X/1, NE/K009958/1, NER/G/S/2003/00141] Funding Source: researchfish; NERC [NE/F01452X/1, NE/J008176/1, NE/K009958/1, NE/F014260/1, NE/F01466X/1, cpom30001, bas0100034, NE/J005673/1] Funding Source: UKRI; Division Of Earth Sciences; Directorate For Geosciences [1261833] Funding Source: National Science Foundation</t>
  </si>
  <si>
    <t>NERC(UK Research &amp; Innovation (UKRI)Natural Environment Research Council (NERC)); Australian Research Council(Australian Research Council); Netherlands Organisation for Scientific Research VIDI grant; New Netherlands Polar Programme of the Netherlands Organization for Scientific Research; National Aeronautics and Space Administration (NASA) under NSF(National Aeronautics &amp; Space Administration (NASA)); Natural Environment Research Council(UK Research &amp; Innovation (UKRI)Natural Environment Research Council (NERC)); NERC(UK Research &amp; Innovation (UKRI)Natural Environment Research Council (NERC)); Division Of Earth Sciences; Directorate For Geosciences(National Science Foundation (NSF)NSF - Directorate for Geosciences (GEO))</t>
  </si>
  <si>
    <t>This work was funded by NERC grant: NE/F01452X/1. MAK is a recipient of an Australian Research Council Future Fellowship (project number FT110100207). PLW is a recipient of a NERC Independent Research Fellowship (NE/K009958/1). REMR is recipient of a Netherlands Organisation for Scientific Research VIDI grant (project number 864.12.012). OD is supported by the New Netherlands Polar Programme of the Netherlands Organization for Scientific Research. We thank Matt Burke for deploying the CAPGIA sites and British Antarctic Survey engineers for maintaining them and downloading data. We acknowledge the hard work of the ANET team in deploying and maintaining SUGG and HAAG. This work is based on data services provided by the UNAVCO Facility with support from the National Science Foundation (NSF) and National Aeronautics and Space Administration (NASA) under NSF Cooperative Agreement No. EAR-0735156. We thank NASA JPL for making GIPSY available, Glenn Milne for providing the GIA code and Erik Ivins and Richard Peltier for making their model outputs available. Erik Ivins, Zdenek Martinec and Editor Duncan Agnew provided comments that helped improve the clarity of the manuscript.</t>
  </si>
  <si>
    <t>0956-540X</t>
  </si>
  <si>
    <t>1365-246X</t>
  </si>
  <si>
    <t>GEOPHYS J INT</t>
  </si>
  <si>
    <t>Geophys. J. Int.</t>
  </si>
  <si>
    <t>10.1093/gji/ggv327</t>
  </si>
  <si>
    <t>CY6BU</t>
  </si>
  <si>
    <t>Green Accepted, hybrid, Green Published</t>
  </si>
  <si>
    <t>WOS:000366492900051</t>
  </si>
  <si>
    <t>Chase, Z; Kohfeld, KE; Matsumoto, K</t>
  </si>
  <si>
    <t>Chase, Zanna; Kohfeld, Karen E.; Matsumoto, Katsumi</t>
  </si>
  <si>
    <t>Controls on biogenic silica burial in the Southern Ocean</t>
  </si>
  <si>
    <t>GLOBAL BIOGEOCHEMICAL CYCLES</t>
  </si>
  <si>
    <t>ANTARCTIC CIRCUMPOLAR CURRENT; EASTERN EQUATORIAL PACIFIC; NATURAL IRON FERTILIZATION; LATE-QUATERNARY CHANGES; DEEP-SEA SEDIMENTS; CARBON EXPORT; TH-230 NORMALIZATION; PHYTOPLANKTON BLOOM; MARINE-SEDIMENTS; ATMOSPHERIC CO2</t>
  </si>
  <si>
    <t>Understanding the controls on opal export in the Southern Ocean can inform both the prediction of how the leakage of silicic acid from the Southern Ocean responds to climate and the interpretation of paleo-proxies. We have compiled a database of 185 (230)Thorium-normalized opal burial rates and 493 opal concentration measurements in Southern Ocean sediments and matched these with environmental climatologies. By subdividing the Southern Ocean on the basis of oceanographic regions and interpolating the opal burial rates, we estimate a total biogenic Si burial south of 40 degrees S of 2.3 +/- 1.0 Tmol Si yr(-1). In both the seasonally ice-covered and permanently ice-free regions we can explain 73% of opal burial variability from surface ocean properties. Where sea ice is present for at least part of the year, the length of the ice-free season determines the upper limit of opal burial in the underlying sediments. In the ice-free regions of the Southern Ocean, the supply of silicic acid through winter mixing is the most important factor. Our results do not support a strong role of iron in controlling opal burial. We do however find that satellite-derived net primary production increases with increasing (modeled) dust delivery. These findings support the decoupling between carbon and opal fluxes in the Southern Ocean. When corrected for opal dissolution, the observed opal fluxes are in reasonable agreement with fluxes simulated using an ocean biogeochemical model. However, the results suggest current preservation algorithms for opal could be improved by incorporating the composition of particle flux, not only its magnitude.</t>
  </si>
  <si>
    <t>[Chase, Zanna] Univ Tasmania, Inst Marine &amp; Antarctic Studies, Hobart, Tas, Australia; [Kohfeld, Karen E.] Simon Fraser Univ, Sch Resource &amp; Environm Management, Burnaby, BC V5A 1S6, Canada; [Matsumoto, Katsumi] Univ Minnesota, Dept Earth Sci, Minneapolis, MN USA</t>
  </si>
  <si>
    <t>University of Tasmania; Simon Fraser University; University of Minnesota System; University of Minnesota Twin Cities</t>
  </si>
  <si>
    <t>Chase, Z (corresponding author), Univ Tasmania, Inst Marine &amp; Antarctic Studies, Hobart, Tas, Australia.</t>
  </si>
  <si>
    <t>Zanna.Chase@utas.edu.au; katsumi@umn.edu</t>
  </si>
  <si>
    <t>Matsumoto, Katsumi/X-3706-2018; Chase, Zanna/E-9232-2013</t>
  </si>
  <si>
    <t>Matsumoto, Katsumi/0000-0002-5832-9592; Kohfeld, Karen/0000-0001-7241-1624; Chase, Zanna/0000-0001-5060-779X</t>
  </si>
  <si>
    <t>University of Tasmania Visiting Scholar Program; Australian Research Council Future Fellowship</t>
  </si>
  <si>
    <t>University of Tasmania Visiting Scholar Program; Australian Research Council Future Fellowship(Australian Research Council)</t>
  </si>
  <si>
    <t>The compilation of Th-normalized opal burial rates and opal concentration is available from PANGEA (http://issues.pangaea.de/browse/PDI-9945). Data on environmental climatologies are available as detailed in Table 2 and from Z.C. (zchase@utas.edu.au). MESMO2 model output is available from K.M. (katsumi@umn.edu). Travel funding was provided to K.E.K. and K.M. by the University of Tasmania Visiting Scholar Program. Z.C. is supported by an Australian Research Council Future Fellowship. We thank B. Reutsch for her contributions at an early stage of this project. R. Massom provided for assistance with sea-ice data sets, P. Strutton helped with productivity data sets and pointed us to the Bioregionalization, and S. Wotherspoon provided statistical advice. Numerical computation involving MESMO was carried out using resources at the University of Minnesota Supercomputing Institute. Finally, we would like to sincerely acknowledge Lloyd Burckle, for his passion for and vast knowledge of Southern Ocean opal dynamics and for sharing with us his Southern Ocean sediment composition database.</t>
  </si>
  <si>
    <t>0886-6236</t>
  </si>
  <si>
    <t>1944-9224</t>
  </si>
  <si>
    <t>GLOBAL BIOGEOCHEM CY</t>
  </si>
  <si>
    <t>Glob. Biogeochem. Cycle</t>
  </si>
  <si>
    <t>10.1002/2015GB005186</t>
  </si>
  <si>
    <t>CW3FD</t>
  </si>
  <si>
    <t>Bronze, Green Accepted, Green Published</t>
  </si>
  <si>
    <t>WOS:000364876500003</t>
  </si>
  <si>
    <t>Tuerena, RE; Ganeshram, RS; Geibert, W; Fallick, AE; Dougans, J; Tait, A; Henley, SF; Woodward, EMS</t>
  </si>
  <si>
    <t>Tuerena, R. E.; Ganeshram, R. S.; Geibert, W.; Fallick, A. E.; Dougans, J.; Tait, A.; Henley, S. F.; Woodward, E. M. S.</t>
  </si>
  <si>
    <t>Nutrient cycling in the Atlantic basin: The evolution of nitrate isotope signatures in water masses</t>
  </si>
  <si>
    <t>ANTARCTIC INTERMEDIATE WATER; NITROGEN-FIXATION; OXYGEN ISOTOPES; SOUTHERN-OCEAN; MARINE; CIRCULATION; SEAWATER; PACIFIC; EXPORT; BIOGEOCHEMISTRY</t>
  </si>
  <si>
    <t>A basin-wide transect of nitrate isotopes (delta N-15(NO3), delta O-18(NO3)), across the UK GEOTRACES 40 degrees S transect in the South Atlantic is presented. This data set is used to investigate Atlantic nutrient cycling and the communication pathways of nitrogen cycling processes in the global ocean. Intermediate waters formed in the subantarctic are enriched in delta N-15(NO3) and delta O-18(NO3) from partial utilization of nitrate by phytoplankton and distant denitrification processes, transporting heavy isotope signatures to the subtropical Atlantic. Water mass modification through the Atlantic is investigated by comparing data from 40 degrees S (South Atlantic) and 30 degrees N (North Atlantic). This reveals that nitrate in the upper intermediate waters is regenerated as it transits through the subtropical Atlantic, as evidenced by decreases in delta O-18(NO3.) We document diazotrophy-producing high N:P particle ratios (18-21:1) for remineralization, which is further confirmed by a decrease in delta N-15(NO3) through the subtropical Atlantic. These modifications influence the isotopic signatures of the North Atlantic Deep Water (NADW) which is subsequently exported from the Atlantic to the Southern Ocean. This study reveals the dominance of recycling processes and diazotrophy on nitrate cycling in the Atlantic. These processes provide a source of low delta N-15(NO3) to the Southern Ocean via the NADW, to counteract enrichment in delta N-15(NO3) from water column denitrification in the Indo/Pacific basins. We hence identify the Southern Ocean as a key hub through which denitrification and N-2 fixation communicate in the ocean through deepwater masses. Therefore, the balancing of the oceanic N budget and isotopic signatures require time scales of oceanic mixing.</t>
  </si>
  <si>
    <t>[Tuerena, R. E.; Ganeshram, R. S.; Geibert, W.; Henley, S. F.] Univ Edinburgh, Sch Geosci, Edinburgh, Midlothian, Scotland; [Tuerena, R. E.] Univ Liverpool, Dept Earth Ocean &amp; Ecol Sci, Liverpool L69 3BX, Merseyside, England; [Geibert, W.] Alfred Wegener Inst, Helmholtz Ctr Polar &amp; Marine Res, Bremerhaven, Germany; [Fallick, A. E.; Dougans, J.; Tait, A.] Univ Glasgow, Scottish Univ Environm Res Ctr, E Kilbride, Lanark, Scotland; [Woodward, E. M. S.] Plymouth Marine Lab, Plymouth, Devon, England</t>
  </si>
  <si>
    <t>University of Edinburgh; University of Liverpool; Helmholtz Association; Alfred Wegener Institute, Helmholtz Centre for Polar &amp; Marine Research; Scottish Universities Research &amp; Reactor Center; University of Glasgow; Plymouth Marine Laboratory</t>
  </si>
  <si>
    <t>Tuerena, RE (corresponding author), Univ Edinburgh, Sch Geosci, Edinburgh, Midlothian, Scotland.</t>
  </si>
  <si>
    <t>robyn.tuerena@liverpool.ac.uk</t>
  </si>
  <si>
    <t>Ganeshram, Raja S/JPX-5314-2023; Woodward, Ernest M S/D-5755-2016; Geibert, Walter/ABA-9785-2020; Tuerena, Robyn/A-8289-2016</t>
  </si>
  <si>
    <t>Geibert, Walter/0000-0001-8646-2334; Henley, Sian Frances/0000-0003-1221-1983; Tuerena, Robyn/0000-0001-7664-840X</t>
  </si>
  <si>
    <t>UK GEOTRACES National Environment Research Council (NERC) [NE/H008497/1NERC]; Natural Environment Research Council [NE/E017738/1, pml010007, NE/H008497/1, NE/H004289/1] Funding Source: researchfish; NERC [NE/H008497/1, pml010007, NE/H004289/1, NE/E017738/1] Funding Source: UKRI</t>
  </si>
  <si>
    <t>UK GEOTRACES National Environment Research Council (NERC); Natural Environment Research Council(UK Research &amp; Innovation (UKRI)Natural Environment Research Council (NERC)); NERC(UK Research &amp; Innovation (UKRI)Natural Environment Research Council (NERC))</t>
  </si>
  <si>
    <t>We thank the crew and scientists of the RRS Discovery (D357) and RRS James Cook (JC068), Gideon Henderson for coordination of UK GEOTRACES 40 degrees S transect, Sue Reynolds and Amandine Sabadel for nutrient analyses, and Colin Chilcott for assistance with isotope analyses at the University of Edinburgh. We further acknowledge Karen Casciotti and Jan Kaiser for generously sharing their expertise on the denitrifier method. This work was funded by the UK GEOTRACES National Environment Research Council (NERC) consortium grant (NE/H008497/1NERC) which included a studentship for R. E. Tuerena. All data used are freely available on request from R.E.T. (Robyn.Tuerena@liverpool.ac.uk). Nitrate isotope data have further been submitted to British Oceanographic Data Centre as part of the UK GEOTRACES data set.</t>
  </si>
  <si>
    <t>10.1002/2015GB005164</t>
  </si>
  <si>
    <t>WOS:000364876500017</t>
  </si>
  <si>
    <t>Burdett, HL; Hatton, AD; Kamenos, NA</t>
  </si>
  <si>
    <t>Burdett, Heidi L.; Hatton, Angela D.; Kamenos, Nicholas A.</t>
  </si>
  <si>
    <t>Coralline algae as a globally significant pool of marine dimethylated sulfur</t>
  </si>
  <si>
    <t>DMSP CONCENTRATIONS; DIMETHYLSULFONIOPROPIONATE; DIMETHYLSULFIDE; TEMPERATURE; SULFIDE; RESPONSES; LIGHT</t>
  </si>
  <si>
    <t>Marine algae are key sources of the biogenic sulfur compound dimethylsulphoniopropionate (DMSP), a vital component of the marine sulfur cycle. Autotrophic ecosystem engineers such as red coralline algae support highly diverse and biogeochemically active ecosystems and are known to be high DMSP producers, but their importance in the global marine sulfur cycle has not yet been appreciated. Using a global sampling approach, we show that red coralline algae are a globally significant pool of DMSP in the oceans, estimated to be similar to 110x10(12) moles worldwide during the summer months. Latitude was a major driver of observed regional-scale variations, with peaks in polar and tropical climate regimes, reflecting the varied cellular functions for DMSP (e.g., as a cryoprotectant and antioxidant). A temperate coralline algal bed was investigated in more detail to also identify local-scale temporal variations. Here, water column DMSP was driven by water temperature, and to a lesser extent, cloud cover; two factors which are also vital in controlling coralline algal growth. This study demonstrates that coralline algae harbor a large pool of dimethylated sulfur, thereby playing a significant role in both the sulfur and carbon marine biogeochemical cycles. However, coralline algal habitats are severely threatened by projected climate change; a loss of this habitat may thus detrimentally impact oceanic sulfur and carbon biogeochemical cycling.</t>
  </si>
  <si>
    <t>[Burdett, Heidi L.] Univ St Andrews, Scottish Oceans Inst, Dept Earth &amp; Environm Sci, St Andrews, Fife, Scotland; [Burdett, Heidi L.; Kamenos, Nicholas A.] Univ Glasgow, Sch Geog &amp; Earth Resources, Glasgow, Lanark, Scotland; [Hatton, Angela D.] Scottish Assoc Marine Sci, Oban, Argyll, Scotland</t>
  </si>
  <si>
    <t>University of St Andrews; University of Glasgow; UHI Millennium Institute</t>
  </si>
  <si>
    <t>Burdett, HL (corresponding author), Univ St Andrews, Scottish Oceans Inst, Dept Earth &amp; Environm Sci, St Andrews, Fife, Scotland.</t>
  </si>
  <si>
    <t>hb57@st-andrews.ac.uk</t>
  </si>
  <si>
    <t>Hatton, Angela D/D-6196-2013; Burdett, Heidi L./B-8910-2013; Kamenos, Nicholas/F-2421-2010</t>
  </si>
  <si>
    <t>Burdett, Heidi L./0000-0002-3909-2235; Kamenos, Nicholas/0000-0003-3434-0807</t>
  </si>
  <si>
    <t>Scottish Funding Council [HR09011]; Royal Society of Edinburgh / Scottish Government funding [RES 48704/1]; European Community via ASSEMBLE [227799]; Geological Society of London; British Antarctic Survey; Natural Environment Research Council funding [NE/H525303/1]; NERC [NE/H024093/1] Funding Source: UKRI; Natural Environment Research Council [NE/H024093/1] Funding Source: researchfish</t>
  </si>
  <si>
    <t>Scottish Funding Council; Royal Society of Edinburgh / Scottish Government funding; European Community via ASSEMBLE; Geological Society of London; British Antarctic Survey; Natural Environment Research Council funding; NERC(UK Research &amp; Innovation (UKRI)Natural Environment Research Council (NERC)); Natural Environment Research Council(UK Research &amp; Innovation (UKRI)Natural Environment Research Council (NERC))</t>
  </si>
  <si>
    <t>The data for this manuscript freely are available from the corresponding author (email: hb57@st-andrews.ac.uk). Thanks to the University of Glasgow dive team for sampling support. This research was conducted while H.B. was in receipt of Natural Environment Research Council funding (NE/H525303/1) and a Marine Alliance for Science and Technology for Scotland (MASTS) Research Fellowship (funding provided by the Scottish Funding Council (grant reference HR09011) and contributing institutions), and while N.K. was in receipt of Royal Society of Edinburgh / Scottish Government funding (RES 48704/1). Additional support for sampling collections at the 10 study sites was provided by the European Community via ASSEMBLE (grant 227799), a University of Glasgow Mobility Scholarship, and the Joseph Burr Tyrrell Fund from The Geological Society of London and the British Antarctic Survey.</t>
  </si>
  <si>
    <t>10.1002/2015GB005274</t>
  </si>
  <si>
    <t>WOS:000364876500018</t>
  </si>
  <si>
    <t>Tewari, R; Chatterjee, S; Agnihotri, D; Pandita, SK</t>
  </si>
  <si>
    <t>Tewari, Rajni; Chatterjee, Sankar; Agnihotri, Deepa; Pandita, Sundeep K.</t>
  </si>
  <si>
    <t>Glossopteris flora in the Permian Weller Formation of Allan Hills, South Victoria Land, Antarctica: Implications for paleogeography, paleoclimatology, and biostratigraphic correlation</t>
  </si>
  <si>
    <t>GONDWANA RESEARCH</t>
  </si>
  <si>
    <t>Glossopteris flora; Permian Ice Age; Allan Hills; Weller Formation; Antarctic Phytogeography</t>
  </si>
  <si>
    <t>CENTRAL TRANSANTARCTIC MOUNTAINS; WARDHA BASIN; GENUS GLOSSOPTERIS; TRIASSIC BOUNDARY; MEGAFLORAL ASSEMBLAGE; BEACON SUPERGROUP; FOSSIL PLANTS; COALFIELD; GONDWANA; ORISSA</t>
  </si>
  <si>
    <t>The Permo-Triassic Victoria Group in South Victoria Land, Antarctica, is a heterogeneous sequence of glacial tillite beds, carbonaceous and non-carbonaceous fluvial deposits, and volcanidastic strata. The carbonaceous beds are rich in plant fossils associated with coal seams. In Antarctica, the geological record of the Late Paleozoic Ice Age is restricted to the Early Permian. After deglaciation, the Glossopteris flora thrived in polar forests in Antarctica throughout the Permian but disappeared at the end-Permian extinction. Here we describe the first comprehensive record of the Glossopteris flora from the Permian Weller Formation of Allan Hills, South Victoria Land, Antarctica. The flora is well preserved and comprises pteridophytes and gymnosperms. The pteridophytes include the sphenopsid order Equisetales and the gymnosperms comprise Glossopteridales. Equisetales are represented by branched and unbranched axes, whereas, Glossopteridales are highly diverse encompassing Gangamopteris, Glossopteris, Surangephyllum, sterile scale leaves namely Scirroma sp., Nautiyalolepis sp., Utkaliolepis indica, Scale leaf A and scale leaf of male fructification Eretmonia. The flora of the Weller Formation shows close similarity with the Late Permian assemblages of India, South Africa and Australia. Gangamopteris, an index fossil of the Early Permian formations of different Gondwana continents, had extended stratigraphic range in the Late Permian Weller Formation of Allan Hills. Antarctica played a crucial role in the dispersal of Glossopteris flora because of its central position in Gondwana. (C) 2015 International Association for Gondwana Research. Published by Elsevier B.V. All rights reserved.</t>
  </si>
  <si>
    <t>[Tewari, Rajni; Agnihotri, Deepa] Birbal Sahni Inst Paleobot, Lucknow 226007, Uttar Pradesh, India; [Chatterjee, Sankar] Texas Tech Univ Museum, Lubbock, TX 79409 USA; [Pandita, Sundeep K.] Univ Jammu, Dept Geol, Jammu 180006, India</t>
  </si>
  <si>
    <t>Department of Science &amp; Technology (India); Birbal Sahni Institute of Palaeobotany (BSIP); Texas Tech University System; Texas Tech University; University of Jammu</t>
  </si>
  <si>
    <t>Chatterjee, S (corresponding author), Texas Tech Univ Museum, Lubbock, TX 79409 USA.</t>
  </si>
  <si>
    <t>sankar.chatterjee@ttu.edu</t>
  </si>
  <si>
    <t>Chatterjee, Sankar/A-3801-2016</t>
  </si>
  <si>
    <t>Chatterjee, Sankar/0000-0002-1065-0782</t>
  </si>
  <si>
    <t>1342-937X</t>
  </si>
  <si>
    <t>1878-0571</t>
  </si>
  <si>
    <t>GONDWANA RES</t>
  </si>
  <si>
    <t>Gondwana Res.</t>
  </si>
  <si>
    <t>10.1016/j.gr.2015.02.003</t>
  </si>
  <si>
    <t>CR1HE</t>
  </si>
  <si>
    <t>WOS:000361074800001</t>
  </si>
  <si>
    <t>Laursen, L</t>
  </si>
  <si>
    <t>Laursen, Lucas</t>
  </si>
  <si>
    <t>THE ICE STUFF ANTARCTIC ENGINEERING REQUIRES RESOURCEFULNESS AND ENDURANCE</t>
  </si>
  <si>
    <t>IEEE SPECTRUM</t>
  </si>
  <si>
    <t>IEEE-INST ELECTRICAL ELECTRONICS ENGINEERS INC</t>
  </si>
  <si>
    <t>PISCATAWAY</t>
  </si>
  <si>
    <t>445 HOES LANE, PISCATAWAY, NJ 08855-4141 USA</t>
  </si>
  <si>
    <t>0018-9235</t>
  </si>
  <si>
    <t>1939-9340</t>
  </si>
  <si>
    <t>IEEE Spectr.</t>
  </si>
  <si>
    <t>10.1109/MSPEC.2015.7274185</t>
  </si>
  <si>
    <t>Engineering, Electrical &amp; Electronic</t>
  </si>
  <si>
    <t>CS2NZ</t>
  </si>
  <si>
    <t>WOS:000361909300009</t>
  </si>
  <si>
    <t>Williams, TM; Fuiman, LA; Davis, RW</t>
  </si>
  <si>
    <t>Williams, Terrie M.; Fuiman, Lee A.; Davis, Randall W.</t>
  </si>
  <si>
    <t>Locomotion and the Cost of Hunting in Large, Stealthy Marine Carnivores</t>
  </si>
  <si>
    <t>INTEGRATIVE AND COMPARATIVE BIOLOGY</t>
  </si>
  <si>
    <t>ELEPHANT SEALS; WEDDELL SEALS; EVOLUTION; BEHAVIOR; STRATEGIES; ENERGETICS; BUOYANCY; DYNAMICS; PATTERNS; FISHES</t>
  </si>
  <si>
    <t>Synopsis Foraging by large (425 kg), mammalian carnivores often entails cryptic tactics to surreptitiously locate and overcome highly mobile prey. Many forms of intermittent locomotion from stroke-and-glide maneuvers by marine mammals to sneak-and-pounce behaviors by terrestrial canids, ursids, and felids are involved. While affording proximity to vigilant prey, these tactics are also associated with unique energetic costs and benefits to the predator. We examined the energetic consequences of intermittent locomotion in mammalian carnivores and assessed the role of these behaviors in overall foraging efficiency. Behaviorally-linked, three-axis accelerometers were calibrated to provide instantaneous locomotor behaviors and associated energetic costs for wild adult Weddell seals (Leptonychotes weddellii) diving beneath the Antarctic ice. The results were compared with previously published values for other marine and terrestrial carnivores. We found that intermittent locomotion in the form of extended glides, burst-and-glide swimming, and rollercoaster maneuvers while hunting silverfish (Pleuragramma antarcticum) resulted in a marked energetic savings for the diving seals relative to continuously stroking. The cost of a foraging dive by the seals decreased by 9.2-59.6%, depending on the proportion of time gliding. These energetic savings translated into exceptionally low transport costs during hunting (COTHUNT) for diving mammals. COTHUNT for Weddell seals was nearly six times lower than predicted for large terrestrial carnivores, and demonstrates the importance of turning off the propulsive machinery to facilitate cost-efficient foraging in highly active, air-breathing marine predators.</t>
  </si>
  <si>
    <t>[Williams, Terrie M.] Univ Calif Santa Cruz, Dept Ecol &amp; Evolutionary Biol, Ctr Ocean Hlth, Santa Cruz, CA 95060 USA; [Fuiman, Lee A.] Univ Texas Austin, Inst Marine Sci, Port Aransas, TX 78373 USA; [Davis, Randall W.] Texas A&amp;M Univ, Dept Marine Biol, Galveston, TX 77553 USA; [Davis, Randall W.] Texas A&amp;M Univ, Dept Wildlife &amp; Fisheries Sci, Galveston, TX 77553 USA</t>
  </si>
  <si>
    <t>University of California System; University of California Santa Cruz; University of Texas System; University of Texas Austin; Texas A&amp;M University System; Texas A&amp;M University System</t>
  </si>
  <si>
    <t>Williams, TM (corresponding author), Univ Calif Santa Cruz, Dept Ecol &amp; Evolutionary Biol, Ctr Ocean Hlth, 100 Shaffer Rd, Santa Cruz, CA 95060 USA.</t>
  </si>
  <si>
    <t>williams@biology.ucsc.edu</t>
  </si>
  <si>
    <t>Fuiman, Lee A/L-9514-2017</t>
  </si>
  <si>
    <t>Office of Naval Research [N00014-13-1-0808]; National Science Foundation Division of Polar Programs [ANT-0739163]; DBI [0963022, 1255913]; Div Of Biological Infrastructure; Direct For Biological Sciences [1255913] Funding Source: National Science Foundation</t>
  </si>
  <si>
    <t>Office of Naval Research(Office of Naval Research); National Science Foundation Division of Polar Programs(National Science Foundation (NSF)); DBI; Div Of Biological Infrastructure; Direct For Biological Sciences(National Science Foundation (NSF)NSF - Directorate for Biological Sciences (BIO))</t>
  </si>
  <si>
    <t>This work was supported by the Office of Naval Research [N00014-13-1-0808 to T.M.W.]; and the National Science Foundation Division of Polar Programs [ANT-0739163] and DBI [0963022, 1255913 to T.M.W.].</t>
  </si>
  <si>
    <t>OXFORD UNIV PRESS INC</t>
  </si>
  <si>
    <t>CARY</t>
  </si>
  <si>
    <t>JOURNALS DEPT, 2001 EVANS RD, CARY, NC 27513 USA</t>
  </si>
  <si>
    <t>1540-7063</t>
  </si>
  <si>
    <t>1557-7023</t>
  </si>
  <si>
    <t>INTEGR COMP BIOL</t>
  </si>
  <si>
    <t>Integr. Comp. Biol.</t>
  </si>
  <si>
    <t>10.1093/icb/icv025</t>
  </si>
  <si>
    <t>CT2YI</t>
  </si>
  <si>
    <t>WOS:000362672100011</t>
  </si>
  <si>
    <t>Kim, JH; Kang, HJ; Yu, BJ; Kim, SC; Lee, PC</t>
  </si>
  <si>
    <t>Kim, Jin Ho; Kang, Hyung Jun; Yu, Byung Jo; Kim, Sun Chang; Lee, Pyung Cheon</t>
  </si>
  <si>
    <t>Planococcus faecalis sp nov., a carotenoid-producing species isolated from stools of Antarctic penguins</t>
  </si>
  <si>
    <t>DEOXYRIBONUCLEIC-ACID; EMENDED DESCRIPTION; GEN. NOV.; BACTERIUM; SEA; ALKANOCLASTICUS; PLANOMICROBIUM; PSYCHROPHILUS; MCMEEKINII; SEDIMENT</t>
  </si>
  <si>
    <t>Taxonomic studies were performed on a novel carotenoid-producing strain, designated AJ003(T), isolated from faeces of Antarctic penguins. Cells of strain AJ003(T) were aerobic, Gram-stain-positive, cocci-shaped and orange. Strain AJ003(T) was capable of growing in a broad temperature range, including sub-zero growth (below -20 to 30 degrees C). 16S rRNA gene sequence analysis revealed that strain AJ003T was closely related to Planococcus halocryophilus Or1(T) (97.4 % similarity), Planococcus antarcticus DSM 14505(T) (97.3 %), Planococcus kocurii NCIMB 629(T) (97.3 %), and Planococcus donghaensis JH1(T) (97.1 %). The predominant cellular fatty acids were anteiso-C-15 : 0, and iso-C-16 : 0.MK-7 and MK-8 were the quinones identified, and the major pigment was glycosy1-4,4'-diaponeurosporen-4'-ol-4-oic acid. The major polar lipid was phosphatidylglycerol. DNA-DNA relatedness of strain AJ003T with respect to its closest phylogenetic neighbours was 38.2 +/- 0.5 % for Planococcus halocryophilus DSM 24743(T), 32.2 +/- 0.2 % for Planococcus antarcticus DSM 145051, 21.0 +/- 0.3 % for Planococcus kocurii DSM 20747(T) and 18.6 +/- 1.4 % for Planococcus donghaensis KCTC 13050(T). The DNA G + C content of strain AJ003(T) was 40.0 +/- 0.6 mol%. Based on the phenotypic, chemotaxonomic and phylogenetic data, strain A1003(T) is concluded to represent a novel species of the genus Planococcus, for which the name Planococcus faecalis sp. nov. is proposed. The type strain is AJ003(T) (=KCTC 33580(T)=CECT 8759(T)).</t>
  </si>
  <si>
    <t>[Kim, Jin Ho; Kang, Hyung Jun; Lee, Pyung Cheon] Ajou Univ, Dept Mol Sci &amp; Technol, Suwon 443749, South Korea; [Kim, Jin Ho; Kang, Hyung Jun; Lee, Pyung Cheon] Ajou Univ, Dept Appl Chem &amp; Biol Engn, Suwon 443749, South Korea; [Yu, Byung Jo] Korea Inst Ind Technol KITECH, Chungcheong Reg Div, IT Convergence Mat R&amp;BD Grp, Cheonan 330825, Chungnam, South Korea; [Kim, Sun Chang] Korea Adv Inst Sci &amp; Technol, Dept Biol Sci, Taejon 305701, South Korea</t>
  </si>
  <si>
    <t>Ajou University; Ajou University; Korea Institute of Industrial Technology (KITECH); Korea Advanced Institute of Science &amp; Technology (KAIST)</t>
  </si>
  <si>
    <t>Lee, PC (corresponding author), Ajou Univ, Dept Mol Sci &amp; Technol, Suwon 443749, South Korea.</t>
  </si>
  <si>
    <t>pclee@ajou.ac.kr</t>
  </si>
  <si>
    <t>Lee, Pyung Cheon/AAR-1021-2021; Kim, Sun/GSN-4867-2022; Kim, Sun Chang/C-2026-2011</t>
  </si>
  <si>
    <t>Lee, Pyung Cheon/0000-0003-2014-6587; Kim, Jinho/0000-0001-8732-1779</t>
  </si>
  <si>
    <t>Intelligent Synthetic Biology Center of Global Frontier Project - Ministry of Education, Science and Technology [2011-0031968]; National Research Foundation of Korea (NRF) - Ministry of Education [2014029244]</t>
  </si>
  <si>
    <t>Intelligent Synthetic Biology Center of Global Frontier Project - Ministry of Education, Science and Technology; National Research Foundation of Korea (NRF) - Ministry of Education</t>
  </si>
  <si>
    <t>This work was supported by the Intelligent Synthetic Biology Center of Global Frontier Project funded by the Ministry of Education, Science and Technology (2011-0031968), and by the National Research Foundation of Korea (NRF) funded by the Ministry of Education (2014029244).</t>
  </si>
  <si>
    <t>MICROBIOLOGY SOC</t>
  </si>
  <si>
    <t>CHARLES DARWIN HOUSE, 12 ROGER ST, LONDON WC1N 2JU, ERKS, ENGLAND</t>
  </si>
  <si>
    <t>10.1099/ijsem.0.000423</t>
  </si>
  <si>
    <t>CY1FM</t>
  </si>
  <si>
    <t>WOS:000366152100022</t>
  </si>
  <si>
    <t>Pearson, GA; Lago-Leston, A; Cánovas, F; Cox, CJ; Verret, F; Lasternas, S; Duarte, CM; Agusti, S; Serrao, EA</t>
  </si>
  <si>
    <t>Pearson, Gareth A.; Lago-Leston, Asuncion; Canovas, Fernando; Cox, Cymon J.; Verret, Frederic; Lasternas, Sebastian; Duarte, Carlos M.; Agusti, Susana; Serrao, Ester A.</t>
  </si>
  <si>
    <t>Metatranscriptomes reveal functional variation in diatom communities from the Antarctic Peninsula</t>
  </si>
  <si>
    <t>PHOTOSYNTHETIC ENERGY-CONVERSION; THALASSIOSIRA-PSEUDONANA; PHAEODACTYLUM-TRICORNUTUM; CLIMATE-CHANGE; PHYTOPLANKTON BIOMASS; PELAGIC ECOSYSTEMS; EXTREME CONDITIONS; PROTEIN-SYNTHESIS; MARINE ECOSYSTEM; LIMITED GROWTH</t>
  </si>
  <si>
    <t>Functional genomics of diatom-dominated communities from the Antarctic Peninsula was studied using comparative metatranscriptomics. Samples obtained from diatom-rich communities in the Bransfield Strait, the western Weddell Sea and sea ice in the Bellingshausen Sea/Wilkins Ice Shelf yielded more than 500K pyrosequencing reads that were combined to produce a global metatranscriptome assembly. Multi-gene phylogenies recovered three distinct communities, and diatom-assigned contigs further indicated little read-sharing between communities, validating an assembly-based annotation and analysis approach. Although functional analysis recovered a core of abundant shared annotations that were expressed across the three diatom communities, over 40% of annotations (but accounting for &lt;10% of sequences) were community-specific. The two pelagic communities differed in their expression of N-metabolism and acquisition genes, which was almost absent in post-bloom conditions in the Weddell Sea community, while enrichment of transporters for ammonia and urea in Bransfield Strait diatoms suggests a physiological stance towards acquisition of reduced N-sources. The depletion of carbohydrate and energy metabolism pathways in sea ice relative to pelagic communities, together with increased light energy dissipation (via LHCSR proteins), photorespiration, and NO3 uptake and utilization all pointed to irradiance stress and/or inorganic carbon limitation within sea ice. Ice-binding proteins and cold-shock transcription factors were also enriched in sea ice diatoms. Surprisingly, the abundance of gene transcripts for the translational machinery tracked decreasing environmental temperature across only a 4 degrees C range, possibly reflecting constraints on translational efficiency and protein production in cold environments.</t>
  </si>
  <si>
    <t>[Pearson, Gareth A.; Lago-Leston, Asuncion; Canovas, Fernando; Cox, Cymon J.; Verret, Frederic; Serrao, Ester A.] Univ Algarve, Ctr Marine Sci, P-8005139 Faro, Portugal; [Verret, Frederic] Fdn Res &amp; Technol Hellas, Inst Mol Biol &amp; Biotechnol, Iraklion, NE, Greece; [Lasternas, Sebastian; Duarte, Carlos M.; Agusti, Susana] Inst Mediterraneo Estudios Avanzados, IMEDEA CSIC UIB, Global Change Dept, Esporles, Mallorca, Spain; [Duarte, Carlos M.; Agusti, Susana] King Abdullah Univ Sci &amp; Technol, Red Sea Res Ctr, Thuwal, Saudi Arabia</t>
  </si>
  <si>
    <t>Universidade do Algarve; Foundation for Research &amp; Technology - Hellas (FORTH); Universitat de les Illes Balears; Consejo Superior de Investigaciones Cientificas (CSIC); ATTITUS Educacao; King Abdullah University of Science &amp; Technology</t>
  </si>
  <si>
    <t>Pearson, GA (corresponding author), Univ Algarve, Ctr Marine Sci, P-8005139 Faro, Portugal.</t>
  </si>
  <si>
    <t>gpearson@ualg.pt</t>
  </si>
  <si>
    <t>Duarte Quesada, Carlos Manuel/ABD-6208-2021; Lago-Lestón, Asunción/AFR-8125-2022; Pearson, Gareth A/J-3911-2013; Duarte, Carlos M/A-7670-2013; Serrao, Ester A/C-6686-2012; Lago-Leston, Asuncion/AFS-1438-2022; Agusti, Susana/G-2864-2017; Canovas, Fernando/M-3457-2013; Cox, Cymon/D-1303-2012</t>
  </si>
  <si>
    <t>Lago-Lestón, Asunción/0000-0003-4361-7732; Pearson, Gareth A/0000-0002-0768-464X; Duarte, Carlos M/0000-0002-1213-1361; Serrao, Ester A/0000-0003-1316-658X; Lago-Leston, Asuncion/0000-0003-4361-7732; Agusti, Susana/0000-0003-0536-7293; Canovas, Fernando/0000-0002-8837-1927; Cox, Cymon/0000-0002-4927-979X; Verret, Frederic/0000-0002-8175-7325</t>
  </si>
  <si>
    <t>Portuguese Science Foundation (FCT) [PTDC/MAR/72630]; Spanish Ministry of Economy and Competitiveness (under the scope of the International Polar Year (IPY)) [POL2006-00550/CTM]</t>
  </si>
  <si>
    <t>Portuguese Science Foundation (FCT)(Fundacao para a Ciencia e a Tecnologia (FCT)); Spanish Ministry of Economy and Competitiveness (under the scope of the International Polar Year (IPY))</t>
  </si>
  <si>
    <t>This work was supported by grants 'SOPA' from the Portuguese Science Foundation (FCT; PTDC/MAR/72630) to GAP and is a contribution to the ATOS project (POL2006-00550/CTM) funded by the Spanish Ministry of Economy and Competitiveness (under the scope of the International Polar Year (IPY)). We are grateful to the crew of the R/V Hesperides for technical and logistical support. We thank A. Tovar-Sanchez for information on iron concentrations in the waters sampled.</t>
  </si>
  <si>
    <t>SPRINGERNATURE</t>
  </si>
  <si>
    <t>CAMPUS, 4 CRINAN ST, LONDON, N1 9XW, ENGLAND</t>
  </si>
  <si>
    <t>10.1038/ismej.2015.40</t>
  </si>
  <si>
    <t>CS0OF</t>
  </si>
  <si>
    <t>Green Published, Bronze</t>
  </si>
  <si>
    <t>WOS:000361760400013</t>
  </si>
  <si>
    <t>Zheng, F; Li, JP; Feng, J; Li, YJ; Li, Y</t>
  </si>
  <si>
    <t>Zheng, Fei; Li, Jianping; Feng, Juan; Li, Yanjie; Li, Yang</t>
  </si>
  <si>
    <t>Relative Importance of the Austral Summer and Autumn SAM in Modulating Southern Hemisphere Extratropical Autumn SST</t>
  </si>
  <si>
    <t>Southern Ocean; Annular mode; Air-sea interaction; Antarctic Oscillation; Climate prediction; Regression analysis</t>
  </si>
  <si>
    <t>SEA-SURFACE TEMPERATURE; SEASONAL FOOTPRINTING MECHANISM; ANNULAR MODE; NORTH-ATLANTIC; CLIMATE VARIABILITY; INDIAN-OCEAN; CIRCULATION; PERSISTENCE; ANOMALIES; OSCILLATION</t>
  </si>
  <si>
    <t>Sea surface temperature (SST) variability in the extratropical Southern Hemisphere is mainly determined by physical processes at the air-sea interface associated with the Southern Hemisphere annular mode (SAM). Both the austral summer [December-February (DJF)] and autumn [March-May (MAM)] SAM can imprint their signals on southern extratropical MAM SST. Here three approaches are employed to determine the relative importance of the DJF and MAM SAM in modulating southern extratropical MAM SST: a simple lead-lag correlation without SST decomposition, a decomposition method based on linear regression, and a new approach named the persistent signal decomposition (PSD). The results show that the DJF SAM plays a more important role than the MAM SAM in driving MAM large-scale southern extratropical SST anomalies, implying that MAM SST anomalies caused by the preceding DJF SAM would not be largely perturbed by the MAM SAM, and thus the DJF SAM can be regarded as an effective predictor for the following season's climate. The PSD also provides an estimation of the contribution of atmospheric persistence and SST persistence toward cross-seasonal influence of the DJF SAM on MAM southern extratropical SST. The results show that this cross-seasonal influence is mainly caused by the SST persistence. The detection of the relative importance of the preceding and contemporaneous atmospheric signal in driving SSTA contributes to the understanding of air-sea interactions and helps to obtain better SST-based statistical predictions. The PSD has the potential to be employed in the North Atlantic and other extratropical oceans.</t>
  </si>
  <si>
    <t>[Zheng, Fei; Li, Yanjie; Li, Yang] Chinese Acad Sci, Inst Atmospher Phys, State Key Lab Numer Modeling Atmospher Sci &amp; Geop, Beijing, Peoples R China; [Li, Jianping; Feng, Juan] Beijing Normal Univ, Coll Global Change &amp; Earth Syst Sci, Beijing 100875, Peoples R China; [Li, Jianping; Feng, Juan] Joint Ctr Global Change Studies, Beijing, Peoples R China; [Li, Yang] Lanzhou Univ, Coll Atmospher Sci, Lanzhou 730000, Gansu, Peoples R China</t>
  </si>
  <si>
    <t>Chinese Academy of Sciences; Institute of Atmospheric Physics, CAS; Beijing Normal University; Lanzhou University</t>
  </si>
  <si>
    <t>Li, JP (corresponding author), Beijing Normal Univ, Coll Global Change &amp; Earth Syst Sci, 19 XinJieKouWai St, Beijing 100875, Peoples R China.</t>
  </si>
  <si>
    <t>Zheng, Fei/AAV-7512-2021; Zheng, Fei/AAQ-4559-2020; Li, Jianping/I-2661-2012; Li, Yanjie/JBJ-6991-2023; Li, Yanjie/J-3539-2019</t>
  </si>
  <si>
    <t>Zheng, Fei/0000-0001-6135-6148; Zheng, Fei/0000-0001-6135-6148; Li, Yanjie/0000-0001-6091-0303; Li, Yang/0000-0002-8388-9372</t>
  </si>
  <si>
    <t>973 Program [2013CB430200]; NSFC Project [41405086]</t>
  </si>
  <si>
    <t>973 Program(National Basic Research Program of China); NSFC Project(National Natural Science Foundation of China (NSFC))</t>
  </si>
  <si>
    <t>This work was jointly supported by the 973 Program (2013CB430200) and the NSFC Project (41405086). We are grateful to Dr. Sen Zhao in LASG/IAP for comments on this work. The comments from Dr. Judith Perlwitz and the anonymous reviewers led to a significant improvement of this paper.</t>
  </si>
  <si>
    <t>10.1175/JCLI-D-15-0170.1</t>
  </si>
  <si>
    <t>WOS:000362661800006</t>
  </si>
  <si>
    <t>Li, XC; Holland, DM; Gerber, EP; Yoo, C</t>
  </si>
  <si>
    <t>Li, Xichen; Holland, David M.; Gerber, Edwin P.; Yoo, Changhyun</t>
  </si>
  <si>
    <t>Rossby Waves Mediate Impacts of Tropical Oceans on West Antarctic Atmospheric Circulation in Austral Winter</t>
  </si>
  <si>
    <t>Circulation; Dynamics; Rossby waves; Teleconnections; Waves; atmospheric; Atm; Ocean Structure; Phenomena; Atmosphere-ocean interaction; Polar lows; Variability; Decadal variability</t>
  </si>
  <si>
    <t>SOUTH-PACIFIC; SEA-ICE; EXTRATROPICAL CIRCULATION; ANNULAR MODES; CLIMATE; VARIABILITY; TELECONNECTION; OSCILLATION; PROPAGATION; SYSTEM</t>
  </si>
  <si>
    <t>Recent studies link climate change around Antarctica to the sea surface temperature of tropical oceans, with teleconnections from the Pacific, Atlantic, and Indian Oceans making different contributions to Antarctic climate. In this study, the impacts of each ocean basin on the wintertime Southern Hemisphere circulation are identified by comparing simulation results using a comprehensive atmospheric model, an idealized dynamical core model, and a theoretical Rossby wave model. The results herein show that tropical Atlantic Ocean warming, Indian Ocean warming, and eastern Pacific cooling are all able to deepen the Amundsen Sea low located adjacent to West Antarctica, while western Pacific warming increases the pressure to the west of the international date line, encompassing the Ross Sea and regions south of the Tasman Sea. In austral winter, these tropical ocean basins work together linearly to modulate the atmospheric circulation around West Antarctica. Further analyses indicate that these teleconnections critically depend on stationary Rossby wave dynamics and are thus sensitive to the background flow, particularly the subtropical/midlatitude jet. Near these jets, wind shear is amplified, which strengthens the generation of Rossby waves. On the other hand, near the edges of the jets the meridional gradient of the absolute vorticity is also enhanced. As a consequence of the Rossby wave dispersion relationship, the jet edge may reflect stationary Rossby wave trains, serving as a waveguide. The simulation results not only identify the relative roles of each of the tropical ocean basins in the tropical-Antarctica teleconnection, but also suggest that a deeper understanding of teleconnections requires a better estimation of the atmospheric jet structures.</t>
  </si>
  <si>
    <t>[Li, Xichen] Univ Calif San Diego, Scripps Inst Oceanog, La Jolla, CA 92093 USA; [Holland, David M.; Gerber, Edwin P.] NYU, Courant Inst Math Sci, New York, NY USA; [Yoo, Changhyun] Ewha Womans Univ, Dept Atmospher Sci &amp; Engn, Seoul, South Korea</t>
  </si>
  <si>
    <t>University of California System; University of California San Diego; Scripps Institution of Oceanography; New York University; Ewha Womans University</t>
  </si>
  <si>
    <t>Li, XC (corresponding author), Univ Calif San Diego, Scripps Inst Oceanog, 9500 Gilman Dr 0206, La Jolla, CA 92093 USA.</t>
  </si>
  <si>
    <t>xichenslc@gmail.com</t>
  </si>
  <si>
    <t>Li, Xichen/ISB-4663-2023</t>
  </si>
  <si>
    <t>Gerber, Edwin/0000-0002-6010-6638</t>
  </si>
  <si>
    <t>New York University Abu Dhabi [G1204]; Scripps Postdoctoral Fellowship by Scripps Institution of Oceanography; NSF Office of Polar Programs [ANT-0732869]; NASA Polar Programs [NNX12AB69G]; National Science Foundation (NSF) Division of Atmospheric and Geospace Sciences [AGS-1264195]; Korea Meteorological Administration Research and Development Program [KMIPA 2015-6110]; Directorate For Geosciences; Div Atmospheric &amp; Geospace Sciences [1264195] Funding Source: National Science Foundation; NASA [30944, NNX12AB69G] Funding Source: Federal RePORTER</t>
  </si>
  <si>
    <t>New York University Abu Dhabi; Scripps Postdoctoral Fellowship by Scripps Institution of Oceanography; NSF Office of Polar Programs(National Science Foundation (NSF)); NASA Polar Programs; National Science Foundation (NSF) Division of Atmospheric and Geospace Sciences(National Science Foundation (NSF)); Korea Meteorological Administration Research and Development Program(Korea Meteorological Administration (KMA)); Directorate For Geosciences; Div Atmospheric &amp; Geospace Sciences(National Science Foundation (NSF)NSF - Directorate for Geosciences (GEO)); NASA(National Aeronautics &amp; Space Administration (NASA))</t>
  </si>
  <si>
    <t>We thank the three anonymous reviewers for their insightful comments on earlier versions of the manuscript, which dramatically improve the quality of this paper. X.L. was supported by the New York University Abu Dhabi G1204, and the Scripps Postdoctoral Fellowship by Scripps Institution of Oceanography. D.M.H. was supported by the New York University Abu Dhabi G1204, the NSF Office of Polar Programs ANT-0732869, and the NASA Polar Programs NNX12AB69G. E.P.G. was supported by the National Science Foundation (NSF) Division of Atmospheric and Geospace Sciences through Grant AGS-1264195. C.Y. was funded by the Korea Meteorological Administration Research and Development Program under Grant KMIPA 2015-6110. The HadISST sea surface temperature and sea-ice concentration data were provided by the British Met Office, Hadley Centre. The ERA-Interim atmospheric reanalysis was provided by the European Centre for Medium Range Weather Forecasts (ECMWF). The comprehensive atmospheric model, CAM4, was made available by the National Center for Atmospheric Research (NCAR), supported by the National Science Foundation (NSF) and the Office of Science (BER) of the U.S. Department of Energy (DOE). The idealized atmospheric model, GFDL dry-dynamical-core, was developed by the National Oceanic and Atmospheric Administration (NOAA) at the Geophysical Fluid Dynamics Laboratory (GFDL). Computing resources were provided by the High Performance Computing (HPC) center at New York University (NYU) and the NCAR Yellowstone supercomputer. Three anonymous reviewers are thanked for their constructive comments, leading to a much improved manuscript.</t>
  </si>
  <si>
    <t>10.1175/JCLI-D-15-0113.1</t>
  </si>
  <si>
    <t>WOS:000362661800016</t>
  </si>
  <si>
    <t>Jiang, CL; Gille, ST; Sprintall, J; Yoshimura, K</t>
  </si>
  <si>
    <t>Jiang, ChuanLi; Gille, Sarah T.; Sprintall, Janet; Yoshimura, Kei</t>
  </si>
  <si>
    <t>Spatial variation in turbulent heat fluxes in Drake Passage (vol 25, pg 1470, 2012)</t>
  </si>
  <si>
    <t>[Jiang, ChuanLi] Earth &amp; Space Res, Seattle, WA 98121 USA; [Gille, Sarah T.; Sprintall, Janet] Univ Calif San Diego, Scripps Inst Oceanog, La Jolla, CA 92093 USA; [Yoshimura, Kei] Univ Tokyo, Kashiwa, Chiba, Japan</t>
  </si>
  <si>
    <t>University of California System; University of California San Diego; Scripps Institution of Oceanography; University of Tokyo</t>
  </si>
  <si>
    <t>Jiang, CL (corresponding author), Earth &amp; Space Res, 2101 4th Ave Suite 1310, Seattle, WA 98121 USA.</t>
  </si>
  <si>
    <t>chjiang@esr.org</t>
  </si>
  <si>
    <t>Yoshimura, Kei/F-2041-2010</t>
  </si>
  <si>
    <t>Yoshimura, Kei/0000-0002-5761-1561</t>
  </si>
  <si>
    <t>10.1175/JCLI-D-15-0570.1</t>
  </si>
  <si>
    <t>CT2VE</t>
  </si>
  <si>
    <t>WOS:000362661700001</t>
  </si>
  <si>
    <t>Kreiss, CM; Michael, K; Lucassen, M; Jutfelt, F; Motyka, R; Dupont, S; Pörtner, HO</t>
  </si>
  <si>
    <t>Kreiss, C. M.; Michael, K.; Lucassen, M.; Jutfelt, F.; Motyka, R.; Dupont, S.; Poertner, H. -O.</t>
  </si>
  <si>
    <t>Ocean warming and acidification modulate energy budget and gill ion regulatory mechanisms in Atlantic cod (Gadus morhua)</t>
  </si>
  <si>
    <t>Na+/K+-ATPase; H+-ATPase; HCO3- transporter; Na+/H+-exchanger; Standard metabolic rate; Osmolality</t>
  </si>
  <si>
    <t>ACID-BASE REGULATION; CIRCULATING CATECHOLAMINES; SWIMMING PERFORMANCE; OXYGEN LIMITATION; THERMAL TOLERANCE; MARINE TELEOST; ANTARCTIC FISH; NA+/K+-ATPASE; GAS-EXCHANGE; H+-ATPASE</t>
  </si>
  <si>
    <t>Ocean warming and acidification are threatening marine ecosystems. In marine animals, acidification is thought to enhance ion regulatory costs and thereby baseline energy demand, while elevated temperature also increases baseline metabolic rate. Here we investigated standard metabolic rates (SMR) and plasma parameters of Atlantic cod (Gadus morhua) after 3-4 weeks of exposure to ambient and future PCO2 levels (550, 1200 and 2200 A mu atm) and at two temperatures (10, 18 A degrees C). In vivo branchial ion regulatory costs were studied in isolated, perfused gill preparations. Animals reared at 18 A degrees C responded to increasing CO2 by elevating SMR, in contrast to specimens at 10 A degrees C. Isolated gills at 10 A degrees C and elevated PCO2 (a parts per thousand yen1200 A mu atm) displayed increased soft tissue mass, in parallel to increased gill oxygen demand, indicating an increased fraction of gill in whole animal energy budget. Altered gill size was not found at 18 A degrees C, where a shift in the use of ion regulation mechanisms occurred towards enhanced Na+/H+-exchange and HCO3 (-) transport at high PCO2 (2200 A mu atm), paralleled by higher Na+/K+-ATPase activities. This shift did not affect total gill energy consumption leaving whole animal energy budget unaffected. Higher Na+/K+-ATPase activities in the warmth might have compensated for enhanced branchial permeability and led to reduced plasma Na+ and/or Cl- concentrations and slightly lowered osmolalities seen at 18 A degrees C and 550 or 2200 A mu atm PCO2 in vivo. Overall, the gill as a key ion regulation organ seems to be highly effective in supporting the resilience of cod to effects of ocean warming and acidification.</t>
  </si>
  <si>
    <t>[Kreiss, C. M.; Michael, K.; Lucassen, M.; Poertner, H. -O.] Helmholtz Ctr Marine &amp; Polar Res, Alfred Wegener Inst, Integrat Ecophysiol, D-27570 Bremerhaven, Germany; [Jutfelt, F.; Motyka, R.] Univ Gothenburg, Dept Biol &amp; Environm Sci, S-40530 Gothenburg, Sweden; [Jutfelt, F.; Dupont, S.] Sven Loven Ctr Marine Sci, S-45178 Fiskebackskil, Sweden</t>
  </si>
  <si>
    <t>Helmholtz Association; Alfred Wegener Institute, Helmholtz Centre for Polar &amp; Marine Research; University of Gothenburg</t>
  </si>
  <si>
    <t>Kreiss, CM (corresponding author), Helmholtz Ctr Marine &amp; Polar Res, Alfred Wegener Inst, Integrat Ecophysiol, Handelshafen 12, D-27570 Bremerhaven, Germany.</t>
  </si>
  <si>
    <t>Corneliakreiss@gmail.com</t>
  </si>
  <si>
    <t>Lucassen, Magnus/ABA-8396-2021; Dupont, Sam T/F-5527-2013; Pörtner, Hans-O./ISU-9397-2023; Pörtner, Hans-O./K-9429-2016; Jutfelt, Fredrik/B-6988-2014; Lucassen, Magnus/E-8433-2011</t>
  </si>
  <si>
    <t>Lucassen, Magnus/0000-0003-4276-4781; Pörtner, Hans-O./0000-0001-6535-6575; Jutfelt, Fredrik/0000-0001-9838-3991; Motyka, Roman/0000-0001-7829-668X</t>
  </si>
  <si>
    <t>Bundesministerium fur Forschung und Bildung</t>
  </si>
  <si>
    <t>Bundesministerium fur Forschung und Bildung(Federal Ministry of Education &amp; Research (BMBF))</t>
  </si>
  <si>
    <t>The authors would like to thank Bengt Lundve for his support and assistance in obtaining experimental animals and arranging the experimental facilities as well as Lars Ljungqvist for valuable technical support. Lena Jakob and Caroline Otten are highly acknowledged for their assistance in plasma ion analysis. Furthermore, we would like to thank the constructive criticism by two anonymous reviewers which greatly improved the manuscript. This work contributes to the Bundesministerium fur Forschung und Bildung funded project Biological Impacts of Ocean Acidification (BIOACID) and is part of the Polar regions and coasts in a changing earth system (PACES) research programme of the Alfred-Wegener-Institute for Polar and Marine Research.</t>
  </si>
  <si>
    <t>10.1007/s00360-015-0923-7</t>
  </si>
  <si>
    <t>hybrid, Green Published</t>
  </si>
  <si>
    <t>WOS:000361471600005</t>
  </si>
  <si>
    <t>Saunders, RA; Collins, MA; Ward, P; Stowasser, G; Shreeve, R; Tarling, GA</t>
  </si>
  <si>
    <t>Saunders, R. A.; Collins, M. A.; Ward, P.; Stowasser, G.; Shreeve, R.; Tarling, G. A.</t>
  </si>
  <si>
    <t>Trophodynamics of Protomyctophum (Myctophidae) in the Scotia Sea (Southern Ocean)</t>
  </si>
  <si>
    <t>JOURNAL OF FISH BIOLOGY</t>
  </si>
  <si>
    <t>Antarctic krill; copepod; feeding ecology; lanternfish; mesoplankton; myctophids</t>
  </si>
  <si>
    <t>MESOPELAGIC FISH; VERTICAL MIGRATION; APTENODYTES-PATAGONICUS; ANTARCTIC PENINSULA; COMMUNITY STRUCTURE; FAMILY MYCTOPHIDAE; FEEDING ECOLOGY; DIET; GEORGIA; PATTERNS</t>
  </si>
  <si>
    <t>This study investigated spatial and temporal patterns in distribution, population structure and diet of Bolin's lanternfish Protomyctophum bolini, Tenison's lanternfish Protomyctophum tenisoni and gaptooth lanternfish Protomyctophum choriodon in the Scotia Sea using data collected by midwater trawl during spring, summer and autumn. Protomyctophum bolini was the most abundant species of the genus encountered throughout the Scotia Sea with the greatest concentrations occurring around the Antarctic Polar Front (APF). This species had a life cycle of 2+years, but spatial differences in population structure were apparent as the I-group was absent from all regions south of the APF, suggesting that the species does not recruit in the Scotia Sea. Protomyctophum tenisoni occurred mostly in waters characteristic of the APF and was absent from the southern Scotia Sea. It had a limited size range, but there was clear size-related sexual dimorphism with males significantly larger than females. The species had a life cycle of c. 2years, but the I-group (c. 1year old, 1 November to 31 October the next year) occurred only in regions close to the APF suggesting that recruitment is restricted to these waters. A seasonal southward migration for P. choriodon is likely as the species occurred mostly to the south-west of South Georgia in summer, but extended to the sea-ice sectors in autumn. Protomyctophum choriodon had a life cycle of 4+years in the Scotia Sea and the population was dominated by age classes &gt;3years old. Larval stages were absent during the surveys for all species. Diurnal variations in vertical distribution were apparent for all three species. Interspecific variations in diet were evident, but all species were primarily copepod feeders, with Metridia spp., Rhincalanus gigas and Calanus simillimus generally dominating their diet. Small euphausiids, principally Thysanoessa spp., were also an important component of their diets, particularly for P. choriodon which had the largest body size. The spatial and temporal variations in diet for both P. bolini and P. tenisoni were broadly consistent with underlying abundance patterns within the mesozooplankton community.</t>
  </si>
  <si>
    <t>[Saunders, R. A.; Ward, P.; Stowasser, G.; Shreeve, R.; Tarling, G. A.] British Antarctic Survey, Nat Environm Res Council, Cambridge CB3 0ET, England; [Collins, M. A.] Govt South Georgia &amp; South Sandwich Isl, Stanley, Falkland Island, England</t>
  </si>
  <si>
    <t>Saunders, RA (corresponding author), British Antarctic Survey, Nat Environm Res Council, High Cross,Madingley Rd, Cambridge CB3 0ET, England.</t>
  </si>
  <si>
    <t>ryaund@bas.ac.uk</t>
  </si>
  <si>
    <t>, Martin/ABE-6728-2020; Collins, Martin A/J-8560-2017</t>
  </si>
  <si>
    <t>, Martin/0000-0001-7132-8650; Stowasser, Gabriele/0000-0002-0595-0772</t>
  </si>
  <si>
    <t>Natural Environment Research Council; Natural Environment Research Council [bas0100035] Funding Source: researchfish; NERC [bas0100035] Funding Source: UKRI</t>
  </si>
  <si>
    <t>We thank the officers, crew and scientists of the R.R.S. James Clark Ross for their assistance with the sampling programme during the three surveys. This work was carried out as part of the Ecosystems programme at the British Antarctic Survey, funded by the Natural Environment Research Council. We also thank E. Foster for helping with laboratory work.</t>
  </si>
  <si>
    <t>0022-1112</t>
  </si>
  <si>
    <t>1095-8649</t>
  </si>
  <si>
    <t>J FISH BIOL</t>
  </si>
  <si>
    <t>J. Fish Biol.</t>
  </si>
  <si>
    <t>10.1111/jfb.12776</t>
  </si>
  <si>
    <t>Fisheries; Marine &amp; Freshwater Biology</t>
  </si>
  <si>
    <t>CT0AA</t>
  </si>
  <si>
    <t>WOS:000362454800014</t>
  </si>
  <si>
    <t>Sarkar, S; Sheen, KL; Klaeschen, D; Brearley, JA; Minshull, TA; Berndt, C; Hobbs, RW; Garabato, ACN</t>
  </si>
  <si>
    <t>Sarkar, Sudipta; Sheen, Katy L.; Klaeschen, Dirk; Brearley, J. Alexander; Minshull, Timothy A.; Berndt, Christian; Hobbs, Richard W.; Garabato, Alberto C. Naveira</t>
  </si>
  <si>
    <t>Seismic reflection imaging of mixing processes in Fram Strait</t>
  </si>
  <si>
    <t>INTERNAL TIDE GENERATION; WEST SPITSBERGEN CURRENT; WATER COLUMN; ARCTIC FRONT; HEAT FLUXES; ICE; NORTH; ATLANTIC; SVALBARD; BENEATH</t>
  </si>
  <si>
    <t>The West Spitsbergen Current, which flows northward along the western Svalbard continental slope, transports warm and saline Atlantic water (AW) into the Arctic Ocean. A combined analysis of high-resolution seismic images and hydrographic sections across this current has uncovered the oceanographic processes involved in horizontal and vertical mixing of AW. At the shelf break, where a strong horizontal temperature gradient exists east of the warmest AW, isopycnal interleaving of warm AW and surrounding colder waters is observed. Strong seismic reflections characterize these interleaving features, with a negative polarity reflection arising from an interface of warm water overlying colder water. A seismic-derived sound speed image reveals the extent and lateral continuity of such interleaving layers. There is evidence of obliquely aligned internal waves emanating from the slope at 450-500 m. They follow the predicted trajectory of internal S2 tidal waves and can promote vertical mixing between Atlantic and Arctic-origin waters.</t>
  </si>
  <si>
    <t>[Sarkar, Sudipta; Klaeschen, Dirk; Berndt, Christian] GEOMAR Helmholtz Ctr Ocean Res, Kiel, Germany; [Sheen, Katy L.; Minshull, Timothy A.; Garabato, Alberto C. Naveira] Univ Southampton, Natl Oceanog Ctr Southampton, Southampton, Hants, England; [Sheen, Katy L.] Met Off Hadley Ctr, Exeter, Devon, England; [Brearley, J. Alexander] British Antarctic Survey, Cambridge, England; [Hobbs, Richard W.] Univ Durham, Dept Earth Sci, Durham, England</t>
  </si>
  <si>
    <t>Helmholtz Association; GEOMAR Helmholtz Center for Ocean Research Kiel; University of Southampton; NERC National Oceanography Centre; Met Office - UK; Hadley Centre; UK Research &amp; Innovation (UKRI); Natural Environment Research Council (NERC); NERC British Antarctic Survey; Durham University</t>
  </si>
  <si>
    <t>Sarkar, S (corresponding author), GEOMAR Helmholtz Ctr Ocean Res, Kiel, Germany.</t>
  </si>
  <si>
    <t>ssarkar@geomar.de</t>
  </si>
  <si>
    <t>Sarkar, Sudipta/JFJ-2512-2023; Berndt, Christian/GVS-3279-2022; Garabato, Alberto Naveira/AAQ-1114-2020; Brearley, Alexander/C-3313-2012; Sarkar, Sudipta/HTR-4449-2023; Minshull, Tim/HPC-6052-2023; Hobbs, Richard/F-1054-2013; Minshull, Timothy/D-1147-2010</t>
  </si>
  <si>
    <t>Berndt, Christian/0000-0001-5055-0180; Garabato, Alberto Naveira/0000-0001-6071-605X; Hobbs, Richard/0000-0001-5131-9239; Brearley, Alexander/0000-0003-3700-8017; Sarkar, Sudipta/0000-0001-8382-3114; Klaeschen, Dirk/0000-0002-8034-684X; Minshull, Timothy/0000-0002-8202-1379</t>
  </si>
  <si>
    <t>Natural Environment Research Council (NERC) [NE/E007058/1]; Inlaks Shivdasani Foundation, India; Graduate School of the National Oceanography Centre Southampton, UK; German Academic Exchange Service (DAAD); NERC; NERC [bas0100033, NE/D005728/2] Funding Source: UKRI; Natural Environment Research Council [bas0100033, NE/D005728/2] Funding Source: researchfish</t>
  </si>
  <si>
    <t>Natural Environment Research Council (NERC)(UK Research &amp; Innovation (UKRI)Natural Environment Research Council (NERC)); Inlaks Shivdasani Foundation, India; Graduate School of the National Oceanography Centre Southampton, UK; German Academic Exchange Service (DAAD)(Deutscher Akademischer Austausch Dienst (DAAD));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</si>
  <si>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Natural Environment Research Council (NERC) as a part of the International Polar Year 2007-2008 (grant NE/E007058/1). The captain and crew of RRS James Clark Ross provided essential support for the acquisition of the data during the JR211 cruise. We thank Graham Westbrook for his leadership of the cruise and Per Trinhammer (Aarhus University) for supporting the seismic equipment. Part of the bathymetric image shown in Figure 1b was derived from the data provided by the Norwegian Hydrographic Service (NHS). S.S. is grateful to the Inlaks Shivdasani Foundation, India, the Graduate School of the National Oceanography Centre Southampton, UK, and the German Academic Exchange Service (DAAD) for financial support. K.L.S. and J.A.B. were supported by NERC. Original seismic and swath-bathymetric data from cruise JR211 are archived at the British Oceanographic Data Centre, Liverpool, and can be obtained from www.bodc.ac.uk by contacting enquiries@bodc.ac.uk. CTD data used in this study can be obtained by carrying out an online search of the database kept at www.nodc.noaa.gov/OC5/SELECT/dbsearch/dbsearch.html. Current meter mooring data can be obtained from www.pangaea.de. S.S. thanks Ilker Fer and Laurence Padman for valuable discussions. We thank four anonymous reviewers for their detailed and helpful comments.</t>
  </si>
  <si>
    <t>10.1002/2015JC011009</t>
  </si>
  <si>
    <t>WOS:000365539700017</t>
  </si>
  <si>
    <t>Smith, MJ; Tittensor, DP; Lyutsarev, V; Murphy, E</t>
  </si>
  <si>
    <t>Smith, Matthew J.; Tittensor, Derek P.; Lyutsarev, Vassily; Murphy, Eugene</t>
  </si>
  <si>
    <t>Inferred support for disturbance-recovery hypothesis of North Atlantic phytoplankton blooms</t>
  </si>
  <si>
    <t>CRITICAL DEPTH HYPOTHESIS; MODELS; OPTIMIZATION</t>
  </si>
  <si>
    <t>Analyses of satellite-derived chlorophyll data indicate that the phase of rapid phytoplankton population growth in the North Atlantic (the spring bloom'') is actually initiated in the winter rather than the spring, contradicting Sverdrup's critical depth hypothesis. An alternative disturbance-recovery hypothesis (DRH) has been proposed to explain this discrepancy, in which the rapid deepening of the mixed layer reduces zooplankton grazing rates sufficiently to initiate the bloom. We use Bayesian parameter inference on a simple Nutrient-Phytoplankton-Zooplankton (NPZ) model to investigate the DRH and also investigate how well the model can capture the multiyear and spatial dynamics of phytoplankton concentrations and population growth rates. Every parameter in our NPZ model was inferred as a probability distribution given empirical constraints, which provides a more objective method to identify a model parameterization given available empirical evidence, rather than fixing or tuning individual parameter values. Our model explains around 75% of variation in the seasonal dynamics of phytoplankton concentrations, 30% of variation in their population rates of change, and correctly predicts the phases of population growth and decline. Our parameter-inferred model supports the DRH, revealing the sustained reduction of grazing due to mixed-layer deepening as the driving mechanism behind bloom initiation, with the relaxation of nutrient limitation being another contributory mechanism. Our results also show that the continuation of the bloom is caused in part by the maintenance of phytoplankton concentrations below a level that can support positive zooplankton population growth. Our approach could be employed to formally assess alternative hypotheses for bloom formation.</t>
  </si>
  <si>
    <t>[Smith, Matthew J.; Lyutsarev, Vassily] Microsoft Res, Sci Computat Lab, Cambridge, England; [Tittensor, Derek P.] Dalhousie Univ, Dept Biol, Halifax, NS, Canada; [Tittensor, Derek P.] World Conservat Monitoring Ctr, United Nations Environm Programme, Cambridge, England; [Murphy, Eugene] British Antarctic Survey, NERC, Cambridge CB3 0ET, England</t>
  </si>
  <si>
    <t>Microsoft; Dalhousie University; UK Research &amp; Innovation (UKRI); Natural Environment Research Council (NERC); NERC British Antarctic Survey</t>
  </si>
  <si>
    <t>Smith, MJ (corresponding author), Microsoft Res, Sci Computat Lab, Cambridge, England.</t>
  </si>
  <si>
    <t>Matthew.Smith@Microsoft.com</t>
  </si>
  <si>
    <t>murphy, eugene/GZL-1620-2022; Tittensor, Derek P./AAV-1117-2021</t>
  </si>
  <si>
    <t>Tittensor, Derek P./0000-0002-9550-3123; Smith, Matthew/0009-0007-5659-5225; Smith, Matthew/0000-0002-5401-1763</t>
  </si>
  <si>
    <t>NERC [bas0100035] Funding Source: UKRI; Natural Environment Research Council [bas0100035] Funding Source: researchfish</t>
  </si>
  <si>
    <t>10.1002/2015JC011080</t>
  </si>
  <si>
    <t>Green Accepted, Bronze</t>
  </si>
  <si>
    <t>WOS:000365539700029</t>
  </si>
  <si>
    <t>Kida, S; Mitsudera, H; Aoki, S; Guo, XY; Ito, S; Kobashi, F; Komori, N; Kubokawa, A; Miyama, T; Morie, R; Nakamura, H; Nakamura, T; Nakano, H; Nishigaki, H; Nonaka, M; Sasaki, H; Sasaki, YN; Suga, T; Sugimoto, S; Taguchi, B; Takaya, K; Tozuka, T; Tsujino, H; Usui, N</t>
  </si>
  <si>
    <t>Kida, Shinichiro; Mitsudera, Humio; Aoki, Shigeru; Guo, Xinyu; Ito, Shin-ichi; Kobashi, Fumiaki; Komori, Nobumasa; Kubokawa, Atsushi; Miyama, Toru; Morie, Ryosuke; Nakamura, Hisashi; Nakamura, Tomohiro; Nakano, Hideyuki; Nishigaki, Hajime; Nonaka, Masami; Sasaki, Hideharu; Sasaki, Yoshi N.; Suga, Toshio; Sugimoto, Shusaku; Taguchi, Bunmei; Takaya, Koutarou; Tozuka, Tomoki; Tsujino, Hiroyuki; Usui, Norihisa</t>
  </si>
  <si>
    <t>Oceanic fronts and jets around Japan: a review</t>
  </si>
  <si>
    <t>Oceanic fronts; Western North Pacific; Air-sea interaction; Kuroshio Extension; Kuroshio-Oyashio confluence region; Subtropical fronts</t>
  </si>
  <si>
    <t>SEA-SURFACE TEMPERATURE; ANTARCTIC CIRCUMPOLAR CURRENT; PACIFIC SUBTROPICAL COUNTERCURRENT; SETO INLAND SEA; HAWAIIAN LEE COUNTERCURRENT; EASTERN EQUATORIAL PACIFIC; NORTH PACIFIC; KUROSHIO EXTENSION; GULF-STREAM; ATMOSPHERIC RESPONSE</t>
  </si>
  <si>
    <t>This article reviews progress in our understanding of oceanic fronts around Japan and their roles in air-sea interaction. Fronts associated with the Kuroshio and its extension, fronts within the area of the Kuroshio-Oyashio confluence, and the subtropical fronts are described with particular emphasis on their structure, variability, and role in air-sea interaction. The discussion also extends to the fronts in the coastal and marginal seas, the Seto Inland Sea and Japan Sea. Studies on oceanic fronts have progressed significantly during the past decade, but many of these studies focus on processes at individual fronts and do not provide a comprehensive view. Hence, one of the goals of this article is to review the oceanic fronts around Japan by describing the processes based on common metrics. These metrics focus primarily on surface properties to obtain insights into air-sea interactions that occur along oceanic fronts. The basic characteristics derived for each front (i.e., metrics) are then presented as a table. We envision that many of the coupled ocean-atmosphere global circulation models in the coming decade will represent oceanic fronts reasonably well, and it is hoped that this review along with the table of metrics will provide a useful benchmark for evaluating these models.</t>
  </si>
  <si>
    <t>[Kida, Shinichiro; Komori, Nobumasa; Miyama, Toru; Nakamura, Hisashi; Nonaka, Masami; Sasaki, Hideharu; Taguchi, Bunmei] Japan Agcy Marine Earth Sci &amp; Technol, Applicat Lab, Kanazawa Ku, Yokohama, Kanagawa 2360001, Japan; [Mitsudera, Humio; Aoki, Shigeru; Nakamura, Tomohiro] Hokkaido Univ, Inst Low Temp Sci, Sapporo, Hokkaido 060, Japan; [Guo, Xinyu] Ehime Univ, Ctr Marine Environm Studies, Matsuyama, Ehime, Japan; [Ito, Shin-ichi] Univ Tokyo, Atmosphere &amp; Ocean Res Inst, Kashiwa, Chiba, Japan; [Kobashi, Fumiaki] Tokyo Univ Marine Sci &amp; Technol, Grad Sch Marine Sci &amp; Technol, Tokyo, Japan; [Kubokawa, Atsushi] Hokkaido Univ, Fac Environm Earth Sci, Sapporo, Hokkaido, Japan; [Morie, Ryosuke] Hokkaido Univ, Grad Sch Environm Sci, Sapporo, Hokkaido, Japan; [Nakamura, Hisashi] Univ Tokyo, Res Ctr Adv Sci &amp; Technol, Tokyo, Japan; [Nakano, Hideyuki; Tsujino, Hiroyuki; Usui, Norihisa] Meteorol Res Inst, Tsukuba, Ibaraki 305, Japan; [Nishigaki, Hajime] Oita Univ, Fac Educ &amp; Welf Sci, Oita 87011, Japan; [Sasaki, Yoshi N.] Hokkaido Univ, Grad Sch Sci, Sapporo, Hokkaido, Japan; [Suga, Toshio; Sugimoto, Shusaku] Tohoku Univ, Grad Sch Sci, Dept Geophys, Sendai, Miyagi 980, Japan; [Takaya, Koutarou] Kyoto Sangyo Univ, Fac Sci, Kyoto 603, Japan; [Tozuka, Tomoki] Univ Tokyo, Grad Sch Sci, Dept Earth &amp; Planetary Sci, Tokyo 113, Japan</t>
  </si>
  <si>
    <t>Japan Agency for Marine-Earth Science &amp; Technology (JAMSTEC); Hokkaido University; Ehime University; University of Tokyo; Tokyo University of Marine Science &amp; Technology; Hokkaido University; Hokkaido University; University of Tokyo; Meteorological Research Institute - Japan; Oita University; Hokkaido University; Tohoku University; Kyoto Sangyo University; University of Tokyo</t>
  </si>
  <si>
    <t>Kida, S (corresponding author), Japan Agcy Marine Earth Sci &amp; Technol, Applicat Lab, Kanazawa Ku, 3173-25 Showa Machi, Yokohama, Kanagawa 2360001, Japan.</t>
  </si>
  <si>
    <t>kidas@jamstec.go.jp</t>
  </si>
  <si>
    <t>Tozuka, Tomoki/A-1805-2009; Sasaki, Yoshi Nori/A-3263-2015; Guo, Xinyu/U-7013-2019; 英治, 佐々木/G-2247-2016; Miyama, Toru/A-3824-2009; Taguchi, Bunmei/J-2109-2014; Kida, Shinichiro/N-2986-2019; Ito, Shin-ichi/E-2981-2012; Aoki, Shigeru/D-9105-2012; Nishigaki, Hajime/R-5242-2019; Komori, Nobumasa/D-1989-2013; Kida, Shinichiro/E-9137-2014; Guo, Xinyu/ADW-1350-2022; Sugimoto, Shusaku/O-1925-2016; Mitsudera, Humio/E-3241-2012; Yoshinori, Sasaki/AAI-8888-2021; KOBASHI, Fumiaki/O-2028-2014; Nonaka, Masami/G-3417-2014; Suga, Toshio/C-2708-2009; nakamura, tomohiro/E-2351-2012</t>
  </si>
  <si>
    <t>Tozuka, Tomoki/0000-0001-6738-1299; 英治, 佐々木/0000-0003-0657-7532; Miyama, Toru/0000-0002-6400-0312; Taguchi, Bunmei/0000-0002-3537-4462; Kida, Shinichiro/0000-0002-9471-4316; Ito, Shin-ichi/0000-0002-3635-2580; Nishigaki, Hajime/0000-0001-6307-2747; Komori, Nobumasa/0000-0001-6067-8356; Kida, Shinichiro/0000-0002-9471-4316; Guo, Xinyu/0000-0002-4832-8625; Sugimoto, Shusaku/0000-0002-6289-1158; Yoshinori, Sasaki/0000-0003-2321-5365; Suga, Toshio/0000-0003-4219-6155; nakamura, tomohiro/0000-0001-7632-2733; Nonaka, Masami/0000-0003-2522-0686; Usui, Norihisa/0000-0003-0222-2355</t>
  </si>
  <si>
    <t>Japan Society for Promotion of Science [2205]; Grants-in-Aid for Scientific Research [22106010, 25106704, 26247076, 24540476, 22106007, 22106006, 22106009, 26400469, 25800258, 22106002, 22221001, 25707036, 22106001, 15H02129] Funding Source: KAKEN</t>
  </si>
  <si>
    <t>Japan Society for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</si>
  <si>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editor, Dr. Shoshiro Minobe, and three anonymous reviewers for their constructive comments on the manuscript. The altimeter products are produced by Ssalto/Duacs and distributed by AVISO with support from CNES (http://www.aviso.oceanobs.com/duacs/). APDRC at the University of Hawaii at Manoa (http://apdrc.soest.hawaii.edu/) was also used to obtain some of the data sets. This work is supported by the Japan Society for Promotion of Science through a Grant-in-Aid for Scientific Research on Innovative Areas 2205.</t>
  </si>
  <si>
    <t>10.1007/s10872-015-0283-7</t>
  </si>
  <si>
    <t>WOS:000361883200002</t>
  </si>
  <si>
    <t>Giunchi, D; Caccamo, C; Mori, A; Fox, JW; Rodríguez-Godoy, F; Baldaccini, NE; Pollonara, E</t>
  </si>
  <si>
    <t>Giunchi, Dimitri; Caccamo, Chiara; Mori, Alessia; Fox, James W.; Rodriguez-Godoy, Felipe; Baldaccini, N. Emilio; Pollonara, Enrica</t>
  </si>
  <si>
    <t>Pattern of non-breeding movements by Stone-curlews Burhinus oedicnemus breeding in Northern Italy</t>
  </si>
  <si>
    <t>JOURNAL OF ORNITHOLOGY</t>
  </si>
  <si>
    <t>Migration; Geolocator; GPS; Ringing</t>
  </si>
  <si>
    <t>MIGRATION; GEOLOCATOR; TRACKING; BIRDS</t>
  </si>
  <si>
    <t>The identification of year-round geographical ranges and the quantification of the degree of migratory connectivity are fundamental to the successful conservation of migratory bird populations. The Stone-curlew Burhinus oedicnemus is a species of conservation concern in Europe, but its ecology and behaviour are relatively poorly investigated. In particular, its migratory behaviour and the locations of the wintering ranges of most European populations are not known in detail because of a lack of specific studies and the scarcity of ringing recoveries. This study aimed to identify the wintering areas of a Stone-curlew population breeding in the Taro River Regional Park (Parma, northern Italy) by integrating the information obtained from ringing recoveries (n = 2), geolocators (n = 7), and GPS data loggers (n = 2). Furthermore, we compared two approaches to inferring the location of an assumed stationary bird using geolocator data. The different sources were quite coherent, indicating that tagged Stone-curlews did not leave the Mediterranean basin throughout the year and passed the winter in Sardinia or in Tunisia. The recorded wintering sites coincided with areas where breeding (and possibly resident) populations are reported, further emphasising the importance of these areas for the conservation of the species throughout the annual cycle. To our knowledge, our study represents the first thorough analysis performed to uncover the movements of a Mediterranean population of Stone-curlews. Furthermore, it proves the great potential of the tracking devices used in this work to provide information on the migration and non-breeding sites of elusive species, for which the application of mark-recapture/re-sighting techniques is hindered by profound limitations.</t>
  </si>
  <si>
    <t>[Giunchi, Dimitri; Caccamo, Chiara; Mori, Alessia; Baldaccini, N. Emilio; Pollonara, Enrica] Univ Pisa, Dipartimento Biol, I-56126 Pisa, Italy; [Fox, James W.] NERC, British Antarctic Survey, Cambridge CB3 0ET, England; [Rodriguez-Godoy, Felipe] Serv Biodiversidad, Las Palmas Gran Canaria 35071, Spain</t>
  </si>
  <si>
    <t>University of Pisa; UK Research &amp; Innovation (UKRI); Natural Environment Research Council (NERC); NERC British Antarctic Survey</t>
  </si>
  <si>
    <t>Giunchi, D (corresponding author), Univ Pisa, Dipartimento Biol, Via A Volta 6, I-56126 Pisa, Italy.</t>
  </si>
  <si>
    <t>dimitri.giunchi@unipi.it</t>
  </si>
  <si>
    <t>Giunchi, Dimitri/B-9642-2008</t>
  </si>
  <si>
    <t>Giunchi, Dimitri/0000-0003-2753-8997; Fox, James W./0000-0002-3107-696X</t>
  </si>
  <si>
    <t>Taro River Regional Park; NERC [bas010011] Funding Source: UKRI; Natural Environment Research Council [bas010011] Funding Source: researchfish</t>
  </si>
  <si>
    <t>Taro River Regional Park; NERC(UK Research &amp; Innovation (UKRI)Natural Environment Research Council (NERC)); Natural Environment Research Council(UK Research &amp; Innovation (UKRI)Natural Environment Research Council (NERC))</t>
  </si>
  <si>
    <t>We are grateful to all the people who helped us during the fieldwork, and in particular to Renato Carini and Renzo Rusticali. The Taro River Regional Park supported part of the research.</t>
  </si>
  <si>
    <t>2193-7192</t>
  </si>
  <si>
    <t>2193-7206</t>
  </si>
  <si>
    <t>J ORNITHOL</t>
  </si>
  <si>
    <t>J. Ornithol.</t>
  </si>
  <si>
    <t>10.1007/s10336-015-1219-0</t>
  </si>
  <si>
    <t>CQ2NM</t>
  </si>
  <si>
    <t>WOS:000360437900013</t>
  </si>
  <si>
    <t>Mueller, R; Fischer, AM; Bolch, CJS; Wright, JT</t>
  </si>
  <si>
    <t>Mueller, Rebecca; Fischer, Andrew M.; Bolch, Christopher J. S.; Wright, Jeffrey T.</t>
  </si>
  <si>
    <t>ENVIRONMENTAL CORRELATES OF PHENOTYPIC VARIATION: DO VARIABLE TIDAL REGIMES INFLUENCE MORPHOLOGY IN INTERTIDAL SEAWEEDS?</t>
  </si>
  <si>
    <t>biogeographical scales; environmental variability; intertidal macroalgae; morphology; tidal rhythms</t>
  </si>
  <si>
    <t>HORMOSIRA-BANKSII FUCALES; KELP DURVILLAEA-POTATORUM; FUCUS-VESICULOSUS; ECKLONIA-RADIATA; WAVE EXPOSURE; FUCOID ALGAE; SPATIAL VARIATION; MARINE-ALGAE; UPPER LIMITS; VARIABILITY</t>
  </si>
  <si>
    <t>Seaweed morphology is often shaped by the hydrodynamic environment. However, exposure to air at low tide represents an additional factor potentially affecting the morphology of intertidal species. Here, we examined the relationships between the morphology of Hormosira banksii, an important intertidal habitat-forming seaweed in southern Australia, and environmental factors across multiple spatial scales around the island of Tasmania, Australia. Tasmania is surrounded by a diverse coastline with differences in wave exposure, tidal parameters, and temperature. We sampled Hormosira from four regions (100s km apart), three sites (10s km apart) within each region, and two zones (meters apart; eulittoral and sublittoral) at each site, and measured multiple morphological variables to test for differences in morphology at those different spatial scales. Thirteen environmental variables reflecting wave exposure, tidal conditions, and temperature for each site were generated to assess the relationship between Hormosira morphology and environmental variation. Morphology varied at all spatial scales examined. Most notably, north coast individuals had a distinct morphology, generally having smaller vesicles and shorter fronds, compared to other regions. Tidal conditions were the main environmental factors separating north coast sites from other sites and tidal regime was identified as the best predictor of morphological differences between regions. In contrast to other studies, we found little evidence that wave exposure was associated with morphological variation. Overall, our study emphasizes the role of tidal conditions, associated with emersion stress during low tide, in affecting the morphology of intertidal seaweeds.</t>
  </si>
  <si>
    <t>[Mueller, Rebecca; Fischer, Andrew M.; Bolch, Christopher J. S.; Wright, Jeffrey T.] Univ Tasmania, Inst Marine &amp; Antarctic Studies, Launceston, Tas 7250, Australia</t>
  </si>
  <si>
    <t>Mueller, R (corresponding author), Univ Tasmania, Inst Marine &amp; Antarctic Studies, Launceston, Tas 7250, Australia.</t>
  </si>
  <si>
    <t>rebecca.mueller@utas.edu.au</t>
  </si>
  <si>
    <t>Bolch, Christopher J/J-7619-2014; Wright, Jeffrey/J-7536-2014</t>
  </si>
  <si>
    <t>Wright, Jeffrey/0000-0002-1085-4582; Fischer, Andrew/0000-0001-5284-6428</t>
  </si>
  <si>
    <t>Holsworth Wildlife Research Endowment; NOAA Climate Data Record (CDR) Program for satellites</t>
  </si>
  <si>
    <t>We thank R. Rahimi for his advice on tidal models around Australia and M. Haase, F. Adams and J. Keiler for assisting in the field. The manuscript was improved by comments from two anonymous reviewers. This study was funded by the Holsworth Wildlife Research Endowment. The SST data were provided by GHRSST and the US National Oceanographic Data Center. The GHRSST project was supported in part by a grant from the NOAA Climate Data Record (CDR) Program for satellites.</t>
  </si>
  <si>
    <t>10.1111/jpy.12329</t>
  </si>
  <si>
    <t>WOS:000363263500004</t>
  </si>
  <si>
    <t>Mashayek, A; Ferrari, R; Nikurashin, M; Peltier, WR</t>
  </si>
  <si>
    <t>Mashayek, A.; Ferrari, R.; Nikurashin, M.; Peltier, W. R.</t>
  </si>
  <si>
    <t>Influence of Enhanced Abyssal Diapycnal Mixing on Stratification and the Ocean Overturning Circulation</t>
  </si>
  <si>
    <t>JOURNAL OF PHYSICAL OCEANOGRAPHY</t>
  </si>
  <si>
    <t>Circulation; Dynamics; Abyssal circulation; Diapycnal mixing; Eddies; Ocean circulation; Atm; Ocean Structure; Phenomena; Bottom currents; bottom water</t>
  </si>
  <si>
    <t>SOUTHERN-OCEAN; INTERNAL WAVES; WORLD OCEAN; MEAN FLOW; EDDIES; DRIVEN; MODEL; DISSIPATION; TRANSPORTS</t>
  </si>
  <si>
    <t>The meridional overturning circulation (MOC) is composed of interconnected overturning cells that transport cold dense abyssal waters formed at high latitudes back to the surface. Turbulent diapycnal mixing plays a primary role in setting the rate and patterns of the various overturning cells that constitute the MOC. The focus of the analyses in this paper will be on the influence of sharp vertical variations in mixing on the MOC and ocean stratification. Mixing is enhanced close to the ocean bottom topography where internal waves generated by the interaction of tides and geostrophic motions with topography break. It is shown that the sharp vertical variations in mixing lead to the formation of three layers with different dynamical balances governing meridional flow. Specifically, an abyssal bottom boundary layer forms above the ocean floor where mixing is largest and hosts the northward transport of the heaviest waters from the southern channel to the closed basins. A deep layer forms above the bottom layer in which the upwelled waters return south. A third adiabatic layer lies above the other two. While the adiabatic layer has been studied in detail in recent years, the deep and bottom layers are less appreciated. It is shown that the bottom layer, which is not resolved or allowed for in most idealized models, must be present to satisfy the no flux boundary condition at the ocean floor and that its thickness is set by the vertical profile of mixing. The deep layer spans a considerable depth range of the ocean within which the stratification scale is set by mixing, in line with the classic view of Munk in 1966.</t>
  </si>
  <si>
    <t>[Mashayek, A.; Ferrari, R.] MIT, Cambridge, MA 02139 USA; [Nikurashin, M.] Univ Tasmania, Inst Marine &amp; Antarctic Studies, Hobart, Tas, Australia; [Nikurashin, M.] ARC Ctr Excellence Climate Syst Sci, Sydney, NSW, Australia; [Peltier, W. R.] Univ Toronto, Toronto, ON, Canada</t>
  </si>
  <si>
    <t>Massachusetts Institute of Technology (MIT); University of Tasmania; ARC Centre of Excellence for Climate System Science; University of Toronto</t>
  </si>
  <si>
    <t>Mashayek, A (corresponding author), MIT, 77 Massachusetts Ave, Cambridge, MA 02139 USA.</t>
  </si>
  <si>
    <t>ali_mash@mit.edu</t>
  </si>
  <si>
    <t>Nikurashin, Maxim/P-4018-2019; Peltier, William R./A-1102-2008</t>
  </si>
  <si>
    <t>Nikurashin, Maxim/0000-0002-5714-8343</t>
  </si>
  <si>
    <t>NSF [OCE-1233832]; NSERC postdoctoral fellowship; Division Of Ocean Sciences; Directorate For Geosciences [1233832] Funding Source: National Science Foundation</t>
  </si>
  <si>
    <t>NSF(National Science Foundation (NSF)); NSERC postdoctoral fellowship(Natural Sciences and Engineering Research Council of Canada (NSERC)); Division Of Ocean Sciences; Directorate For Geosciences(National Science Foundation (NSF)NSF - Directorate for Geosciences (GEO))</t>
  </si>
  <si>
    <t>A. M. and R. F. acknowledge NSF support through Award OCE-1233832. A. M. also acknowledges support from an NSERC postdoctoral fellowship. We wish to thank L. P. Nadeau for help with implementation of the numerical model as well as for many helpful comments on the manuscript. We also wish to thank T. Decloedt and K. Speer for providing the data for diffusivity profiles employed in the production of Fig 4.</t>
  </si>
  <si>
    <t>0022-3670</t>
  </si>
  <si>
    <t>1520-0485</t>
  </si>
  <si>
    <t>J PHYS OCEANOGR</t>
  </si>
  <si>
    <t>J. Phys. Oceanogr.</t>
  </si>
  <si>
    <t>10.1175/JPO-D-15-0039.1</t>
  </si>
  <si>
    <t>CS9MT</t>
  </si>
  <si>
    <t>Green Published, hybrid, Green Accepted, Green Submitted</t>
  </si>
  <si>
    <t>WOS:000362415900008</t>
  </si>
  <si>
    <t>Byun, HR; Park, CK</t>
  </si>
  <si>
    <t>Byun, Hi-Ryong; Park, Chang-Kyun</t>
  </si>
  <si>
    <t>Artificial Sea Ice Increasing to Mitigate Global Warming</t>
  </si>
  <si>
    <t>JOURNAL OF THE KOREAN EARTH SCIENCE SOCIETY</t>
  </si>
  <si>
    <t>albedo; artificial sea ice increasing; available freezing area; global warming</t>
  </si>
  <si>
    <t>This study suggests a method of alleviating global warming by the increase of the Earth surface albedo through Artificial Sea ice Increasing (ASI) over the Available Freezing Areas (AFA). The method is developed based on the fact that the large sea surface area in or near the Arctic and the Antarctic has no ice even though both water and air temperatures are below zero and the artificial sea ice generation is thus available. The mean energy of 0.85 W m(-2),which was suspected of adding to the earth by the global warming effect was calculated to offset at once when the sea ice area about 4.09x10(6) km(2) was additionally increased. In addition, three techniques for producing ice plates on the sea surface (using ships, installation apparatus, and floating matter such as Green Cell Foam) for ASI were proposed. According to the result of simple analysis using the energy balance model, when ASI was maximally operated only for 3 months (September, October, and November) over AFA, it is expected that the annual mean temperature of earth surface would be decreased about 0.11 degrees C in the following year. On the other hand, in case of generating the artificial sea ice in all four seasons, a risk of triggering snowball earth was detected.</t>
  </si>
  <si>
    <t>[Byun, Hi-Ryong] Pukyong Natl Univ, Dept Environm Atmospher Sci, Busan 48513, South Korea; [Park, Chang-Kyun] Seoul Natl Univ, Sch Earth &amp; Environm Sci, Seoul 08826, South Korea</t>
  </si>
  <si>
    <t>Pukyong National University; Seoul National University (SNU)</t>
  </si>
  <si>
    <t>Park, CK (corresponding author), Seoul Natl Univ, Sch Earth &amp; Environm Sci, Seoul 08826, South Korea.</t>
  </si>
  <si>
    <t>qkrxp@snu.ac.kr</t>
  </si>
  <si>
    <t>Park, Chang-Kyun/0000-0001-9485-5007</t>
  </si>
  <si>
    <t>Pukyong National University</t>
  </si>
  <si>
    <t>This work was supported by a Research Grant of Pukyong National University (2014).</t>
  </si>
  <si>
    <t>KOREAN EARTH SCIENCE SOC</t>
  </si>
  <si>
    <t>CHEONG-WON-GUN</t>
  </si>
  <si>
    <t>KOREAN EARTH SCIENCE SOC, CHEONG-WON-GUN, 00000, SOUTH KOREA</t>
  </si>
  <si>
    <t>1225-6692</t>
  </si>
  <si>
    <t>2287-4518</t>
  </si>
  <si>
    <t>J KOR EARTH SCI SOC</t>
  </si>
  <si>
    <t>J. Kor. Earth Sci. Soc.</t>
  </si>
  <si>
    <t>10.5467/JKESS.2015.36.6.501</t>
  </si>
  <si>
    <t>VE5KL</t>
  </si>
  <si>
    <t>WOS:000439562600001</t>
  </si>
  <si>
    <t>Sinclair, BJ; Alvarado, LEC; Ferguson, LV</t>
  </si>
  <si>
    <t>Sinclair, Brent J.; Alvarado, Litza E. Coello; Ferguson, Laura V.</t>
  </si>
  <si>
    <t>An invitation to measure insect cold tolerance: Methods, approaches, and workflow</t>
  </si>
  <si>
    <t>JOURNAL OF THERMAL BIOLOGY</t>
  </si>
  <si>
    <t>Chill coma; Critical thermal minimum; Supercooling point; Cold tolerance strategy; Lower lethal temperature; Rapid cold-hardening; Acclimation; Deacclimation; Phenotypic plasticity; Experimental design</t>
  </si>
  <si>
    <t>CHILL-COMA RECOVERY; CRITICAL THERMAL LIMITS; SUB-ANTARCTIC CATERPILLAR; NEW-ZEALAND ALPINE; PRINGLEOPHAGA-MARIONI LEPIDOPTERA; ALPHITOBIUS-DIAPERINUS COLEOPTERA; LOW-TEMPERATURE; FREEZING-TOLERANCE; DROSOPHILA-MELANOGASTER; SUPERCOOLING POINTS</t>
  </si>
  <si>
    <t>Insect performance is limited by the temperature of the environment, and in temperate, polar, and alpine regions, the majority of insects must face the challenge of exposure to low temperatures. The physiological response to cold exposure shapes the ability of insects to survive and thrive in these environments, and can be measured, without great technical difficulty, for both basic and applied research. For example, understanding insect cold tolerance allows us to predict the establishment and spread of insect pests and biological control agents. Additionally, the discipline provides the tools for drawing physiological comparisons among groups in wider studies that may not be focused primarily on the ability of insects to survive the cold. Thus, the study of insect cold tolerance is of a broad interest, and several reviews have addressed the theories and advances in the field. Here, however, we aim to clarify and provide rationale for common practices used to study cold tolerance, as a guide for newcomers to the field, students, and those wishing to incorporate cold tolerance into a broader study. We cover the 'tried and true' measures of insect cold tolerance, the equipment necessary for these measurement, and summarize the ecological and biological significance of each. Finally, we suggest a framework and workflow for measuring cold tolerance and low temperature performance in insects. (C) 2015 Elsevier Ltd. All rights reserved.</t>
  </si>
  <si>
    <t>[Sinclair, Brent J.; Alvarado, Litza E. Coello; Ferguson, Laura V.] Univ Western Ontario, Dept Biol, London, ON N6A 5B7, Canada</t>
  </si>
  <si>
    <t>Western University (University of Western Ontario)</t>
  </si>
  <si>
    <t>Sinclair, BJ (corresponding author), Univ Western Ontario, Dept Biol, London, ON N6A 5B7, Canada.</t>
  </si>
  <si>
    <t>bsincla7@uwo.ca</t>
  </si>
  <si>
    <t>Sinclair, Brent J/C-6133-2012</t>
  </si>
  <si>
    <t>Sinclair, Brent/0000-0002-8191-9910</t>
  </si>
  <si>
    <t>Canadian Food Inspection Agency [3872188]; Natural Sciences and Engineering Research Council of Canada; Canadian Food Inspection Agency; Ontario Ministry for Research and Innovation; Canadian Foundation for Innovation; University of Western Ontario; National Institutes of Health (USA)</t>
  </si>
  <si>
    <t>Canadian Food Inspection Agency; Natural Sciences and Engineering Research Council of Canada(Natural Sciences and Engineering Research Council of Canada (NSERC)CGIAR); Canadian Food Inspection Agency; Ontario Ministry for Research and Innovation(Ministry of Research and Innovation, Ontario); Canadian Foundation for Innovation(Canada Foundation for Innovation); University of Western Ontario; National Institutes of Health (USA)(United States Department of Health &amp; Human ServicesNational Institutes of Health (NIH) - USA)</t>
  </si>
  <si>
    <t>This document is derived from one originally commissioned by the Canadian Food Inspection Agency under Research Contract number 3872188. Thanks to Martin Damus and Ruth jakobs for comments on earlier drafts, Stephanie Sobek-Swant for some initial discussions, and Eric Moise, Kennan Oyen, Inon Scharf, and two anonymous reviewers for feedback on a later draft. BJS thanks David Wharton, Bill Block, Roger Worland and Hans Ramlov for introducing him to the methods of insect cold tolerance. LVF was supported by a postgraduate scholarship from the Natural Sciences and Engineering Research Council of Canada. Work by BJS on insect cold tolerance in Canada has been supported by the Natural Sciences and Engineering Research Council of Canada, the Canadian Food Inspection Agency, The Ontario Ministry for Research and Innovation, the Canadian Foundation for Innovation, The University of Western Ontario, and the National Institutes of Health (USA).</t>
  </si>
  <si>
    <t>0306-4565</t>
  </si>
  <si>
    <t>J THERM BIOL</t>
  </si>
  <si>
    <t>J. Therm. Biol.</t>
  </si>
  <si>
    <t>10.1016/j.jtherbio.2015.11.003</t>
  </si>
  <si>
    <t>Biology; Zoology</t>
  </si>
  <si>
    <t>Life Sciences &amp; Biomedicine - Other Topics; Zoology</t>
  </si>
  <si>
    <t>CY3XC</t>
  </si>
  <si>
    <t>WOS:000366342200023</t>
  </si>
  <si>
    <t>Leea, JJ; Kim, JK</t>
  </si>
  <si>
    <t>Leea, Jung Jin; Kim, Jae Kyoung</t>
  </si>
  <si>
    <t>A Study of Outlier Detection Using the Mixture of Extreme Distributions Based on Deep-Sea Fishery Data</t>
  </si>
  <si>
    <t>KOREAN JOURNAL OF APPLIED STATISTICS</t>
  </si>
  <si>
    <t>Korean</t>
  </si>
  <si>
    <t>outlier detection; mixture of extreme distributions</t>
  </si>
  <si>
    <t>Deep-sea fishery in the Antarctic Ocean has been actively progressed by the developed countries including Korea. In order to prevent the environmental destruction of the Antarctic Ocean, related countries have established the Commission for the Conservation of Antarctic Marine Living Resources (CCAMLR) and have monitored any illegal unreported or unregulated fishing. Fishing of tooth fish, an expensive fish, in the Antarctic Ocean has increased recently and high catches per unit effort (CPUE) of fishing boats, which is suspicious for an illegal activity, have been frequently reported. The data of CPUEs in a fishing area of the Antarctic Ocean often show an extreme Distribution or a mixture of two extreme distributions. This paper proposes an algorithm to detect an outlier of CPUEs by using the mixture of two extreme distributions. The parameters of the mixture distribution are estimated by the EM algorithm. Log likelihood value and posterior probabilities are used to detect an outlier. Experiments show that the proposed algorithm to detect outlier of the data can be adopted instead of simple criteria such as a CPUE is greater than 1.</t>
  </si>
  <si>
    <t>[Leea, Jung Jin; Kim, Jae Kyoung] Soongsil Univ, Dept Stat, Seoul 156743, South Korea</t>
  </si>
  <si>
    <t>Soongsil University</t>
  </si>
  <si>
    <t>Leea, JJ (corresponding author), Soongsil Univ, Dept Stat, Seoul 156743, South Korea.</t>
  </si>
  <si>
    <t>jjlee@ssu.ac.kr</t>
  </si>
  <si>
    <t>KOREAN STATISTICAL SOC</t>
  </si>
  <si>
    <t>SEOUL</t>
  </si>
  <si>
    <t>SCIENCE &amp; TECHNOLOGY, BLDG RM 709, 635-4 YEOGSAM-DONG, KANGNAM-GU, SEOUL, 135-703, SOUTH KOREA</t>
  </si>
  <si>
    <t>1225-066X</t>
  </si>
  <si>
    <t>2383-5818</t>
  </si>
  <si>
    <t>KOREAN J APPL STAT</t>
  </si>
  <si>
    <t>Korean J. Appl. Stat.</t>
  </si>
  <si>
    <t>10.5351/KJAS.2015.28.5.847</t>
  </si>
  <si>
    <t>Statistics &amp; Probability</t>
  </si>
  <si>
    <t>Mathematics</t>
  </si>
  <si>
    <t>VD7RO</t>
  </si>
  <si>
    <t>WOS:000437602300001</t>
  </si>
  <si>
    <t>Riesgo, A; Taboada, S; Avila, C</t>
  </si>
  <si>
    <t>Riesgo, Ana; Taboada, Sergi; Avila, Conxita</t>
  </si>
  <si>
    <t>Evolutionary patterns in Antarctic marine invertebrates: An update on molecular studies</t>
  </si>
  <si>
    <t>Marine benthos; Phylogeography; Phylogenetics; Genetic connectivity; Speciation</t>
  </si>
  <si>
    <t>OPEN-OCEAN BARRIERS; SOUTHERN-OCEAN; GENETIC-STRUCTURE; MITOCHONDRIAL LINEAGES; CRYPTIC SPECIATION; PROMACHOCRINUS-KERGUELENSIS; SPECIES DELIMITATION; CONTINENTAL-SHELF; DNA TAXONOMY; DEEP-WATER</t>
  </si>
  <si>
    <t>The present distribution of Antarctic marine invertebrates has been driven by their phylogeographic history, their dispersal capabilities, and the ability of resident species and new colonizers to adapt to the changing extreme environmental conditions. The processes behind the structuring and distribution of marine Antarctic fauna have been approached using a wide array of methodologies, but it is only recently that the advent of molecular sequencing technologies has provided an enormous potential to shed light on such driving forces. In this review we aim to provide a comprehensive view of the most common molecular techniques applied to assess the genetic diversity and connectivity in the Antarctic marine realm, and how they have advanced our understanding of the evolutionary patterns of marine invertebrates in the Southern Ocean. The different results obtained for the most commonly studied Antarctic invertebrates (arthropods, molluscs, and echinoderms) have often revealed contrasting stories explained by both the dispersive capabilities of the species involved and/or sheltering processes in refuges during glacial cycles, which highlight the need for further studies. In addition, we suggest that the sampling of neglected taxa and collecting in understudied areas should help to understand wider distribution and gene flow patterns among Antarctic marine invertebrates. (C) 2015 Elsevier B.V. All rights reserved.</t>
  </si>
  <si>
    <t>Univ Barcelona, Fac Biol, Dept Anim Biol, E-08028 Barcelona, Catalonia, Spain; Univ Barcelona, Fac Biol, Biodivers Res Inst IrBIO, E-08028 Barcelona, Catalonia, Spain</t>
  </si>
  <si>
    <t>University of Barcelona; University of Barcelona</t>
  </si>
  <si>
    <t>Riesgo, A (corresponding author), Nat Hist Museum, Dept Life Sci, Cromwell Rd, London SW7 5BD, England.</t>
  </si>
  <si>
    <t>A.Riesgo@nhm.ac.uk</t>
  </si>
  <si>
    <t>Riesgo, Ana/E-3341-2014; Taboada, Sergi/AAB-9390-2021; Avila, Conxita/B-9466-2008</t>
  </si>
  <si>
    <t>Riesgo, Ana/0000-0002-7993-1523; Taboada, Sergi/0000-0003-1669-1152; Avila, Conxita/0000-0002-5489-8376</t>
  </si>
  <si>
    <t>Spanish Government through the ACTIQUIM-II [CTM2010-17415/ANT]; DISTANTCOM [CTM2013-42667/ANT]; program Juan de la Cierva of the Spanish Ministry of Economy</t>
  </si>
  <si>
    <t>Spanish Government through the ACTIQUIM-II; DISTANTCOM; program Juan de la Cierva of the Spanish Ministry of Economy</t>
  </si>
  <si>
    <t>Thanks are due to the editors for inviting us to prepare this manuscript for Marine Genomics and an anonymous reviewer for the very helpful suggestions and comments. We are indebted to J. Moles for his help in the figure preparation and I. Man for supplying the template of the Antarctic map. Funding was provided by the Spanish Government through the ACTIQUIM-II (CTM2010-17415/ANT) and DISTANTCOM (CTM2013-42667/ANT) grants. AR was funded by the program Juan de la Cierva of the Spanish Ministry of Economy. This is a contribution of the ANT-ECO SCAR program.</t>
  </si>
  <si>
    <t>10.1016/j.margen.2015.07.005</t>
  </si>
  <si>
    <t>WOS:000362618000001</t>
  </si>
  <si>
    <t>Martins, MJF; Lago-Leston, A; Anjos, A; Duarte, CM; Agusti, S; Serrao, EA; Pearson, GA</t>
  </si>
  <si>
    <t>Martins, Maria Joao F.; Lago-Leston, Asuncion; Anjos, Antonio; Duarte, Carlos M.; Agusti, Susana; Serrao, Ester A.; Pearson, Gareth A.</t>
  </si>
  <si>
    <t>A transcriptome resource for Antarctic krill (Euphausia superba Dana) exposed to short-term stress</t>
  </si>
  <si>
    <t>454 pyrosequencing; UV; Food shortage</t>
  </si>
  <si>
    <t>EXPRESSION</t>
  </si>
  <si>
    <t>Euphausia superba is a keystone species in Antarctic food webs. However, the continued decrease in stock density raises concerns over the resilience and adaptive potential of krill to withstand the current rate of environmental change. We undertook a transcriptome-scale approach (454 pyrosequencing) as a baseline for future studies addressing the physiological response of krill to short-term food shortage and natural UV-B stress. The final assembly resulted in a total of 26,415 contigs, 39.8% of which were putatively annotated. Exploratory analyses indicate an overall reduction in protein synthesis under food shortage while UV stress resulted in the activation of photoprotective mechanisms. (C) 2015 Elsevier B.V. All rights reserved.</t>
  </si>
  <si>
    <t>[Martins, Maria Joao F.; Lago-Leston, Asuncion; Anjos, Antonio; Serrao, Ester A.; Pearson, Gareth A.] Univ Algarve, CCMAR, P-8005139 Faro, Portugal; [Anjos, Antonio] ISMAT Inst Super Manuel Teixeira Gomes, P-8500508 Portimao, Portugal; [Duarte, Carlos M.; Agusti, Susana] King Abdullah Univ Sci &amp; Technol, Red Sea Res Ctr, Thuwal 239556900, Saudi Arabia</t>
  </si>
  <si>
    <t>Universidade do Algarve; King Abdullah University of Science &amp; Technology</t>
  </si>
  <si>
    <t>Pearson, GA (corresponding author), Univ Algarve, CCMAR, P-8005139 Faro, Portugal.</t>
  </si>
  <si>
    <t>Lago-Leston, Asuncion/AFS-1438-2022; Lago-Lestón, Asunción/AFR-8125-2022; Agusti, Susana/G-2864-2017; Fernandes Martins, M. Joao/A-6948-2013; Pearson, Gareth A/J-3911-2013; Duarte Quesada, Carlos Manuel/ABD-6208-2021; Serrao, Ester A/C-6686-2012; Duarte, Carlos M/A-7670-2013; Anjos, Antonio/M-7604-2013</t>
  </si>
  <si>
    <t>Lago-Leston, Asuncion/0000-0003-4361-7732; Lago-Lestón, Asunción/0000-0003-4361-7732; Agusti, Susana/0000-0003-0536-7293; Fernandes Martins, M. Joao/0000-0002-9118-7397; Pearson, Gareth A/0000-0002-0768-464X; Serrao, Ester A/0000-0003-1316-658X; Duarte, Carlos M/0000-0002-1213-1361; Anjos, Antonio/0000-0001-6521-8930</t>
  </si>
  <si>
    <t>Spanish Ministry of Economy and Competitivity [POL2006-00550/CTM]; Portuguese Science Foundation (FCT) [PTCD/MAR/72630/2006, SFRFI/BPD/69956/2010, SFRH/BPD/34282/2006]; Fundação para a Ciência e a Tecnologia [SFRH/BPD/34282/2006] Funding Source: FCT</t>
  </si>
  <si>
    <t>Spanish Ministry of Economy and Competitivity(Spanish Government); Portuguese Science Foundation (FCT)(Fundacao para a Ciencia e a Tecnologia (FCT)); Fundação para a Ciência e a Tecnologia(Fundacao para a Ciencia e a Tecnologia (FCT))</t>
  </si>
  <si>
    <t>We thank the Hesperides crew and cruise participants for their help and support. The work was funded by the project ATOS (CMD) of the Spanish Ministry of Economy and Competitivity (POL2006-00550/CTM) and by the Portuguese Science Foundation (FCT) through project PTCD/MAR/72630/2006 (GAP) and two postdoctoral fellowships (SFRFI/BPD/69956/2010 to MJFM and SFRH/BPD/34282/2006 to AL-L).</t>
  </si>
  <si>
    <t>10.1016/j.margen.2015.04.008</t>
  </si>
  <si>
    <t>WOS:000362618000010</t>
  </si>
  <si>
    <t>Pussini, N; Goebel, ME</t>
  </si>
  <si>
    <t>Pussini, Nicola; Goebel, Michael E.</t>
  </si>
  <si>
    <t>A safer protocol for field immobilization of leopard seals (Hydrurgaleptonyx)</t>
  </si>
  <si>
    <t>LEPTONYCHOTES-WEDDELLII; ANESTHESIA; MIDAZOLAM; KETAMINE; BEHAVIOR; TELAZOL</t>
  </si>
  <si>
    <t>[Pussini, Nicola] Acquario Genova Costaedutainment Spa, Ponte Spinola, Area Porto Ant, I-16128 Genoa, Italy; [Goebel, Michael E.] NOAA, NMFS, SW Fisheries Sci Ctr, Antarctic Ecosyst Res Div, La Jolla, CA 92037 USA</t>
  </si>
  <si>
    <t>Goebel, ME (corresponding author), NOAA, NMFS, SW Fisheries Sci Ctr, Antarctic Ecosyst Res Div, 8901 La Jolla Shores Dr, La Jolla, CA 92037 USA.</t>
  </si>
  <si>
    <t>mike.goebel@noaa.gov</t>
  </si>
  <si>
    <t>10.1111/mms.12232</t>
  </si>
  <si>
    <t>WOS:000363284900014</t>
  </si>
  <si>
    <t>Proud, R; Cox, MJ; Wotherspoon, S; Brierley, AS</t>
  </si>
  <si>
    <t>Proud, Roland; Cox, Martin J.; Wotherspoon, Simon; Brierley, Andrew S.</t>
  </si>
  <si>
    <t>A method for identifying Sound Scattering Layers and extracting key characteristics</t>
  </si>
  <si>
    <t>METHODS IN ECOLOGY AND EVOLUTION</t>
  </si>
  <si>
    <t>biological communities; biological layers; deep scattering layers; diel vertical migration; marine acoustics; mid-trophic level; pelagic ecology; sound scattering layer extraction method; SSL metrics</t>
  </si>
  <si>
    <t>VERTICAL STRUCTURE; SCALE DISTRIBUTION; DYNAMICS; FISH; KRILL</t>
  </si>
  <si>
    <t>Mid-trophic level water-column (pelagic) marine communities comprise millions of tonnes of zooplankton and micronekton that form dense and geographically extensive layers, known as sound scattering layers (SSLs) when observed acoustically. SSLs are ubiquitous in the global ocean, and individual layers can span entire ocean basins. Many SSLs exhibit clear diel vertical migration behaviour. Vertical migrations contribute substantially to the biological pump', such that SSLs have important global biogeochemical roles: SSLs are important conduits for vertical energy and nutrient flow. Ship-based remote sensing of SSLs using acoustic instruments (echosounders) enables their shape and density to be quantified, but despite SSLs being discovered in the 1940s, there is no consistent method for identifying or characterising SSLs. This hampers ecological and biogeographical studies of SSLs. We have developed an automated and reproducible method for SSL identification and characterisation, the sound scattering layer extraction method (SSLEM). It functions independently of echosounder frequency and the spatial scale (vertical and horizontal) of the data. Here we demonstrate the SSLEM through its application to identify SSLs in data gathered to a depth of 1000m using 38 kHz hull-mounted echosounders in the south-west Indian Ocean and Tasman Sea. SSLs were identified in the water column as horizontally extensive echoes that were above background noise. For each identified SSL, a set of 9 quantitative SSL metrics' (describing their shape, dynamics and acoustic backscattering distribution) were determined, enabling inferences to be made concerning the spatial arrangement, distribution and heterogeneity of the biological community. The method was validated by comparing its output to a set of visually derived SSL metrics that were evaluated independently by 8 students. The SSLEM outperformed the by-eye analysis, identifying three times the number of SSLs and with greater validity; 95% of SSLs identified by the SSLEM were deemed valid, compared to 75% by the students. In the same way that data obtained from satellites have enabled the study and characterisation of global phytoplankton distribution and production, we envisage that the SSLEM will facilitate robust, repeatable and quantitative analysis of the growing body of SSL observations arising from underway-acoustic observations, enhancing our understanding of global ocean function.</t>
  </si>
  <si>
    <t>[Proud, Roland; Brierley, Andrew S.] Univ St Andrews, Scottish Oceans Inst, Pelag Ecol Res Grp, St Andrews KY16 8LB, Fife, Scotland; [Proud, Roland; Cox, Martin J.; Wotherspoon, Simon] Australian Antarctic Div, Kingston, Tas 7050, Australia; [Proud, Roland; Wotherspoon, Simon] Univ Tasmania, Inst Marine &amp; Antarctic Studies, Hobart, Tas 7004, Australia</t>
  </si>
  <si>
    <t>University of St Andrews; Australian Antarctic Division; University of Tasmania</t>
  </si>
  <si>
    <t>Proud, R (corresponding author), Univ St Andrews, Scottish Oceans Inst, Pelag Ecol Res Grp, St Andrews KY16 8LB, Fife, Scotland.</t>
  </si>
  <si>
    <t>rp43@st-andrews.ac.uk</t>
  </si>
  <si>
    <t>Wotherspoon, Simon J/B-2390-2013; Brierley, Andrew/G-8019-2011</t>
  </si>
  <si>
    <t>Wotherspoon, Simon J/0000-0002-6947-4445; Proud, Roland/0000-0002-8647-5562; Brierley, Andrew/0000-0002-6438-6892</t>
  </si>
  <si>
    <t>2041-210X</t>
  </si>
  <si>
    <t>2041-2096</t>
  </si>
  <si>
    <t>METHODS ECOL EVOL</t>
  </si>
  <si>
    <t>Methods Ecol. Evol.</t>
  </si>
  <si>
    <t>10.1111/2041-210X.12396</t>
  </si>
  <si>
    <t>CT6IF</t>
  </si>
  <si>
    <t>WOS:000362916000008</t>
  </si>
  <si>
    <t>Cavicchioli, R; Erdmann, S</t>
  </si>
  <si>
    <t>Cavicchioli, Ricardo; Erdmann, Susanne</t>
  </si>
  <si>
    <t>The discovery of Antarctic RNA viruses: a new game changer</t>
  </si>
  <si>
    <t>MOLECULAR ECOLOGY</t>
  </si>
  <si>
    <t>bioinfomatics/phyloinfomatics; community ecology; ecological genetics; genomics/proteomics; metagenomics; molecular evolution</t>
  </si>
  <si>
    <t>DYNAMICS; LAKES</t>
  </si>
  <si>
    <t>Antarctic ecosystems are dominated by micro-organisms, and viruses play particularly important roles in the food webs. Since the first report in 2009 (Lopez-Bueno etal. ), omic'-based studies have greatly enlightened our understanding of Antarctic aquatic microbial diversity and ecosystem function (Wilkins etal. ; Cavicchioli ). This has included the discovery of many new eukaryotic viruses (Lopez-Bueno etal. ), virophage predators of algal viruses (Yau etal. ), bacteria with resistance to phage (Lauro etal. ) and mechanisms of haloarchaeal evasion, defence and adaptation to viruses (Tschitschko etal. ). In this issue of Molecular Ecology, Lopez-Bueno etal. () report the first discovery of RNA viruses from an Antarctic aquatic environment. High sequence coverage enabled genome variation to be assessed for four positive-sense single-stranded RNA viruses from the order Picornavirales. By examining the populations present in the water column and in the lake's catchment area, populations of quasispecies' were able to be linked to local environmental factors. In view of the importance of viruses in Antarctic ecosystems but lack of data describing them, this study represents a significant advance in the field.</t>
  </si>
  <si>
    <t>[Cavicchioli, Ricardo; Erdmann, Susanne] Univ New S Wales, Sch Biotechnol &amp; Biomol Sci, Sydney, NSW 2052, Australia</t>
  </si>
  <si>
    <t>Erdmann, Susanne/Q-8771-2019; Erdmann, Susanne/O-7736-2017; Cavicchioli, Ricardo/D-4341-2013</t>
  </si>
  <si>
    <t>Erdmann, Susanne/0000-0003-3190-4451; Cavicchioli, Ricardo/0000-0001-8989-6402</t>
  </si>
  <si>
    <t>0962-1083</t>
  </si>
  <si>
    <t>1365-294X</t>
  </si>
  <si>
    <t>MOL ECOL</t>
  </si>
  <si>
    <t>Mol. Ecol.</t>
  </si>
  <si>
    <t>10.1111/mec.13387</t>
  </si>
  <si>
    <t>Biochemistry &amp; Molecular Biology; Ecology; Evolutionary Biology</t>
  </si>
  <si>
    <t>Biochemistry &amp; Molecular Biology; Environmental Sciences &amp; Ecology; Evolutionary Biology</t>
  </si>
  <si>
    <t>CS6NA</t>
  </si>
  <si>
    <t>WOS:000362194900001</t>
  </si>
  <si>
    <t>López-Bueno, A; Rastrojo, A; Peiró, R; Arenas, M; Alcamí, A</t>
  </si>
  <si>
    <t>Lopez-Bueno, A.; Rastrojo, A.; Peiro, R.; Arenas, M.; Alcami, A.</t>
  </si>
  <si>
    <t>Ecological connectivity shapes quasispecies structure of RNA viruses in an Antarctic lake</t>
  </si>
  <si>
    <t>Antarctica; ecological connectivity; metagenomics; Picornavirales; quasispecies; RNA virus</t>
  </si>
  <si>
    <t>SOUTH SHETLAND ISLANDS; PICORNA-LIKE VIRUSES; METAGENOMIC ANALYSIS; BYERS PENINSULA; LIVINGSTON ISLAND; MARITIME ANTARCTICA; MARINE VIRUSES; HIGH DIVERSITY; SEQUENCE; COMMUNITIES</t>
  </si>
  <si>
    <t>RNA viruses exist as complex mixtures of genotypes, known as quasispecies, where the evolution potential resides in the whole community of related genotypes. Quasispecies structure and dynamics have been studied in detail for virus infecting animals and plants but remain unexplored for those infecting micro-organisms in environmental samples. We report the first metagenomic study of RNA viruses in an Antarctic lake (Lake Limnopolar, Livingston Island). Similar to low-latitude aquatic environments, this lake harbours an RNA virome dominated by positive single-strand RNA viruses from the order Picornavirales probably infecting micro-organisms. Antarctic picorna-like virus 1 (APLV1), one of the most abundant viruses in the lake, does not incorporate any mutation in the consensus sequence from 2006 to 2010 and shows stable quasispecies with low-complexity indexes. By contrast, APLV2-APLV3 are detected in the lake water exclusively in summer samples and are major constituents of surrounding cyanobacterial mats. Their quasispecies exhibit low complexity in cyanobacterial mat, but their run-off-mediated transfer to the lake results in a remarkable increase of complexity that may reflect the convergence of different viral quasispecies from the catchment area or replication in a more diverse host community. This is the first example of viral quasispecies from natural aquatic ecosystems and points to ecological connectivity as a modulating factor of quasispecies complexity.</t>
  </si>
  <si>
    <t>[Lopez-Bueno, A.; Rastrojo, A.; Peiro, R.; Arenas, M.; Alcami, A.] Univ Autonoma Madrid, Dept Virol &amp; Microbiol, CSIC, Ctr Biol Mol Severo Ochoa, E-28049 Madrid, Spain</t>
  </si>
  <si>
    <t>Autonomous University of Madrid; Consejo Superior de Investigaciones Cientificas (CSIC); CSIC - Centro de Biologia Molecular Severo Ochoa (CBM)</t>
  </si>
  <si>
    <t>Alcamí, A (corresponding author), Univ Autonoma Madrid, Dept Virol &amp; Microbiol, CSIC, Ctr Biol Mol Severo Ochoa, Nicolas Cabrera 1, E-28049 Madrid, Spain.</t>
  </si>
  <si>
    <t>aalcami@cbm.csic.es</t>
  </si>
  <si>
    <t>Rastrojo, Alberto/N-4607-2014; Arenas, Miguel/C-4831-2009; Alcami, Antonio/F-8512-2015</t>
  </si>
  <si>
    <t>Rastrojo, Alberto/0000-0003-4381-7267; Arenas, Miguel/0000-0002-0516-2717; Alcami, Antonio/0000-0002-3333-6016; Lopez-Bueno, Alberto/0000-0002-6324-8623</t>
  </si>
  <si>
    <t>Spanish Polar Programme; Spanish Ministry of Economy and Competitiveness [CTM2008-05134-E/ANT, CTM2009-08644-E]; 'Ramon y Cajal' fellowship from Spanish Ministry of Economy and Competitiveness; 'Juan de la Cierva' fellowship from Spanish Ministry of Economy and Competitiveness</t>
  </si>
  <si>
    <t>Spanish Polar Programme; Spanish Ministry of Economy and Competitiveness(Spanish Government); 'Ramon y Cajal' fellowship from Spanish Ministry of Economy and Competitiveness; 'Juan de la Cierva' fellowship from Spanish Ministry of Economy and Competitiveness</t>
  </si>
  <si>
    <t>This project was funded by the Spanish Polar Programme and the Spanish Ministry of Economy and Competitiveness (CTM2008-05134-E/ANT and CTM2009-08644-E). We thank Roche for their support to the Antarctic expedition. A.L-B. and M.A. were recipients of a 'Ramon y Cajal' and a 'Juan de la Cierva' fellowships from the Spanish Ministry of Economy and Competitiveness, respectively. We thank Esteban Domingo, Francisco Sobrino and Antonio Quesada for helpful comments and discussion. We thank the logistic support from the Maritime Technology Unit (CSIC) and Las Palmas crew (Spanish Navy). We also thank David Velazquez for sampling the lake in 2007 and Pepe Belio for digital art support.</t>
  </si>
  <si>
    <t>10.1111/mec.13321</t>
  </si>
  <si>
    <t>WOS:000362194900002</t>
  </si>
  <si>
    <t>Jarman, SN; Polanowski, AM; Faux, CE; Robbins, J; De Paoli-Iseppi, R; Bravington, M; Deagle, BE</t>
  </si>
  <si>
    <t>Jarman, Simon N.; Polanowski, Andrea M.; Faux, Cassandra E.; Robbins, Jooke; De Paoli-Iseppi, Ricardo; Bravington, Mark; Deagle, Bruce E.</t>
  </si>
  <si>
    <t>Molecular biomarkers for chronological age in animal ecology</t>
  </si>
  <si>
    <t>DNA methylation; epigenetic; gerontology; kinship; miRNA</t>
  </si>
  <si>
    <t>DNA METHYLATION CHANGES; TELOMERE LENGTH; PAIRWISE RELATEDNESS; QUANTITATIVE PCR; OXIDATIVE DAMAGE; POPULATION-SIZE; SKELETAL-MUSCLE; QUALITY-CONTROL; MESSENGER-RNA; SENESCENCE</t>
  </si>
  <si>
    <t>The chronological age of an individual animal predicts many of its biological characteristics, and these in turn influence population-level ecological processes. Animal age information can therefore be valuable in ecological research, but many species have no external features that allow age to be reliably determined. Molecular age biomarkers provide a potential solution to this problem. Research in this area of molecular ecology has so far focused on a limited range of age biomarkers. The most commonly tested molecular age biomarker is change in average telomere length, which predicts age well in a small number of species and tissues, but performs poorly in many other situations. Epigenetic regulation of gene expression has recently been shown to cause age-related modifications to DNA and to cause changes in abundance of several RNA types throughout animal lifespans. Age biomarkers based on these epigenetic changes, and other new DNA-based assays, have already been applied to model organisms, humans and a limited number of wild animals. There is clear potential to apply these marker types more widely in ecological studies. For many species, these new approaches will produce age estimates where this was previously impractical. They will also enable age information to be gathered in cross-sectional studies and expand the range of demographic characteristics that can be quantified with molecular methods. We describe the range of molecular age biomarkers that have been investigated to date and suggest approaches for developing the newer marker types as age assays in nonmodel animal species.</t>
  </si>
  <si>
    <t>[Jarman, Simon N.; Polanowski, Andrea M.; Faux, Cassandra E.; De Paoli-Iseppi, Ricardo; Deagle, Bruce E.] Australian Antarctic Div, 203 Channel Highway, Kingston, Tas 7050, Australia; [Robbins, Jooke] Ctr Coastal Studies, Provincetown, MA 02657 USA; [De Paoli-Iseppi, Ricardo] Univ Tasmania, Inst Marine &amp; Antarctic Studies, Hobart, Tas 7000, Australia; [Bravington, Mark] Commonwealth Sci &amp; Ind Res Org, Marine Lab, Hobart, Tas 7000, Australia</t>
  </si>
  <si>
    <t>Australian Antarctic Division; University of Tasmania; Commonwealth Scientific &amp; Industrial Research Organisation (CSIRO)</t>
  </si>
  <si>
    <t>Jarman, SN (corresponding author), Australian Antarctic Div, 203 Channel Highway, Kingston, Tas 7050, Australia.</t>
  </si>
  <si>
    <t>simon.jarman@aad.gov.au</t>
  </si>
  <si>
    <t>Bravington, Mark V/E-8897-2010; Deagle, Bruce E/R-2999-2019; Jarman, Simon/H-9265-2016</t>
  </si>
  <si>
    <t>Deagle, Bruce E/0000-0001-7651-3687; De Paoli-Iseppi, Ricardo/0000-0001-7724-9144; Robbins, Jooke/0000-0002-6382-722X; Polanowski, Andrea/0000-0002-9612-220X; Jarman, Simon/0000-0002-0792-9686</t>
  </si>
  <si>
    <t>Australian Antarctic Science project [4014]; Australian-American Fulbright Commission</t>
  </si>
  <si>
    <t>Australian Antarctic Science project; Australian-American Fulbright Commission</t>
  </si>
  <si>
    <t>This work was funded by Australian Antarctic Science project 4014 and the Australian-American Fulbright Commission. The manuscript was improved by the constructive comments of three anonymous reviewers.</t>
  </si>
  <si>
    <t>10.1111/mec.13357</t>
  </si>
  <si>
    <t>WOS:000362194900003</t>
  </si>
  <si>
    <t>Deagle, BE; Faux, C; Kawaguchi, S; Meyer, B; Jarman, SN</t>
  </si>
  <si>
    <t>Deagle, Bruce E.; Faux, Cassandra; Kawaguchi, So; Meyer, Bettina; Jarman, Simon N.</t>
  </si>
  <si>
    <t>Antarctic krill population genomics: apparent panmixia, but genome complexity and large population size muddy the water</t>
  </si>
  <si>
    <t>genotyping by sequencing; RAD sequencing; repetitive DNA; zooplankton</t>
  </si>
  <si>
    <t>EUPHAUSIA-SUPERBA DANA; MOLECULAR HYPERDIVERSITY; GENETIC DIFFERENTIATION; SEA-ICE; VARIABILITY; DIVERSITY; DISCOVERY; SELECTION; CURRENTS; MARKERS</t>
  </si>
  <si>
    <t>Antarctic krill (Euphausiasuperba; hereafter krill) are an incredibly abundant pelagic crustacean which has a wide, but patchy, distribution in the Southern Ocean. Several studies have examined the potential for population genetic structuring in krill, but DNA-based analyses have focused on a limited number of markers and have covered only part of their circum-Antarctic range. We used mitochondrial DNA and restriction site-associated DNA sequencing (RAD-seq) to investigate genetic differences between krill from five sites, including two from East Antarctica. Our mtDNA results show no discernible genetic structuring between sites separated by thousands of kilometres, which is consistent with previous studies. Using standard RAD-seq methodology, we obtained over a billion sequences from &gt;140krill, and thousands of variable nucleotides were identified at hundreds of loci. However, downstream analysis found that markers with sufficient coverage were primarily from multicopy genomic regions. Careful examination of these data highlights the complexity of the RAD-seq approach in organisms with very large genomes. To characterize the multicopy markers, we recorded sequence counts from variable nucleotide sites rather than the derived genotypes; we also examined a small number of manually curated genotypes. Although these analyses effectively fingerprinted individuals, and uncovered a minor laboratory batch effect, no population structuring was observed. Overall, our results are consistent with panmixia of krill throughout their distribution. This result may indicate ongoing gene flow. However, krill's enormous population size creates substantial panmictic inertia, so genetic differentiation may not occur on an ecologically relevant timescale even if demographically separate populations exist.</t>
  </si>
  <si>
    <t>[Deagle, Bruce E.; Faux, Cassandra; Kawaguchi, So; Jarman, Simon N.] Australian Antarctic Div, Kingston, Tas, Australia; [Deagle, Bruce E.; Kawaguchi, So] Antarctic Climate &amp; Ecosyst Cooperat Res Ctr, Hobart, Tas, Australia; [Meyer, Bettina] Helmholtz Ctr Polar &amp; Marine Res, Alfred Wegener Inst, Bremerhaven, Germany; [Meyer, Bettina] Carl von Ossietzky Univ Oldenburg, Inst Chem &amp; Biol Marine Environm, Oldenburg, Germany</t>
  </si>
  <si>
    <t>Australian Antarctic Division; Antarctic Climate &amp; Ecosystems Cooperative Research Centre (ACE CRC); Helmholtz Association; Alfred Wegener Institute, Helmholtz Centre for Polar &amp; Marine Research; Carl von Ossietzky Universitat Oldenburg</t>
  </si>
  <si>
    <t>Deagle, BE (corresponding author), Australian Antarctic Div, Kingston, Tas, Australia.</t>
  </si>
  <si>
    <t>Bruce.Deagle@aad.gov.au</t>
  </si>
  <si>
    <t>Kawaguchi, So/N-1795-2017; Meyer, Bettina/ABB-5311-2020; Deagle, Bruce E/R-2999-2019; Jarman, Simon/H-9265-2016</t>
  </si>
  <si>
    <t>Meyer, Bettina/0000-0001-6804-9896; Deagle, Bruce E/0000-0001-7651-3687; Jarman, Simon/0000-0002-0792-9686; Kawaguchi, So/0000-0002-2042-5095</t>
  </si>
  <si>
    <t>R.J.L. Hawke Post Doctoral Fellowship in Antarctic Environmental Science; Australian Antarctic Science Program (AAS) [4015]</t>
  </si>
  <si>
    <t>R.J.L. Hawke Post Doctoral Fellowship in Antarctic Environmental Science; Australian Antarctic Science Program (AAS)</t>
  </si>
  <si>
    <t>We thank the many people who helped by providing krill samples, in particular D. K. Steinberg (WAP, Palmer LTER sampling grid); Rob King and Natasha Waller (East Antarctic samples); Margaret Lindsay (Ross Sea); and the crews on each of the Antarctic voyages. We thank Jason Boone and Jenna Donovan for facilitating RAD-seq at Floragenex, and Susanne Saphic for extracting DNA from Lazarev Sea krill. Thanks also to Paige Eveson for help with some of the trickier R coding and to Steve Nicol for his enthusiasm in all things krill. This project is a contribution to the research program PACES II (topic 1, work-package 5) of the Alfred Wegener Institute. B.E.D. was supported by the R.J.L. Hawke Post Doctoral Fellowship in Antarctic Environmental Science. The research was funded by the Australian Antarctic Science Program (AAS Project 4015).</t>
  </si>
  <si>
    <t>10.1111/mec.13370</t>
  </si>
  <si>
    <t>WOS:000362194900010</t>
  </si>
  <si>
    <t>Chenoli, SN; Turner, J; Abu Samah, A</t>
  </si>
  <si>
    <t>Chenoli, Sheeba Nettukandy; Turner, John; Abu Samah, Azizan</t>
  </si>
  <si>
    <t>A Strong Wind Event on the Ross Ice Shelf, Antarctica: A Case Study of Scale Interactions</t>
  </si>
  <si>
    <t>MONTHLY WEATHER REVIEW</t>
  </si>
  <si>
    <t>Radiosonde observations; Satellite observations; Surface observations; Mesoscale models; Numerical weather prediction; forecasting</t>
  </si>
  <si>
    <t>MESOSCALE PREDICTION SYSTEM; POTENTIAL VORTICITY; KATABATIC WINDS; STRATIFIED FLOW; TRANSANTARCTIC MOUNTAINS; NUMERICAL-SIMULATION; GRAVITY-WAVES; CYCLOGENESIS; ISLAND; SEA</t>
  </si>
  <si>
    <t>In situ observations, satellite imagery, numerical weather prediction, and reanalysis fields are used to investigate the synoptic and mesoscale environment of a strong wind event (SWE) at McMurdo Station/Ross Island region on the Ross Ice Shelf, Antarctica, on 10 October 2003. The SWE occurred during the passage of a sequence of three mesoscale low pressure systems from the central Ross Ice Shelf to the southwest Ross Sea. A potential vorticity (PV) analysis showed that the lows drew air of continental origin down the glacial valleys of the Transantarctic Mountains and onto the ice shelf as a katabatic drainage flow. However, the analysis indicated that the air mass associated with the SWE was of recurved maritime origin drawn in by the second mesoscale low (L2). This air mass approached McMurdo Station from the south where interactions with the orography played a critical role. In the early stages of the event, when the wind speed was less than 10 m s(-1), the air was deflected around the topographical features, such as Minna Bluff and Black and White Islands. As the pressure gradient increased, winds of more than 10 m s(-1) crossed the orography and developed mountain waves along the lee slopes. When the Froude number became larger than 1, large-amplitude vertically propagating mountain waves developed over the McMurdo Station/Ross Island area, increasing the wind to 16 m s(-1). The reanalysis fields did not resolve the mesoscale lows; however, the Antarctic Mesoscale Prediction System (AMPS) model was able to simulate important characteristics of the SWE such as the mesoscale low pressure system, flow around the topographical barrier, and the mountain wave.</t>
  </si>
  <si>
    <t>[Chenoli, Sheeba Nettukandy; Turner, John; Abu Samah, Azizan] Univ Malaya, Natl Antarctic Res Ctr, Inst Postgrad Studies, Kuala Lumpur 50603, Malaysia; [Turner, John] British Antarctic Survey, Cambridge CB3 0ET, England</t>
  </si>
  <si>
    <t>Universiti Malaya; UK Research &amp; Innovation (UKRI); Natural Environment Research Council (NERC); NERC British Antarctic Survey</t>
  </si>
  <si>
    <t>Chenoli, SN (corresponding author), Univ Malaya, Natl Antarctic Res Ctr, Inst Postgrad Studies, Kuala Lumpur 50603, Malaysia.</t>
  </si>
  <si>
    <t>sheeba@um.edu.my</t>
  </si>
  <si>
    <t>ABU SAMAH, AZIZAN HJ/B-8295-2010; Chenoli, Sheeba Nettukandy/G-6726-2012</t>
  </si>
  <si>
    <t>Malaysian Antarctic Research Program; Academy of Sciences, Malaysia (ASM); Ministry of Science Technology and Innovation (MOSTI) [FP1213E037]; University of Malaya [RP002B-13SUS]; NERC [bas0100032] Funding Source: UKRI; Natural Environment Research Council [bas0100032] Funding Source: researchfish</t>
  </si>
  <si>
    <t>Malaysian Antarctic Research Program; Academy of Sciences, Malaysia (ASM); Ministry of Science Technology and Innovation (MOSTI)(Ministry of Energy, Science, Technology, Environment and Climate Change (MESTECC), Malaysia); University of Malaya(Universiti Malaya); NERC(UK Research &amp; Innovation (UKRI)Natural Environment Research Council (NERC)); Natural Environment Research Council(UK Research &amp; Innovation (UKRI)Natural Environment Research Council (NERC))</t>
  </si>
  <si>
    <t>This study was funded by the Malaysian Antarctic Research Program, Academy of Sciences, Malaysia (ASM), Ministry of Science Technology and Innovation (MOSTI) Grant FP1213E037 and University of Malaya Research Grant (RP002B-13SUS). The authors would also like to thank Dr. John Cassano, Cooperative Institute for Research in Environmental Sciences, University of Colorado, for the initial discussions on this project and providing an access to AMPS archive. We would also like to thank Dr. Matthew Lazzara, Antarctic Meteorological Research Center, University of Wisconsin, for the satellite images and supplementary AWS data and University of Malaya and Antarctica New Zealand for logistics support.</t>
  </si>
  <si>
    <t>0027-0644</t>
  </si>
  <si>
    <t>1520-0493</t>
  </si>
  <si>
    <t>MON WEATHER REV</t>
  </si>
  <si>
    <t>Mon. Weather Rev.</t>
  </si>
  <si>
    <t>10.1175/MWR-D-15-0002.1</t>
  </si>
  <si>
    <t>CS6VK</t>
  </si>
  <si>
    <t>WOS:000362220800018</t>
  </si>
  <si>
    <t>Koppes, M; Hallet, B; Rignot, E; Mouginot, J; Wellner, JS; Boldt, K</t>
  </si>
  <si>
    <t>Koppes, Michele; Hallet, Bernard; Rignot, Eric; Mouginot, Jeremie; Wellner, Julia Smith; Boldt, Katherine</t>
  </si>
  <si>
    <t>Observed latitudinal variations in erosion as a function of glacier dynamics</t>
  </si>
  <si>
    <t>ANTARCTIC PENINSULA; SEDIMENT ACCUMULATION; PATAGONIA; EVOLUTION; CLIMATE; FJORDS; ICE; LANDSCAPE; VARIABILITY; GLACIATION</t>
  </si>
  <si>
    <t>Glacial erosion is fundamental to our understanding of the role of Cenozoic-era climate change in the development of topography worldwide, yet the factors that control the rate of erosion by ice remain poorly understood. In many tectonically active mountain ranges, glaciers have been inferred to be highly erosive, and conditions of glaciation are used to explain both the marked relief typical of alpine settings and the limit on mountain heights above the snowline, that is, the glacial buzzsaw(1). In other high-latitude regions, glacial erosion is presumed to be minimal, where a mantle of cold ice effectively protects landscapes from erosion(2-4). Glacial erosion rates are expected to increase with decreasing latitude, owing to the climatic control on basal temperature and the production of meltwater, which promotes glacial sliding, erosion and sediment transfer. This relationship between climate, glacier dynamics and erosion rate is the focus of recent numerical modelling(5-8), yet it is qualitative and lacks an empirical database. Here we present a comprehensive data set that permits explicit examination of the factors controlling glacier erosion across climatic regimes. We report contemporary ice fluxes, sliding speeds and erosion rates inferred from sediment yields from 15 outlet glaciers spanning 19 degrees of latitude from Patagonia to the Antarctic Peninsula. Although this broad region has a relatively uniform tectonic and geologic history, the thermal regimes of its glaciers range from temperate to polar. We find that basin-averaged erosion rates vary by three orders of magnitude over this latitudinal transect. Our findings imply that climate and the glacier thermal regime control erosion rates more than do extent of ice cover, ice flux or sliding speeds.</t>
  </si>
  <si>
    <t>[Koppes, Michele] Univ British Columbia, Dept Geog, Vancouver, BC V6T 1Z2, Canada; [Hallet, Bernard] Univ Washington, Dept Earth &amp; Space Sci, Seattle, WA 98195 USA; [Hallet, Bernard] Univ Washington, Quaternary Res Ctr, Seattle, WA 98195 USA; [Rignot, Eric; Mouginot, Jeremie] Univ Calif Irvine, Dept Earth Syst Sci, Irvine, CA 92617 USA; [Rignot, Eric] NASA, Jet Prop Lab, Pasadena, CA 91109 USA; [Wellner, Julia Smith] Univ Houston, Dept Earth &amp; Atmospher Sci, Houston, TX 77204 USA; [Boldt, Katherine] Univ Washington, Sch Oceanog, Seattle, WA 98195 USA</t>
  </si>
  <si>
    <t>University of British Columbia; University of Washington; University of Washington Seattle; University of Washington; University of Washington Seattle; University of California System; University of California Irvine; National Aeronautics &amp; Space Administration (NASA); NASA Jet Propulsion Laboratory (JPL); University of Houston System; University of Houston; University of Washington; University of Washington Seattle</t>
  </si>
  <si>
    <t>Koppes, M (corresponding author), Univ British Columbia, Dept Geog, 1984 West Mall, Vancouver, BC V6T 1Z2, Canada.</t>
  </si>
  <si>
    <t>koppes@geog.ubc.ca</t>
  </si>
  <si>
    <t>Mouginot, Jeremie/G-7045-2015; Rignot, Eric/A-4560-2014</t>
  </si>
  <si>
    <t>Mouginot, Jeremie/0000-0001-9155-5455; Rignot, Eric/0000-0002-3366-0481; Koppes, Michele/0000-0003-0580-2718</t>
  </si>
  <si>
    <t>US National Science Foundation [OPP 0338371]</t>
  </si>
  <si>
    <t>US National Science Foundation(National Science Foundation (NSF))</t>
  </si>
  <si>
    <t>This research was funded by the US National Science Foundation (OPP 0338371). We thank the crews of the ice breaker RV Nathaniel B. Palmer and the MV Petrel IV, members of Waters of Patagonia, support staff from Raytheon Polar Services, and collaborators from the Centro de Estudios Cientificos in Valdivia, Chile, the University of Washington, Rice University and the University of Houston for assisting in deployments, sampling and analysis of the sediment cores, bathymetric data, ice front geometries and acoustic reflection profiles collected during the cruises. We particularly thank J. Anderson, A. Rivera, M. Jaffrey, J. Evans and T. Verzone for help and logistical support in the field; R. Sylwester for his contribution to the collection of acoustic reflection profiles in Chile; C. Nittrouer, B. Forrest, C. Landowski, J. Berquist and T. Drexler for processing and analysing the sediment cores; T. Pratt for processing of acoustic profiles in Jorge Montt; J. Anderson and R. Fernandez for supporting data and discussions; C. Brookfield for editing and insight; R. Jana at INACH for provision of Landsat imagery of the Antarctic Peninsula; and M. Jaffrey, J. Newton and A. Winter-Billington for help with statistical analyses.</t>
  </si>
  <si>
    <t>10.1038/nature15385</t>
  </si>
  <si>
    <t>CS5CY</t>
  </si>
  <si>
    <t>WOS:000362095100041</t>
  </si>
  <si>
    <t>Jin, P; Wang, TF; Liu, NN; Dupont, S; Beardall, J; Boyd, PW; Riebesell, U; Gao, KS</t>
  </si>
  <si>
    <t>Jin, Peng; Wang, Tifeng; Liu, Nana; Dupont, Sam; Beardall, John; Boyd, Philip W.; Riebesell, Ulf; Gao, Kunshan</t>
  </si>
  <si>
    <t>Ocean acidification increases the accumulation of toxic phenolic compounds across trophic levels</t>
  </si>
  <si>
    <t>MARINE PRIMARY PRODUCERS; PHYSIOLOGICAL PERFORMANCE; RADIATION; EXPOSURE; IMPACTS; RATES; CO2</t>
  </si>
  <si>
    <t>Increasing atmospheric CO2 concentrations are causing ocean acidification (OA), altering carbonate chemistry with consequences for marine organisms. Here we show that OA increases by 46-212% the production of phenolic compounds in phytoplankton grown under the elevated CO2 concentrations projected for the end of this century, compared with the ambient CO2 level. At the same time, mitochondrial respiration rate is enhanced under elevated CO2 concentrations by 130-160% in a single species or mixed phytoplankton assemblage. When fed with phytoplankton cells grown under OA, zooplankton assemblages have significantly higher phenolic compound content, by about 28-48%. The functional consequences of the increased accumulation of toxic phenolic compounds in primary and secondary producers have the potential to have profound consequences for marine ecosystem and seafood quality, with the possibility that fishery industries could be influenced as a result of progressive ocean changes.</t>
  </si>
  <si>
    <t>[Jin, Peng; Wang, Tifeng; Liu, Nana; Gao, Kunshan] Xiamen Univ, State Key Lab Marine Environm Sci, Xiamen 361005, Peoples R China; [Dupont, Sam] Univ Gothenburg, Dept Biol &amp; Environm Sci, S-45178 Fiskebackskil, Sweden; [Beardall, John] Monash Univ, Sch Biol Sci, Clayton, Vic 3800, Australia; [Boyd, Philip W.] Univ Tasmania, Inst Marine &amp; Antarctic Studies, Hobart, Tas 7005, Australia; [Boyd, Philip W.] Univ Tasmania, Antarctic Climate &amp; Ecosyst Cooperat Res Ctr, Hobart, Tas 7005, Australia; [Riebesell, Ulf] GEOMAR Helmholtz Ctr Ocean Res Kiel, D-24105 Kiel, Germany</t>
  </si>
  <si>
    <t>Xiamen University; University of Gothenburg; Monash University; University of Tasmania; University of Tasmania; Antarctic Climate &amp; Ecosystems Cooperative Research Centre (ACE CRC); Helmholtz Association; GEOMAR Helmholtz Center for Ocean Research Kiel</t>
  </si>
  <si>
    <t>Gao, KS (corresponding author), Xiamen Univ, State Key Lab Marine Environm Sci, Xiamen 361005, Peoples R China.</t>
  </si>
  <si>
    <t>ksgao@xmu.edu.cn</t>
  </si>
  <si>
    <t>gao, kunshan/G-3374-2010; Beardall, John/L-5262-2019; /AAL-3738-2021; Riebesell, Ulf/AAC-9717-2020; Dupont, Sam T/F-5527-2013; Jin, Peng/AAH-7858-2021; Boyd, Philip/J-7624-2014; Wang, Tifeng/H-9156-2017</t>
  </si>
  <si>
    <t>Beardall, John/0000-0001-7684-446X; Boyd, Philip/0000-0001-7850-1911; Gao, Kunshan/0000-0001-7365-6332; Wang, Tifeng/0000-0002-6549-4860; Riebesell, Ulf/0000-0002-9442-452X</t>
  </si>
  <si>
    <t>National Natural Science Foundation [41430967, 41120164007]; State Oceanic Administration [GASI-03-01-02-04]; National Natural Science Foundation of China [U1406403]; Shandong province [U1406403]; Strategic Priority Research Program of Chinese Academy of Sciences [XDA11020302]; '111' project from Ministry of Education; State Key Laboratory of Marine Environmental Science (MEL)</t>
  </si>
  <si>
    <t>National Natural Science Foundation(National Natural Science Foundation of China (NSFC)); State Oceanic Administration; National Natural Science Foundation of China(National Natural Science Foundation of China (NSFC)); Shandong province; Strategic Priority Research Program of Chinese Academy of Sciences(Chinese Academy of Sciences); '111' project from Ministry of Education; State Key Laboratory of Marine Environmental Science (MEL)</t>
  </si>
  <si>
    <t>This study was supported by National Natural Science Foundation (41430967; 41120164007), State Oceanic Administration (GASI-03-01-02-04), Joint project of National Natural Science Foundation of China and Shandong province (No. U1406403), Strategic Priority Research Program of Chinese Academy of Sciences (No. XDA11020302). Visits of S.D. and J.B. to Xiamen University were supported by '111' project from Ministry of Education and the State Key Laboratory of Marine Environmental Science (MEL). We thank Yaping Wu for his leading roles in microcosm and mesocosm experiments, and X. Lin, X. Liu, L. Guo, Y. Li, W. Li, Y. Li, T. Xing, X. Cai, J. Ding, F. Li, S. Tong, X. Yi, D. Yan, H. Miao, Z. Li, R. Huang, W. Zhao and X. Zeng for their kind assistance in operations of the microcosms and mesocosms. We also thank D. Wang, H. Zhang and Z. Xie for their kind assistance in analysis of the proteomics.</t>
  </si>
  <si>
    <t>NATURE RESEARCH</t>
  </si>
  <si>
    <t>10.1038/ncomms9714</t>
  </si>
  <si>
    <t>CW4CG</t>
  </si>
  <si>
    <t>Green Published, Green Accepted, Green Submitted, gold</t>
  </si>
  <si>
    <t>WOS:000364938300002</t>
  </si>
  <si>
    <t>Mekhaldi, F; Muscheler, R; Adolphi, F; Aldahan, A; Beer, J; McConnell, JR; Possnert, G; Sigl, M; Svensson, A; Synal, HA; Welten, KC; Woodruff, TE</t>
  </si>
  <si>
    <t>Mekhaldi, Florian; Muscheler, Raimund; Adolphi, Florian; Aldahan, Ala; Beer, Juerg; McConnell, Joseph R.; Possnert, Goran; Sigl, Michael; Svensson, Anders; Synal, Hans-Arno; Welten, Kees C.; Woodruff, Thomas E.</t>
  </si>
  <si>
    <t>Multiradionuclide evidence for the solar origin of the cosmic-ray events of AD 774/5 and 993/4</t>
  </si>
  <si>
    <t>COSMOGENIC RADIONUCLIDES; GEOMAGNETIC-FIELD; PROTON EVENTS; TREE-RINGS; ICE CORES; DOME-FUJI; BE-10; C-14; INCREASE; CLIMATE</t>
  </si>
  <si>
    <t>The origin of two large peaks in the atmospheric radiocarbon (C-14) concentration at AD 774/5 and 993/4 is still debated. There is consensus, however, that these features can only be explained by an increase in the atmospheric C-14 production rate due to an extraterrestrial event. Here we provide evidence that these peaks were most likely produced by extreme solar events, based on several new annually resolved Be-10 measurements from both Arctic and Antarctic ice cores. Using ice core Cl-36 data in pair with Be-10, we further show that these solar events were characterized by a very hard energy spectrum with high fluxes of solar protons with energy above 100MeV. These results imply that the larger of the two events (AD 774/5) was at least five times stronger than any instrumentally recorded solar event. Our findings highlight the importance of studying the possibility of severe solar energetic particle events.</t>
  </si>
  <si>
    <t>[Mekhaldi, Florian; Muscheler, Raimund; Adolphi, Florian] Lund Univ, Dept Geol Quaternary Sci, S-22362 Lund, Sweden; [Aldahan, Ala] United Arab Emirates Univ, Dept Geol, Al Ain 17551, U Arab Emirates; [Aldahan, Ala] Uppsala Univ, Dept Earth Sci, S-75236 Uppsala, Sweden; [Beer, Juerg] Swiss Fed Inst Aquat Sci &amp; Technol, CH-8600 Dubendorf, Switzerland; [McConnell, Joseph R.; Sigl, Michael] Univ Nevada, Desert Res Inst, Div Hydrol Sci, Reno, NV 89506 USA; [Possnert, Goran] Uppsala Univ, Tandem Lab, S-75120 Uppsala, Sweden; [Sigl, Michael] Paul Scherrer Inst, Lab Radiochem &amp; Environm Chem, CH-5232 Villigen, Switzerland; [Svensson, Anders] Univ Copenhagen, Niels Bohr Inst, Ctr Ice &amp; Climate, DK-2100 Copenhagen, Denmark; [Synal, Hans-Arno] ETH, Lab Ion Beam Phys, CH-8093 Zurich, Switzerland; [Welten, Kees C.] Univ Calif Berkeley, Space Sci Lab, Berkeley, CA 94720 USA; [Woodruff, Thomas E.] Purdue Univ, PRIME Lab, W Lafayette, IN 47907 USA</t>
  </si>
  <si>
    <t>Lund University; United Arab Emirates University; Uppsala University; Swiss Federal Institutes of Technology Domain; Swiss Federal Institute of Aquatic Science &amp; Technology (EAWAG); Nevada System of Higher Education (NSHE); University of Nevada Reno; Desert Research Institute NSHE; Uppsala University; Swiss Federal Institutes of Technology Domain; Paul Scherrer Institute; University of Copenhagen; Niels Bohr Institute; Swiss Federal Institutes of Technology Domain; ETH Zurich; University of California System; University of California Berkeley; Purdue University System; Purdue University</t>
  </si>
  <si>
    <t>Mekhaldi, F (corresponding author), Lund Univ, Dept Geol Quaternary Sci, S-22362 Lund, Sweden.</t>
  </si>
  <si>
    <t>florian.mekhaldi@geol.lu.se</t>
  </si>
  <si>
    <t>Mekhaldi, Florian/IZD-7414-2023; Synal, Hans-Arno/AAD-4556-2019; Svensson, Anders/A-2643-2010; Synal, Hans-Arno/JYQ-3205-2024</t>
  </si>
  <si>
    <t>Synal, Hans-Arno/0000-0001-5621-3089; Svensson, Anders/0000-0002-4364-6085; Welten, Kees/0000-0001-8577-6753; Muscheler, Raimund/0000-0003-2772-3631; Mekhaldi, Florian/0000-0001-8323-2955; Adolphi, Florian/0000-0003-0014-8753; Sigl, Michael/0000-0002-9028-9703</t>
  </si>
  <si>
    <t>Swedish Research Council [DNR2013-8421]; U.S. National Science Foundation (NSF) Polar Programs [0839093, 1142166, 0909541, 1204176]; NSF [0636964, 0839137, 0839042, 0636815]; Belgium (FNRS-CFB); Belgium (FWO); Canada (NRCan/GSC); China (CAS); Denmark (SNF, FIST); France (IFRTP); France (IPEV); France (CNRS/INSU); France (CEA); France (ANR); Germany (AWI); Iceland (RannIs); Japan (MEXT, NIPR); Korea (KOPRI); The Netherlands (NWO/ALW); Sweden (VR, SPRS); Switzerland (SNF); United Kingdom (NERC); USA (U.S. NSF Polar Programs); Directorate For Geosciences [0636964] Funding Source: National Science Foundation; Office of Polar Programs (OPP) [0636964] Funding Source: National Science Foundation; Office of Polar Programs (OPP); Directorate For Geosciences [0944348, 0839042, 0636815, 0839137, 1142166] Funding Source: National Science Foundation; Office of Polar Programs (OPP); Directorate For Geosciences [0909541, 0839093, 1204176] Funding Source: National Science Foundation; Office Of The Director; Office Of Internatl Science &amp;Engineering [0968391] Funding Source: National Science Foundation</t>
  </si>
  <si>
    <t>Swedish Research Council(Swedish Research Council); U.S. National Science Foundation (NSF) Polar Programs(National Science Foundation (NSF)); NSF(National Science Foundation (NSF)); Belgium (FNRS-CFB)(Fonds de la Recherche Scientifique - FNRS); Belgium (FWO)(FWO); Canada (NRCan/GSC)(Natural Resources Canada); China (CAS)(Chinese Academy of Sciences); Denmark (SNF, FIST); France (IFRTP); France (IPEV); France (CNRS/INSU); France (CEA); France (ANR)(Agence Nationale de la Recherche (ANR)); Germany (AWI); Iceland (RannIs); Japan (MEXT, NIPR); Korea (KOPRI)(Korea Polar Research Institute of Marine Research Placement (KOPRI)); The Netherlands (NWO/ALW)(Netherlands Organization for Scientific Research (NWO)Netherlands Government); Sweden (VR, SPRS)(Swedish Research Council); Switzerland (SNF); United Kingdom (NERC)(UK Research &amp; Innovation (UKRI)Natural Environment Research Council (NERC)); USA (U.S. NSF Polar Programs);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t>
  </si>
  <si>
    <t>We thank Anna Sturevik Storm for her help with the chemical preparation of the NGRIP samples for 10Be measurements. This work was supported by the Swedish Research Council (grant DNR2013-8421 to R.M.). This work was also supported by the U.S. National Science Foundation (NSF) Polar Programs grants including 0839093 and 1142166 to J.R.M. for development of the Antarctic ice-core records and 0909541 and 1204176 to J.R.M. for development of the Arctic ice core records; K.C.W. was funded by NSF grants 0636964 and 0839137; T.W. was funded by NSF grants 0839042 and 0636815. The authors appreciate support of the WAIS Divide Science Coordination Office for collection and distribution of the WAIS Divide ice core; Ice Drilling and Design and Operations for drilling; the National Ice Core Laboratory for curating the core; Raytheon Polar Services for logistics support in Antarctica; and the 109th New York Air National Guard for airlift in Antarctica. NorthGRIP and NEEM are directed and organized by the Center of Ice and Climate at the Niels Bohr Institute and U.S. NSF. It is supported by funding agencies and institutions in Belgium (FNRS-CFB and FWO), Canada (NRCan/GSC), China (CAS), Denmark (SNF, FIST), France (IFRTP, IPEV, CNRS/INSU, CEA and ANR), Germany (AWI), Iceland (RannIs), Japan (MEXT, NIPR), Korea (KOPRI), The Netherlands (NWO/ALW), Sweden (VR, SPRS), Switzerland (SNF), United Kingdom (NERC), and the USA (U.S. NSF Polar Programs).</t>
  </si>
  <si>
    <t>10.1038/ncomms9611</t>
  </si>
  <si>
    <t>CW4AT</t>
  </si>
  <si>
    <t>WOS:000364934200013</t>
  </si>
  <si>
    <t>Doetterl, S; Stevens, A; Six, J; Merckx, R; Van Oost, K; Pinto, MC; Casanova-Katny, A; Muñoz, C; Boudin, M; Venegas, EZ; Boeckx, P</t>
  </si>
  <si>
    <t>Doetterl, Sebastian; Stevens, Antoine; Six, Johan; Merckx, Roel; Van Oost, Kristof; Casanova Pinto, Manuel; Casanova-Katny, Angelica; Munoz, Cristina; Boudin, Mathieu; Zagal Venegas, Erick; Boeckx, Pascal</t>
  </si>
  <si>
    <t>Soil carbon storage controlled by interactions between geochemistry and climate</t>
  </si>
  <si>
    <t>ORGANIC-MATTER; TEMPERATURE SENSITIVITY; STABILIZATION; MECHANISMS; SATURATION; FEEDBACKS; SURFACES; GRADIENT; TIMES</t>
  </si>
  <si>
    <t>Soils are an important site of carbon storage(1). Climate is generally regarded as one of the primary controls over soil organic carbon(1,2), but there is still uncertainty about the direction and magnitude of carbon responses to climate change. Here we show that geochemistry, too, is an important controlling factor for soil carbon storage. We measured a range of soil and climate variables at 24 sites along a 4,000-km-long north-south transect of natural grassland and shrubland in Chile and the Antarctic Peninsula, which spans a broad range of climatic and geochemical conditions. We find that soils with high carbon content are characterized by substantial adsorption of carbon compounds onto mineral soil and low rates of respiration per unit of soil carbon; and vice versa for soils with low carbon content. Precipitation and temperature were only secondary predictors for carbon storage, respiration, residence time and stabilization mechanisms. Correlations between climatic variables and carbon variables decreased significantly after removing relationships with geochemical predictors. We conclude that the interactions of climatic and geochemical factors control soil organic carbon storage and turnover, and must be considered for robust prediction of current and future soil carbon storage.</t>
  </si>
  <si>
    <t>[Doetterl, Sebastian; Boeckx, Pascal] Univ Ghent, Isotope Biosci Lab, B-9000 Ghent, Belgium; [Doetterl, Sebastian] Univ Augsburg, Dept Geog, D-86159 Augsburg, Germany; [Stevens, Antoine; Van Oost, Kristof] Catholic Univ Louvain, George Lemaitre Ctr Earth &amp; Climate Res, Earth &amp; Life Inst, B-1348 Louvain, Belgium; [Stevens, Antoine; Six, Johan] ETH, Dept Environm Syst Sci, CH-8092 Zurich, Switzerland; [Merckx, Roel] Katholieke Univ Leuven, Dept Earth &amp; Environm Sci, B-3001 Heverlee, Belgium; [Casanova Pinto, Manuel] Univ Chile, Dept Ingn &amp; Suelos, Santiago 8820808, Chile; [Casanova-Katny, Angelica] Univ Santiago Chile, Fac Quim &amp; Farm, Santiago 8820808, Chile; [Munoz, Cristina; Zagal Venegas, Erick] Univ Concepcion, Dept Ciencias Suelo &amp; Recursos Nat, Chillan 3812120, Chile; [Boudin, Mathieu] Royal Inst Cultural Heritage, B-1000 Brussels, Belgium</t>
  </si>
  <si>
    <t>Ghent University; University of Augsburg; Universite Catholique Louvain; Swiss Federal Institutes of Technology Domain; ETH Zurich; KU Leuven; Universidad de Chile; Universidad de Santiago de Chile; Universidad de Concepcion</t>
  </si>
  <si>
    <t>Doetterl, S (corresponding author), Univ Ghent, Isotope Biosci Lab, B-9000 Ghent, Belgium.</t>
  </si>
  <si>
    <t>Sebastian.Doetterl@Ugent.be</t>
  </si>
  <si>
    <t>Casanova-Katny, Angelica/M-3994-2014; Muñoz, Cristina/AAS-5101-2021; Casanova, Manuel/I-3880-2013; Van Oost, Kristof/B-6941-2008; six, johan/J-5228-2015</t>
  </si>
  <si>
    <t>Casanova, Manuel/0000-0002-2039-7469; six, johan/0000-0001-9336-4185; Merckx, Roel/0000-0001-6440-5363; Munoz, Cristina/0000-0001-7439-8822; Doetterl, Sebastian/0000-0002-0986-891X; Zagal, Erick/0000-0003-3900-9769</t>
  </si>
  <si>
    <t>BELSPO IUAP project 'SOGLO- Soils under Global change' (Belgium) [P7-P24]; FONDECYT [1121138, 1120895]</t>
  </si>
  <si>
    <t>BELSPO IUAP project 'SOGLO- Soils under Global change' (Belgium); FONDECYT(Comision Nacional de Investigacion Cientifica y Tecnologica (CONICYT)CONICYT FONDECYT)</t>
  </si>
  <si>
    <t>This research was financed within the framework of the BELSPO IUAP project No. P7-P24 'SOGLO- Soils under Global change' (Belgium). Further funding was provided in Chile by FONDECYT 1121138 and 1120895 and Instituto Antartico Chileno, INACH FR0112 for sampling campaigns in Chile and the Antarctic Peninsula. K.V.O. is a Research Associate of the Fonds de la Recherche Scientifique (FNRS), Belgium.</t>
  </si>
  <si>
    <t>10.1038/NGEO2516</t>
  </si>
  <si>
    <t>CV0OW</t>
  </si>
  <si>
    <t>WOS:000363951200017</t>
  </si>
  <si>
    <t>Downes, SM; Farneti, R; Uotila, P; Griffies, SM; Marsland, SJ; Bailey, D; Behrens, E; Bentsen, M; Bi, DH; Biastoch, A; Böning, C; Bozec, A; Canuto, VM; Chassignet, E; Danabasoglu, G; Danilov, S; Diansky, N; Drange, H; Fogli, PG; Gusev, A; Howard, A; Ilicak, M; Jung, T; Kelley, M; Large, WG; Leboissetier, A; Long, M; Lu, JH; Masina, S; Mishra, A; Navarra, A; Nurser, AJG; Patara, L; Samuels, BL; Sidorenko, D; Spence, P; Tsujino, H; Wang, Q; Yeager, SG</t>
  </si>
  <si>
    <t>Downes, Stephanie M.; Farneti, Riccardo; Uotila, Petteri; Griffies, Stephen M.; Marsland, Simon J.; Bailey, David; Behrens, Erik; Bentsen, Mats; Bi, Daohua; Biastoch, Arne; Boening, Claus; Bozec, Alexandra; Canuto, Vittorio M.; Chassignet, Eric; Danabasoglu, Gokhan; Danilov, Sergey; Diansky, Nikolay; Drange, Helge; Fogli, Pier Giuseppe; Gusev, Anatoly; Howard, Armando; Ilicak, Mehmet; Jung, Thomas; Kelley, Maxwell; Large, William G.; Leboissetier, Anthony; Long, Matthew; Lu, Jianhua; Masina, Simona; Mishra, Akhilesh; Navarra, Antonio; Nurser, A. J. George; Patara, Lavinia; Samuels, Bonita L.; Sidorenko, Dmitry; Spence, Paul; Tsujino, Hiroyuki; Wang, Qiang; Yeager, Stephen G.</t>
  </si>
  <si>
    <t>An assessment of Southern Ocean water masses and sea ice during 1988-2007 in a suite of interannual CORE-II simulations</t>
  </si>
  <si>
    <t>Southern Ocean; CORE-II experiments; Water masses; Sea ice; Ocean model intercomparison</t>
  </si>
  <si>
    <t>SUB-ANTARCTIC MODE; COUPLED CLIMATE MODEL; MIXED-LAYER DEPTHS; ANNULAR MODE; WEDDELL POLYNYA; NORTH-ATLANTIC; CIRCULATION; TRENDS; TRANSFORMATION; VARIABILITY</t>
  </si>
  <si>
    <t>We characterise the representation of the Southern Ocean water mass structure and sea ice within a suite of 15 global ocean-ice models run with the Coordinated Ocean-ice Reference Experiment Phase II (CORE-II) protocol. The main focus is the representation of the present (1988-2007) mode and intermediate waters, thus framing an analysis of winter and summer mixed layer depths; temperature, salinity, and potential vorticity structure; and temporal variability of sea ice distributions. We also consider the interannual variability over the same 20 year period. Comparisons are made between models as well as to observation-based analyses where available. The CORE-II models exhibit several biases relative to Southern Ocean observations, including an underestimation of the model mean mixed layer depths of mode and intermediate water masses in March (associated with greater ocean surface heat gain), and an overestimation in September (associated with greater high latitude ocean heat loss and a more northward winter sea-ice extent). In addition, the models have cold and fresh/warm and salty water column biases centred near 50 degrees S. Over the 1933-2007 period, the CORE-II models consistently simulate spatially variable trends in sea-ice concentration, surface freshwater fluxes, mixed layer depths, and 200-700 in ocean heat content. In particular, sea-ice coverage around most of the Antarctic continental shelf is reduced, leading to a cooling and freshening of the near surface waters. The shoaling of the mixed layer is associated with increased surface buoyancy gain, except in the Pacific where sea ice is also influential. The models are in disagreement, despite the common CORE-II atmospheric state, in their spatial pattern of the 20-year trends in the mixed layer depth and sea-ice. (C) 2015 Elsevier Ltd. All rights reserved,</t>
  </si>
  <si>
    <t>[Downes, Stephanie M.] Australian Natl Univ, Res Sch Earth Sci, Acton, Australia; [Downes, Stephanie M.] Australian Natl Univ, ARC Ctr Excellence Climate Syst Sci, Acton, Australia; [Farneti, Riccardo] Abdus Salaam Int Ctr Theoret Phys, Earth Syst Phys, Trieste, Italy; [Uotila, Petteri; Marsland, Simon J.; Bi, Daohua] CSIRO, Ctr Australian Weather &amp; Climate Res, Aspendale, Vic, Australia; [Uotila, Petteri] Finnish Meteorol Inst, FIN-00101 Helsinki, Finland; [Griffies, Stephen M.; Samuels, Bonita L.] NOAA Geophys Fluid Dynam Lab, Princeton, NJ USA; [Bailey, David; Danabasoglu, Gokhan; Large, William G.; Long, Matthew; Yeager, Stephen G.] Natl Ctr Atmospher Res, Boulder, CO 80307 USA; [Behrens, Erik; Biastoch, Arne; Boening, Claus; Patara, Lavinia] GEOMAR Helmholtz Ctr Ocean Res Kiel, Kiel, Germany; [Behrens, Erik] Natl Inst Water &amp; Atmospher Res NIWA, Wellington, New Zealand; [Bentsen, Mats; Ilicak, Mehmet] Uni Res AS, Uni Climate, Bergen, Norway; [Bentsen, Mats; Drange, Helge; Ilicak, Mehmet] Bjerknes Ctr Climate Res, Bergen, Norway; [Bozec, Alexandra; Chassignet, Eric; Lu, Jianhua; Mishra, Akhilesh] Florida State Univ, Ctr Ocean Atmospher Predict Studies, Tallahassee, FL 32306 USA; [Canuto, Vittorio M.; Howard, Armando; Kelley, Maxwell; Leboissetier, Anthony] NASA Goddard Inst Space Studies GISS, New York, NY USA; [Danilov, Sergey; Jung, Thomas; Sidorenko, Dmitry; Wang, Qiang] Alfred Wegener Inst, Bremerhaven, Germany; [Diansky, Nikolay; Gusev, Anatoly] Russian Acad Sci, Inst Numer Math, Moscow, Russia; [Drange, Helge] Univ Bergen, Bergen, Norway; [Fogli, Pier Giuseppe; Masina, Simona; Navarra, Antonio] Ctr Euromediterraneo Cambiamenti Climat CMCC, Bologna, Italy; [Leboissetier, Anthony] Trinnovim LLC, New York, NY USA; [Masina, Simona; Navarra, Antonio] Ist Nazl Geofis &amp; Vulcanol, Bologna, Italy; [Nurser, A. J. George] Natl Oceanog Ctr Southampton, Southampton, Hants, England; [Spence, Paul] Univ New S Wales, ARC Ctr Excellence Climate Syst Sci, Sydney, NSW, Australia; [Tsujino, Hiroyuki] Japan Meteorol Agcy, Meteorol Res Inst, Tsukuba, Ibaraki, Japan</t>
  </si>
  <si>
    <t>Australian National University; Australian National University; Abdus Salam International Centre for Theoretical Physics (ICTP); Commonwealth Scientific &amp; Industrial Research Organisation (CSIRO); Finnish Meteorological Institute; National Oceanic Atmospheric Admin (NOAA) - USA; National Center Atmospheric Research (NCAR) - USA; Helmholtz Association; GEOMAR Helmholtz Center for Ocean Research Kiel; National Institute of Water &amp; Atmospheric Research (NIWA) - New Zealand; University of Bergen; Bjerknes Centre for Climate Research; State University System of Florida; Florida State University; National Aeronautics &amp; Space Administration (NASA); NASA Goddard Space Flight Center; Goddard Institute for Space Studies; Helmholtz Association; Alfred Wegener Institute, Helmholtz Centre for Polar &amp; Marine Research; Russian Academy of Sciences; University of Bergen; Centro Euro-Mediterraneo sui Cambiamenti Climatici (CMCC); Istituto Nazionale Geofisica e Vulcanologia (INGV); NERC National Oceanography Centre; University of Southampton; ARC Centre of Excellence for Climate System Science; University of New South Wales Sydney; Japan Meteorological Agency; Meteorological Research Institute - Japan</t>
  </si>
  <si>
    <t>Downes, SM (corresponding author), Univ Tasmania, Antarctic Climate &amp; Ecosyst Cooperat Res Ctr, 20 Castray Esplanade, Hobart, Tas 7000, Australia.</t>
  </si>
  <si>
    <t>Long, Matthew C/H-4632-2016; Spence, Paul/IZE-7366-2023; Downes, Stephanie/A-1424-2012; Masina, Simona/B-4974-2012; Behrens, Erik/B-9631-2013; Ilicak, Mehmet/AAG-1093-2020; Bentsen, Mats/JHU-7393-2023; Griffies, Stephen Matthew/N-9144-2019; Marsland, Simon J/A-1453-2012; Boening, Claus W./B-1686-2012; Diansky, Nikolay A/R-8307-2018; MISHRA, AKHILESH/A-2356-2015; Biastoch, Arne/B-5219-2014; Danilov, Sergey/S-6184-2016; Boening, Claus/AAW-6387-2020; Lu, Jianhua/B-8923-2008; Fogli, Pier Giuseppe/E-9486-2015; Boening, Claus W/HIR-8996-2022; ILICAK, Mehmet/H-2219-2011; Jung, Thomas/J-5239-2012; Gusev, Anatoly/M-4012-2019; Farneti, Riccardo/B-5183-2011; Bi, Daohua/O-4508-2015; Uotila, Petteri/A-1703-2012</t>
  </si>
  <si>
    <t>Spence, Paul/0000-0001-5156-2204; Ilicak, Mehmet/0000-0002-4777-8835; Griffies, Stephen Matthew/0000-0002-3711-236X; Marsland, Simon J/0000-0002-5664-5276; Boening, Claus W./0000-0002-6251-5777; MISHRA, AKHILESH/0000-0002-1427-3603; Biastoch, Arne/0000-0003-3946-4390; Danilov, Sergey/0000-0001-8098-182X; Boening, Claus/0000-0002-6251-5777; Fogli, Pier Giuseppe/0000-0001-7997-6273; Boening, Claus W/0000-0002-6251-5777; ILICAK, Mehmet/0000-0002-4777-8835; Jung, Thomas/0000-0002-2651-1293; Gusev, Anatoly/0000-0002-6463-3179; Farneti, Riccardo/0000-0001-7781-6436; Uotila, Petteri/0000-0002-2939-7561; Leboissetier, Anthony/0000-0001-9685-7815; Diansky, Nikolay/0000-0002-6785-1956; Bailey, David/0000-0002-6584-0663; MASINA, Simona/0000-0001-6273-7065; Sidorenko, Dmitry/0000-0001-8579-6068; Howard, Armando/0000-0001-6310-6070; Wang, Qiang/0000-0002-2704-5394; Danabasoglu, Gokhan/0000-0003-4676-2732; Chassignet, Eric/0000-0003-4710-7502; Long, Matthew/0000-0003-1273-2957</t>
  </si>
  <si>
    <t>international CLIVAR project office; U.S. CLIVAR project office; ARC Centre of Excellence for Climate System Science [CE110001028]; Australian Government Department of the Environment; Bureau of Meteorology; CSIRO through the Australian Climate Change Science Programme; Helmholtz Climate Initiative REKLIM (Regional Climate Change); Helmholtz Association of German research centers (HGF) [REKLIM-2009-07-16]; Cluster of Excellence 'The Future Ocean'; Research Council of Norway through the EarthClim [207711/E10]; NOTUR/NorStore projects; Centre for Climate Dynamics at the Bjerknes Centre for Climate Research; Italian Ministry of Education, University, and Research; Italian Ministry of Environment, Land, and Sea; U.S. National Science Foundation (NSF); NOAA Climate Program Office [NA09OAR4310163]; Natural Environment Research Council [noc010010] Funding Source: researchfish; NERC [noc010010] Funding Source: UKRI</t>
  </si>
  <si>
    <t>international CLIVAR project office; U.S. CLIVAR project office; ARC Centre of Excellence for Climate System Science(Australian Research Council); Australian Government Department of the Environment(Australian Government); Bureau of Meteorology(Bureau of Meteorology - Australia); CSIRO through the Australian Climate Change Science Programme; Helmholtz Climate Initiative REKLIM (Regional Climate Change); Helmholtz Association of German research centers (HGF)(Helmholtz Association); Cluster of Excellence 'The Future Ocean'; Research Council of Norway through the EarthClim(Research Council of Norway); NOTUR/NorStore projects; Centre for Climate Dynamics at the Bjerknes Centre for Climate Research; Italian Ministry of Education, University, and Research(Ministry of Education, Universities and Research (MIUR)); Italian Ministry of Environment, Land, and Sea; U.S. National Science Foundation (NSF)(National Science Foundation (NSF)); NOAA Climate Program Office(National Oceanic Atmospheric Admin (NOAA) - USA); Natural Environment Research Council(UK Research &amp; Innovation (UKRI)Natural Environment Research Council (NERC)); NERC(UK Research &amp; Innovation (UKRI)Natural Environment Research Council (NERC))</t>
  </si>
  <si>
    <t>The CLIVAR Ocean Model Development Panel (OMDP) is responsible for organising the Coordinated Ocean-sea ice Reference Experiments, with support from international CLIVAR and U.S. CLIVAR project offices, particularly Anna Pirani. We are grateful for the efforts of modellers who have contributed to the simulation and processing of the CORE 11 experiments. S. M. Downes was supported by the ARC Centre of Excellence for Climate System Science (grant CE110001028). The ACCESS model is supported by the Australian Government Department of the Environment, the Bureau of Meteorology and CSIRO through the Australian Climate Change Science Programme. A.W.I. is a member of the Helmholtz Association of German Research Centers. Q. Wang and D. Sidorenko are funded by the Helmholtz Climate Initiative REKLIM (Regional Climate Change), a joint research project of the Helmholtz Association of German research centers (HGF) under grant: REKLIM-2009-07-16. The GEOMAR model integrations were built on developments in the DRAKKAR collaboration, were performed at the North German Supercomputing Alliance (HLRN), and were supported by the Cluster of Excellence 'The Future Ocean', The BERGEN contribution is supported by the Research Council of Norway through the EarthClim (207711/E10) and NOTUR/NorStore projects, as well as the Centre for Climate Dynamics at the Bjerknes Centre for Climate Research, The CMCC contribution received funding from the Italian Ministry of Education, University, and Research and the Italian Ministry of Environment, Land, and Sea under the GEMINA project. NCAR is sponsored by the U.S. National Science Foundation (NSF). S. G. Yeager was supported by the NOAA Climate Program Office under Climate Variability and Predictability Program grant NA09OAR4310163. We thank Carolina Dufour and Adele Morrison for their useful comments on earlier drafts, and two anonymous reviewers for their constructive comments, all of which helped improve the paper.</t>
  </si>
  <si>
    <t>10.1016/j.ocemod.2015.07.022</t>
  </si>
  <si>
    <t>WOS:000362016400006</t>
  </si>
  <si>
    <t>Kjellsson, J; Holland, PR; Marshall, GJ; Mathiot, P; Aksenov, Y; Coward, AC; Bacon, S; Megann, AP; Ridley, J</t>
  </si>
  <si>
    <t>Kjellsson, Joakim; Holland, Paul R.; Marshall, Gareth J.; Mathiot, Pierre; Aksenov, Yevgeny; Coward, Andrew C.; Bacon, Sheldon; Megann, Alex P.; Ridley, Jeff</t>
  </si>
  <si>
    <t>Model sensitivity of the Weddell and Ross seas, Antarctica, to vertical mixing and freshwater forcing</t>
  </si>
  <si>
    <t>Weddell sea; Ross sea; NEMO; CICE; Convection; Sea ice</t>
  </si>
  <si>
    <t>SOUTHERN-OCEAN CONVECTION; COUPLED CLIMATE MODEL; Z-COORDINATE; ICE; VARIABILITY; PARAMETERIZATION; CIRCULATION; REPRESENTATION; SIMULATIONS; TRANSPORT</t>
  </si>
  <si>
    <t>We examine the sensitivity of the Weddell and Ross seas to vertical mixing and surface freshwater forcing using an ocean sea ice model. The high latitude Southern Ocean is very weakly stratified, with a winter salinity difference across the pycnocline of only similar to 0.2 PSU. We find that insufficient vertical mixing, freshwater supply from the Antarctic Ice Sheet, or initial sea ice causes a high salinity bias in the mixed layer which erodes the stratification and causes excessive deep convection. This leads to vertical homogenisation of the Weddell and Ross seas, opening of polynyas in the sea ice and unrealistic spin-up of the subpolar gyres and Antarctic Circumpolar Current. The model freshwater budget shows that a similar to 30% error in any component can destratify the ocean in about a decade. We find that freshwater forcing in the model should be sufficient along the Antarctic coastline to balance a salinity bias caused by dense coastal water that is unable to sink to the deep ocean. We also show that a low initial sea ice area introduces a salinity bias in the marginal ice zone. We demonstrate that vertical mixing, freshwater forcing and initial sea ice conditions need to be constrained simultaneously to reproduce the Southern Ocean hydrography, circulation and sea ice in a model. As an example, insufficient vertical mixing will cause excessive convection in the Weddell and Ross seas even in the presence of large surface freshwater forcing and initial sea ice cover. (C) 2015 The Authors. Published by Elsevier Ltd.</t>
  </si>
  <si>
    <t>[Kjellsson, Joakim; Holland, Paul R.; Marshall, Gareth J.; Mathiot, Pierre] British Antarctic Survey, Cambridge CB3 0ET, England; [Aksenov, Yevgeny; Coward, Andrew C.; Bacon, Sheldon; Megann, Alex P.] Natl Oceanog Ctr, Southampton, Hants, England; [Ridley, Jeff] MetOffice, Exeter, Devon, England</t>
  </si>
  <si>
    <t>UK Research &amp; Innovation (UKRI); Natural Environment Research Council (NERC); NERC British Antarctic Survey; NERC National Oceanography Centre; Met Office - UK</t>
  </si>
  <si>
    <t>Kjellsson, J (corresponding author), British Antarctic Survey, Cambridge CB3 0ET, England.</t>
  </si>
  <si>
    <t>tomkje@bas.ac.uk</t>
  </si>
  <si>
    <t>Kjellsson, Joakim/AAD-2684-2022; Holland, Paul R/G-2796-2012; Bacon, Sheldon/B-1519-2013</t>
  </si>
  <si>
    <t>Kjellsson, Joakim/0000-0002-6405-5276; Bacon, Sheldon/0000-0002-2471-9373; Mathiot, Pierre/0000-0002-2001-0762</t>
  </si>
  <si>
    <t>UK Natural Environment Research Council [NE/K012150/1]; Natural Environment Research Council [NE/K012150/1, NE/K011561/1, noc010010, noc010012, bas0100033] Funding Source: researchfish; NERC [bas0100033, NE/K012150/1, noc010010, NE/K011561/1]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</si>
  <si>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</si>
  <si>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wish to thank the two anonymous reviewers whose comments helped us improve the paper. This work was carried out as part of the UK Natural Environment Research Council grant NE/K012150/1: Poles apart: why has Antarctic sea ice increased, and why can't coupled climate models reproduce observations?. We thank Adrian K. Turner for help with CICE, and Laurent Brodeau and Tim Graham for help with NEMO. We also thank Celine Heuze for fruitful discussions. ERA-Interim forcing obtained from ECMWF with help from Tony Phillips. All simulations performed on the ARCHER UK National Supercomputing Service (http://www.archer.ac.uk) and we acknowledge the helpdesk for assistance.</t>
  </si>
  <si>
    <t>10.1016/j.ocemod.2015.08.003</t>
  </si>
  <si>
    <t>WOS:000362016400010</t>
  </si>
  <si>
    <t>Kohn, MJ; Strömberg, CAE; Madden, RH; Dunn, RE; Evans, S; Palacios, A; Carlini, AA</t>
  </si>
  <si>
    <t>Kohn, Matthew J.; Stroemberg, Caroline A. E.; Madden, Richard H.; Dunn, Regan E.; Evans, Samantha; Palacios, Alma; Carlini, Alfredo A.</t>
  </si>
  <si>
    <t>Quasi-static Eocene-Oligocene climate in Patagonia promotes slow faunal evolution and mid-Cenozoic global cooling</t>
  </si>
  <si>
    <t>PALAEOGEOGRAPHY PALAEOCLIMATOLOGY PALAEOECOLOGY</t>
  </si>
  <si>
    <t>Hypsodonty; Notoungulate; Atmospheric CO2; Stable isotopes; Precipitation; Dust</t>
  </si>
  <si>
    <t>CARBON-ISOTOPE FRACTIONATION; ATMOSPHERIC CO2; ANTARCTIC GLACIATION; SAVANNA VERTEBRATES; PEDOGENIC CARBONATE; UNGULATE MAMMALS; SOUTH-AMERICA; RED QUEEN; NEW-WORLD; HISTORY</t>
  </si>
  <si>
    <t>New local/regional climatic data were compared with floral and faunal records from central Patagonia to investigate how faunas evolve in the context of local and global climates. Oxygen isotope compositions of mammal fossils between c. 43 and 21 Ma suggest a nearly constant mean annual temperature of 16 +/- 3 degrees C, consistent with leaf physiognomic and sea surface studies that imply temperatures of 16-18 degrees C Carbon isotopes in tooth enamel track atmospheric delta C-13, but with a positive deviation at 27.2 Ma, and a strong negative deviation at 21 Ma. Combined with paleosol characteristics and reconstructed Leaf Area Indices (rLAIs), these trends suggest aridification from 45 Ma (c. 1200 mm/yr) to 43 Ma (c. 450 mm/yr), quasi-constant MAP until at least 31 Ma, and an increase to similar to 800 mm/yr by 21 Ma. Comparable MAP through most of the sequence is consistent with relatively constant floral compositions, rLAI, and leaf physiognomy. Abundance of palms reflects relatively dry-adapted lineages and greater drought tolerance under higher km. Pedogenic carbonate isotopes imply low P-CO2 = 430 +/- 300 ppmv at the initiation of the Eocene-Oligocene climatic transition. Arid conditions in Patagonia during the late Eocene through Oligocene provided dust to the Southern Ocean, enhancing productivity of silicifiers, drawdown of atmospheric CO2, and protracted global cooling. As the Antarctic Circumpolar Current formed and Earth cooled, wind speeds increased across Patagonia, providing more dust in a positive climate feedback. High tooth crowns (hypsodonty) and ever-growing teeth (hypselodonty) in notoungulates evolved slowly and progressively over 20 Ma after initiation of relatively dry environments through natural selection in response to dust ingestion. A Ratchet evolutionary model may explain protracted evolution of hypsodonty, in which small variations in climate or dust delivery in an otherwise static environment drive small morphological shifts that accumulate slowly over geologic time. (C) 2015 Elsevier B.V. All rights reserved.</t>
  </si>
  <si>
    <t>[Kohn, Matthew J.; Evans, Samantha; Palacios, Alma] Boise State Univ, Dept Geosci, Boise, ID 83725 USA; [Stroemberg, Caroline A. E.; Dunn, Regan E.] Univ Washington, Dept Biol, Seattle, WA 98195 USA; [Stroemberg, Caroline A. E.; Dunn, Regan E.] Univ Washington, Burke Museum Nat Hist &amp; Culture, Seattle, WA 98195 USA; [Madden, Richard H.] Univ Chicago, Dept Organismal Biol &amp; Anat, Chicago, IL 60637 USA; [Carlini, Alfredo A.] Univ Natl La Plata CONICET, Dept Paleontol Vertebrados, La Plata, Buenos Aires, Argentina</t>
  </si>
  <si>
    <t>Idaho; Boise State University; University of Washington; University of Washington Seattle; University of Washington; University of Washington Seattle; University of Chicago; Consejo Nacional de Investigaciones Cientificas y Tecnicas (CONICET); National University of La Plata</t>
  </si>
  <si>
    <t>Kohn, MJ (corresponding author), Boise State Univ, Dept Geosci, Boise, ID 83725 USA.</t>
  </si>
  <si>
    <t>mattkohn@boisestate.edu</t>
  </si>
  <si>
    <t>Kohn, Matthew J/A-2562-2012</t>
  </si>
  <si>
    <t>Kohn, Matthew/0000-0002-7202-4525; Stromberg, Caroline A. E./0000-0003-0612-0305</t>
  </si>
  <si>
    <t>NSF [EAR0842367, EAR0819837, EAR1349749, DEB1110354, EAR0819910, EAR0819842]; FONCyT; LSAMP program at BSU; Division Of Earth Sciences; Directorate For Geosciences [1349749, 0819842] Funding Source: National Science Foundation</t>
  </si>
  <si>
    <t>NSF(National Science Foundation (NSF)); FONCyT(FONCyT); LSAMP program at BSU; Division Of Earth Sciences; Directorate For Geosciences(National Science Foundation (NSF)NSF - Directorate for Geosciences (GEO))</t>
  </si>
  <si>
    <t>We thank Paul Koch for suggesting the Ratchet to explain evolution of hypsodonty in the context of relatively constant climate and two reviewers for incisive comments, including primary sources for the Ratchet model. Funded by NSF grants EAR0842367 for instrumentation, EAR0819837 and EAR1349749 to MJK, DEB1110354 to RED and CAES, EAR0819910 to CAES, EAR0819842 to RHM, a FONCyT grant to AAC, and the LSAMP program at BSU.</t>
  </si>
  <si>
    <t>0031-0182</t>
  </si>
  <si>
    <t>1872-616X</t>
  </si>
  <si>
    <t>PALAEOGEOGR PALAEOCL</t>
  </si>
  <si>
    <t>Paleogeogr. Paleoclimatol. Paleoecol.</t>
  </si>
  <si>
    <t>10.1016/j.palaeo.2015.05.028</t>
  </si>
  <si>
    <t>Geography, Physical; Geosciences, Multidisciplinary; Paleontology</t>
  </si>
  <si>
    <t>Physical Geography; Geology; Paleontology</t>
  </si>
  <si>
    <t>CP5ZG</t>
  </si>
  <si>
    <t>WOS:000359963500003</t>
  </si>
  <si>
    <t>Wong, CY; Teoh, ML; Phang, SM; Lim, PE; Beardall, J</t>
  </si>
  <si>
    <t>Wong, Chiew-Yen; Teoh, Ming-Li; Phang, Siew-Moi; Lim, Phaik-Eem; Beardall, John</t>
  </si>
  <si>
    <t>Interactive Effects of Temperature and UV Radiation on Photosynthesis of Chlorella Strains from Polar, Temperate and Tropical Environments: Differential Impacts on Damage and Repair</t>
  </si>
  <si>
    <t>SOLAR ULTRAVIOLET-RADIATION; DIATOM THALASSIOSIRA-PSEUDONANA; FATTY-ACID-COMPOSITION; CHLOROPHYLL FLUORESCENCE; PHAEODACTYLUM-TRICORNUTUM; DUNALIELLA-TERTIOLECTA; MARINE-PHYTOPLANKTON; OZONE DEPLETION; CARBON-DIOXIDE; DNA-DAMAGE</t>
  </si>
  <si>
    <t>Global warming and ozone depletion, and the resulting increase of ultraviolet radiation (UVR), have far-reaching impacts on biota, especially affecting the algae that form the basis of the food webs in aquatic ecosystems. The aim of the present study was to investigate the interactive effects of temperature and UVR by comparing the photosynthetic responses of similar taxa of Chlorella from Antarctic (Chlorella UMACC 237), temperate (Chlorella vulgaris UMACC 248) and tropical (Chlorella vulgaris UMACC 001) environments. The cultures were exposed to three different treatments: photosynthetically active radiation (PAR; 400-700 nm), PAR plus ultraviolet-A (320-400 nm) radiation (PAR + UV-A) and PAR plus UV-A and ultraviolet-B (280-320 nm) radiation (PAR + UV-A + UV-B) for one hour in incubators set at different temperatures. The Antarctic Chlorella was exposed to 4, 14 and 20 degrees C. The temperate Chlorella was exposed to 11, 18 and 25 degrees C while the tropical Chlorella was exposed to 24, 28 and 30 degrees C. A pulse-amplitude modulated (PAM) fluorometer was used to assess the photosynthetic response of microalgae. Parameters such as the photoadaptive index (E-k) and light harvesting efficiency (alpha) were determined from rapid light curves. The damage (k) and repair (r) rates were calculated from the decrease in phi PSIIeff over time during exposure response curves where cells were exposed to the various combinations of PAR and UVR, and fitting the data to the Kok model. The results showed that UV-A caused much lower inhibition than UV-B in photosynthesis in all Chlorella isolates. The three isolates of Chlorella from different regions showed different trends in their photosynthesis responses under the combined effects of UVR (PAR + UV-A + UV-B) and temperature. In accordance with the noted strain-specific characteristics, we can conclude that the repair (r) mechanisms at higher temperatures were not sufficient to overcome damage caused by UVR in the Antarctic Chlorella strain, suggesting negative effects of global climate change on microalgae inhabiting (circum-) polar regions. For temperate and tropical strains of Chlorella, damage from UVR was independent of temperature but the repair constant increased with increasing temperature, implying an improved ability of these strains to recover from UVR stress under global warming.</t>
  </si>
  <si>
    <t>[Wong, Chiew-Yen] Int Med Univ, Dept Human Biol, Kuala Lumpur 57000, Malaysia; [Wong, Chiew-Yen; Teoh, Ming-Li; Phang, Siew-Moi; Lim, Phaik-Eem] Univ Malaya, Inst Ocean &amp; Earth Sci, Kuala Lumpur 50603, Malaysia; [Wong, Chiew-Yen] Univ Malaya, Inst Grad Studies, Natl Antarctic Res Ctr, Kuala Lumpur 50603, Malaysia; [Teoh, Ming-Li] Taylors Univ, Sch Biosci, Subang Jaya 47500, Selangor Darul, Malaysia; [Phang, Siew-Moi; Lim, Phaik-Eem] Univ Malaya, Inst Biol Sci, Kuala Lumpur 50603, Malaysia; [Beardall, John] Monash Univ, Sch Biol Sci, Clayton, Vic 3800, Australia</t>
  </si>
  <si>
    <t>International Medical University Malaysia; Universiti Malaya; Universiti Malaya; Taylor's University; Universiti Malaya; Monash University</t>
  </si>
  <si>
    <t>Wong, CY (corresponding author), Int Med Univ, Dept Human Biol, 126,Jalan Jalil Perkasa 19, Kuala Lumpur 57000, Malaysia.</t>
  </si>
  <si>
    <t>WongChiewYen@imu.edu.my; phang@um.edu.my</t>
  </si>
  <si>
    <t>Beardall, John/L-5262-2019; LIM, Phaik Eem/B-5331-2010; Phang, Siew Moi/A-7653-2008</t>
  </si>
  <si>
    <t>Beardall, John/0000-0001-7684-446X; LIM, Phaik Eem/0000-0001-9186-1487; Teoh, Ming Li/0000-0001-7979-6045; Wong, Chiew-Yen/0000-0003-0534-6206</t>
  </si>
  <si>
    <t>Antarctic Biodiversity Grants from the Ministry of Science, Technology and Innovation (MOSTI), Malaysia [8123204]; Antarctic Flagship Project, Ministry of Science, Technology &amp; Innovation (MOSTI), Malaysia [FP0712E012]; Knowledge Management [2015: RU009K]; University of Malaya Research Grant Programme [RP002C-13SUS]; Ministry of Education, Malaysia, HiCOE [IOES-2014]</t>
  </si>
  <si>
    <t>Antarctic Biodiversity Grants from the Ministry of Science, Technology and Innovation (MOSTI), Malaysia; Antarctic Flagship Project, Ministry of Science, Technology &amp; Innovation (MOSTI), Malaysia; Knowledge Management; University of Malaya Research Grant Programme; Ministry of Education, Malaysia, HiCOE</t>
  </si>
  <si>
    <t>The authors would like to thank the following funding agency in providing research grants for the implementation of the research project: Antarctic Biodiversity Grants (#8123204) from the Ministry of Science, Technology and Innovation (MOSTI), Malaysia, coordinated by the Academy of Sciences Malaysia (ASM): S-MP; Antarctic Flagship Project (FP0712E012), Ministry of Science, Technology &amp; Innovation (MOSTI), Malaysia: C-YW; Knowledge Management (2015: RU009K): S-MP; University of Malaya Research Grant Programme (RP002C-13SUS): P-EL; Ministry of Education, Malaysia, HiCOE research grant (IOES-2014): S-MP, P-EL.</t>
  </si>
  <si>
    <t>e0139469</t>
  </si>
  <si>
    <t>10.1371/journal.pone.0139469</t>
  </si>
  <si>
    <t>CS6GT</t>
  </si>
  <si>
    <t>WOS:000362177100067</t>
  </si>
  <si>
    <t>Zwolicki, A; Barcikowski, M; Barcikowski, A; Cymerski, M; Stempniewicz, L; Convey, P</t>
  </si>
  <si>
    <t>Zwolicki, Adrian; Barcikowski, Mateusz; Barcikowski, Adam; Cymerski, Mariusz; Stempniewicz, Lech; Convey, Peter</t>
  </si>
  <si>
    <t>Seabird colony effects on soil properties and vegetation zonation patterns on King George Island, Maritime Antarctic</t>
  </si>
  <si>
    <t>POLAR BIOLOGY</t>
  </si>
  <si>
    <t>Vegetation zones; Soil chemistry; Environmental gradient; Penguins; Petrels</t>
  </si>
  <si>
    <t>ORNITHOGENIC PRODUCTS; PRIMARY SUCCESSION; PENGUIN ROOKERIES; MACRONECTES-HALLI; CLIMATE-CHANGE; GIANT PETRELS; COMMUNITIES; ECOSYSTEMS; NUTRIENTS; LICHEN</t>
  </si>
  <si>
    <t>Seabirds are among the most important vectors transferring biogenic compounds from the sea onto land in the polar regions and, consequently, influencing the properties of soil and vegetation. We studied the influence of bird colonies (Ad,lie penguin Pygoscelis adeliae, gentoo penguin P. papua and giant petrels Macronectes giganteus) on soil properties and plant communities on King George Island, Maritime Antarctic. We designated seven transects, each starting from the colony edge and running to a natural boundary feature, which were divided into contiguous sample plots where we identified specific plant taxa (Prasiola crispa, Deschampsia antarctica, Colobanthus quitensis, Usnea sp.), as well as hydrophilous and xerophilous ecological groups of mosses. Based on percentage contributions of each of these taxa, we distinguished six distinct vegetation zones along the transects, in which we measured physical (moisture, conductivity and pH) and chemical (NO3 (-), NO2 (-), NH4 (+), K+ and PO4 (3-) content) soil parameters. Our study confirmed that, with increasing distance from bird colonies, the concentration of nutrients and soil conductivity decreased, while pH increased. The vegetation zones were clearly related to this gradient of seabird colony influence and occurred in the same sequence for all three bird species examined, although the largest colony of Ad,lie penguins had the strongest effect on vegetation. Similarly, the physical and chemical soil properties did not differ significantly between the colonies.</t>
  </si>
  <si>
    <t>[Zwolicki, Adrian; Barcikowski, Mateusz; Stempniewicz, Lech] Univ Gdansk, Dept Vertebrate Ecol &amp; Zool, PL-80308 Gdansk, Poland; [Barcikowski, Adam] Nicolaus Copernicus Univ, Dept Plant Ecol &amp; Nat Protect, PL-87100 Torun, Poland; [Convey, Peter] British Antarctic Survey, NERC, Cambridge CB3 0ET, England</t>
  </si>
  <si>
    <t>Fahrenheit Universities; University of Gdansk; Nicolaus Copernicus University; UK Research &amp; Innovation (UKRI); Natural Environment Research Council (NERC); NERC British Antarctic Survey</t>
  </si>
  <si>
    <t>Zwolicki, A (corresponding author), Univ Gdansk, Dept Vertebrate Ecol &amp; Zool, Wita Stwosza 59, PL-80308 Gdansk, Poland.</t>
  </si>
  <si>
    <t>prosoche@poczta.onet.pl</t>
  </si>
  <si>
    <t>Convey, Peter/AAV-5728-2020; Stempniewicz, Lech/JAN-4833-2023</t>
  </si>
  <si>
    <t>Convey, Peter/0000-0001-8497-9903; Stempniewicz, Lech/0000-0001-9405-7320; Zwolicki, Adrian/0000-0003-2710-681X</t>
  </si>
  <si>
    <t>Polish Ministry of Science and Higher Education [1883/P01/2007/32]; NERC; Natural Environment Research Council [bas0100036] Funding Source: researchfish; NERC [bas0100036] Funding Source: UKRI</t>
  </si>
  <si>
    <t>Polish Ministry of Science and Higher Education(Ministry of Science and Higher Education, Poland);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</si>
  <si>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supported by the Polish Ministry of Science and Higher Education (Grants No. 1883/P01/2007/32). P. Convey is supported by NERC core funding to the British Antarctic Survey's Ecosystems Programme. This paper also contributes to the SCAR AnT-ERA research programme. We would like to thank Dr. Lech Iliszko for assistance in data collection and laboratory analyses. Special thanks to Dr. Agata Weydmann and Dr. Katarzyna Zmudczynska-Skarbek for their helpful criticism of earlier versions of this article. Thanks are also due to the 30th and 31st Arctowski expeditions.</t>
  </si>
  <si>
    <t>233 SPRING ST, NEW YORK, NY 10013 USA</t>
  </si>
  <si>
    <t>0722-4060</t>
  </si>
  <si>
    <t>1432-2056</t>
  </si>
  <si>
    <t>POLAR BIOL</t>
  </si>
  <si>
    <t>Polar Biol.</t>
  </si>
  <si>
    <t>10.1007/s00300-015-1730-z</t>
  </si>
  <si>
    <t>Biodiversity Conservation; Ecology</t>
  </si>
  <si>
    <t>CQ7BQ</t>
  </si>
  <si>
    <t>WOS:000360758200009</t>
  </si>
  <si>
    <t>Murcia, S; Terrados, J; Ramírez-García, P; Mansilla, A</t>
  </si>
  <si>
    <t>Murcia, Silvia; Terrados, Jorge; Ramirez-Garcia, Pedro; Mansilla, Andres</t>
  </si>
  <si>
    <t>Phenology, biomass and productivity of sub-Antarctic Ruppia filifolia</t>
  </si>
  <si>
    <t>Rhizome plastochrone; Vegetative development; Seagrass; Macrophyte</t>
  </si>
  <si>
    <t>DOMINATED COMMUNITIES; WESTERN-EUROPE; AQUATIC PLANT; AISEN REGION; ECOLOGY; DIVERSITY; GROWTH; MACROPHYTES; SEAGRASSES; ESTUARINE</t>
  </si>
  <si>
    <t>Seagrasses play important ecological roles in shallow coastal ecosystems from tropical to sub-polar seas. Ruppia filifolia (Phil.) Skottsberg is the seagrass with the world's southernmost distribution but with virtually unknown biology and ecology. The goal of this study was to identify the ecological roles that R. filifolia might play in sub-Antarctic environments through the assessment of the development and primary productivity of this aquatic flowering plant. We monitored biomass and shoot density, rhizome growth and the presence of reproductive structures during 1 year in Skyring Sound, sub-Antarctic Chile. Ruppia filifolia forms perennial meadows with high biomass (124-293 g DW m(-2)) and shoot density (1800-5300 shoot m(-2)), a continuous presence of vertical stems and a rhizome plus root to shoot biomass ratio &gt; 1. Plant development shows a unimodal seasonal pattern with flowering in spring, and fruiting and maximum growth during summer. An average rhizome plastochrone of 37 days and median rhizome elongation of 27.5 cm plant(-1) year(-1) rank R. filifolia as a slow-growing seagrass. Primary productivity varied from 0.5 to 4.2 g DW m(-2) day(-1), resulting in an annual primary production of 700 g DW m(-2). Ruppia filifolia in sub-Antarctic environments might play ecosystem roles (carbon sequestration, sediment stabilization, structural habitat, nutrition sources) as important as those played by seagrasses in tropical or temperate coastal environments.</t>
  </si>
  <si>
    <t>[Murcia, Silvia; Mansilla, Andres] Univ Magallanes, Dept Ciencias &amp; Recursos Nat, LMAS, Punta Arenas 6200000, Region De Magal, Chile; [Terrados, Jorge] CSIC UIB, Inst Mediterraneo Estudios Avanzados IMEDEA, Esporles 07190, Mallorca, Spain; [Ramirez-Garcia, Pedro] Univ Nacl Autonoma Mexico, Inst Biol, Dept Bot, Lab Vegetac Acuat, Mexico City 04510, DF, Mexico; [Mansilla, Andres] Univ Chile, IEB, Santiago, Chile</t>
  </si>
  <si>
    <t>Universidad de Magallanes; Universitat de les Illes Balears; Consejo Superior de Investigaciones Cientificas (CSIC); ATTITUS Educacao; University of Barcelona; Universidad Nacional Autonoma de Mexico; Universidad de Chile</t>
  </si>
  <si>
    <t>Murcia, S (corresponding author), Univ Magallanes, Dept Ciencias &amp; Recursos Nat, LMAS, Ave Bulnes 01855, Punta Arenas 6200000, Region De Magal, Chile.</t>
  </si>
  <si>
    <t>silviamurcia.m@gmail.com</t>
  </si>
  <si>
    <t>Terrados, Jorge/B-1062-2008</t>
  </si>
  <si>
    <t>Terrados, Jorge/0000-0002-0921-721X; Mansilla, Andres/0000-0003-3505-7018</t>
  </si>
  <si>
    <t>Universidad de Magallanes' Internal Research Funding Program; Programa de Atraccion de Capital Humano Avanzado del Extranjero, Modalidad Estadias Cortas (PAI-MEC) of the Comision Nacional de Investigacion Cientifica y Tecnologica (CONICYT), Chile</t>
  </si>
  <si>
    <t>This study was partially financed by a Universidad de Magallanes' Internal Research Funding Program granted to S.M., and by Programa de Atraccion de Capital Humano Avanzado del Extranjero, Modalidad Estadias Cortas (PAI-MEC 2011) of the Comision Nacional de Investigacion Cientifica y Tecnologica (CONICYT), Chile. We thank Matias Hune and Ernesto Davis for their help in the field and Javier Rendoll for his help in the laboratory.</t>
  </si>
  <si>
    <t>10.1007/s00300-015-1734-8</t>
  </si>
  <si>
    <t>WOS:000360758200012</t>
  </si>
  <si>
    <t>Parmelee, DEF; Kyle, PR; Kurz, MD; Marrero, SM; Phillips, FM</t>
  </si>
  <si>
    <t>Parmelee, David E. F.; Kyle, Philip R.; Kurz, Mark D.; Marrero, Shasta M.; Phillips, Fred M.</t>
  </si>
  <si>
    <t>A new Holocene eruptive history of Erebus volcano, Antarctica using cosmogenic 3He and 36Cl exposure ages</t>
  </si>
  <si>
    <t>QUATERNARY GEOCHRONOLOGY</t>
  </si>
  <si>
    <t>Erebus volcano; Cosmogenic nuclides; Exposure age; Helium-3; Chlorine-36</t>
  </si>
  <si>
    <t>IN-SITU PRODUCTION; PRODUCTION-RATES; MOUNT EREBUS; NUCLIDE PRODUCTION; LAVA FLOWS; DRILLING PROJECT; 40AR/39AR; FLUXES; ROCKS; SIMULATION</t>
  </si>
  <si>
    <t>The ages of recent effusive eruptions on Erebus volcano, Antarctica are poorly known. Published 40Ar/39Ar ages of the 10 youngest post-caldera lava flows are unreliable because of the young ages of the flows (&lt;10 ka) and the presence of excess 40Ar. Here we use cosmogenic He-3 and Cl-36 to provide new ages for the 10 youngest flows and 3 older summit flows, including a newly recognized flow distinguished by its exposure age. Estimated eruption ages of the post-caldera flows, assuming no erosion or prior snow cover, range from 4.52 +/- 0.08 ka to 8.50 +/- 0.19 ka, using Lifton et al. (2014) to scale cosmogenic production rates. If the older Lal (1991)/Stone (2000) model is used to scale production rates, calculated ages are older by 16-25%. Helium-3 and chlorine-36 exposure ages measured on the same samples show excellent agreement. Helium-3 ages measured on clinopyroxene and olivine from the same samples are discordant, probably due in part to lower-than-expected He-3 production rates in the Fe-rich olivine. Close agreement of multiple clinopyroxene He-3 ages from each flow indicates that the effects of past snow coverage on the exposure ages have been minimal. The new cosmogenic ages differ considerably from published 40Ar/39Ar and Cl-36 ages and reveal that the post-caldera flows were erupted during relatively brief periods of effusive activity spread over an interval of similar to 4 ka. The average eruption rate over this interval is estimated to be 0.01 km(3)/ka. Because the last eruption was at least 4 ka ago, and the longest repose interval between the 10 youngest eruptions is ka, we consider the most recent period of effusive activity to have ended. (C) 2015 The Authors. Published by Elsevier B.V. The ages of recent effusive eruptions on Erebus volcano, Antarctica are poorly known. Published 40Ar/39Ar ages of the 10 youngest post-caldera lava flows are unreliable because of the young ages of the flows (&lt;10 ka) and the presence of excess 40Ar. Here we use cosmogenic He-3 and Cl-36 to provide new ages for the 10 youngest flows and 3 older summit flows, including a newly recognized flow distinguished by its exposure age. Estimated eruption ages of the post-caldera flows, assuming no erosion or prior snow cover, range from 4.52 +/- 0.08 ka to 8.50 +/- 0.19 ka, using Lifton et al. (2014) to scale cosmogenic production rates. If the older Lal (1991)/Stone (2000) model is used to scale production rates, calculated ages are older by 16-25%. Helium-3 and chlorine-36 exposure ages measured on the same samples show excellent agreement. Helium-3 ages measured on clinopyroxene and olivine from the same samples are discordant, probably due in part to lower-than-expected He-3 production rates in the Fe-rich olivine. Close agreement of multiple clinopyroxene He-3 ages from each flow indicates that the effects of past snow coverage on the exposure ages have been minimal. The new cosmogenic ages differ considerably from published 40Ar/39Ar and Cl-36 ages and reveal that the post-caldera flows were erupted during relatively brief periods of effusive activity spread over an interval of similar to 4 ka. The average eruption rate over this interval is estimated to be 0.01 km(3)/ka. Because the last eruption was at least 4 ka ago, and the longest repose interval between the 10 youngest eruptions is ka, we consider the most recent period of effusive activity to have ended. (C) 2015 The Authors. Published by Elsevier B.V.</t>
  </si>
  <si>
    <t>[Parmelee, David E. F.] New Mexico Inst Min &amp; Technol, Dept Earth &amp; Environm Sci, Socorro, NM 87801 USA; [Parmelee, David E. F.; Kyle, Philip R.; Phillips, Fred M.] New Mexico Inst Min &amp; Technol, Dept Earth &amp; Environm Sci, Socorro, NM 87801 USA; [Kurz, Mark D.] Woods Hole Oceanog Inst, Dept Marine Chem &amp; Geochem, Woods Hole, MA 02543 USA; [Marrero, Shasta M.] Univ Edinburgh, Sch GeoSci, Edinburgh EH8 9XP, Midlothian, Scotland</t>
  </si>
  <si>
    <t>New Mexico Institute of Mining Technology; New Mexico Institute of Mining Technology; Woods Hole Oceanographic Institution; University of Edinburgh</t>
  </si>
  <si>
    <t>Parmelee, DEF (corresponding author), New Mexico Inst Min &amp; Technol, Dept Earth &amp; Environm Sci, Socorro, NM 87801 USA.</t>
  </si>
  <si>
    <t>davidefparmelee@gmail.com</t>
  </si>
  <si>
    <t>Marrero, Shasta/0000-0003-2917-0292</t>
  </si>
  <si>
    <t>National Science Foundation, Division of Polar Programs [ANT-1142083]; Directorate For Geosciences; Office of Polar Programs (OPP) [1142083] Funding Source: National Science Foundation</t>
  </si>
  <si>
    <t>National Science Foundation, Division of Polar Programs(National Science Foundation (NSF)); Directorate For Geosciences; Office of Polar Programs (OPP)(National Science Foundation (NSF)NSF - Directorate for Geosciences (GEO))</t>
  </si>
  <si>
    <t>This research was supported by grant ANT-1142083 from the National Science Foundation, Division of Polar Programs. We thank Nels Iverson, Tehnuka Ilanko, and Aaron Curtis for assistance in the field. Antarctic fieldwork would not be possible without the tremendous logistical support from the staff and the civilian contractors working out of McMurdo Station on behalf of the Division of Polar Programs of NSF. We extend special thanks PHI, Inc. and Helicopters New Zealand for the helicopter support. Thanks to the staffs of PRIME Lab at Purdue University and the WHOI isotope geochemistry facility, and Joshua Curtice at WHOI in particular, for analyzing the samples in this study. Finally, this manuscript was greatly improved thanks to insightful feedback from Nelia Dunbar, Bill McIntosh, and two anonymous reviewers.</t>
  </si>
  <si>
    <t>1871-1014</t>
  </si>
  <si>
    <t>1878-0350</t>
  </si>
  <si>
    <t>QUAT GEOCHRONOL</t>
  </si>
  <si>
    <t>Quat. Geochronol.</t>
  </si>
  <si>
    <t>A</t>
  </si>
  <si>
    <t>10.1016/j.quageo.2015.09.001</t>
  </si>
  <si>
    <t>CY6SC</t>
  </si>
  <si>
    <t>WOS:000366538100013</t>
  </si>
  <si>
    <t>Stokes, CR; Tarasov, L; Blomdin, R; Cronin, TM; Fisher, TG; Gyllencreutz, R; Hättestrand, C; Heyman, J; Hindmarsh, RCA; Hughes, ALC; Jakobsson, M; Kirchner, N; Livingstone, SJ; Margold, M; Murton, JB; Riko, N; Peltier, WR; Peteet, DM; Piper, DJW; Preusser, F; Renssen, H; Roberts, DH; Roche, DM; Saint-Ange, F; Stroeven, AP; Teller, JT</t>
  </si>
  <si>
    <t>Stokes, Chris R.; Tarasov, Lev; Blomdin, Robin; Cronin, Thomas M.; Fisher, Timothy G.; Gyllencreutz, Richard; Hattestrand, Clas; Heyman, Jakob; Hindmarsh, Richard C. A.; Hughes, Anna L. C.; Jakobsson, Martin; Kirchner, Nina; Livingstone, Stephen J.; Margold, Martin; Murton, Julian B.; Noormets, Riko; Peltier, W. Richard; Peteet, Dorothy M.; Piper, David J. W.; Preusser, Frank; Renssen, Hans; Roberts, David H.; Roche, Didier M.; Saint-Ange, Francky; Stroeven, Arjen P.; Teller, James T.</t>
  </si>
  <si>
    <t>On the reconstruction of palaeo-ice sheets: Recent advances and future challenges</t>
  </si>
  <si>
    <t>Ice sheet reconstruction; Numerical modelling; Palaeoglaciology; Glaciology</t>
  </si>
  <si>
    <t>GLACIAL LAKE AGASSIZ; RELATIVE SEA-LEVEL; LATE QUATERNARY STRATIGRAPHY; LARGE ENSEMBLE ANALYSIS; COSMOGENIC NUCLIDE MEASUREMENTS; MODEL INTERCOMPARISON PROJECT; PRODUCTION-RATE CALIBRATION; SUBPOLAR NORTH-ATLANTIC; SOUTHERN NORWEGIAN SEA; LAST OUTBURST FLOOD</t>
  </si>
  <si>
    <t>Reconstructing the growth and decay of palaeo-ice sheets is critical to understanding mechanisms of global climate change and associated sea-level fluctuations in the past, present and future. The significance of palaeo-ice sheets is further underlined by the broad range of disciplines concerned with reconstructing their behaviour, many of which have undergone a rapid expansion since the 1980s. In particular, there has been a major increase in the size and qualitative diversity of empirical data used to reconstruct and date ice sheets, and major improvements in our ability to simulate their dynamics in numerical ice sheet models. These developments have made it increasingly necessary to forge interdisciplinary links between sub-disciplines and to link numerical modelling with observations and dating of proxy records. The aim of this paper is to evaluate recent developments in the methods used to reconstruct ice sheets and outline some key challenges that remain, with an emphasis on how future work might integrate terrestrial and marine evidence together with numerical modelling. Our focus is on pan-ice sheet reconstructions of the last deglaciation, but regional case studies are used to illustrate methodological achievements, challenges and opportunities. Whilst various disciplines have made important progress in our understanding of ice-sheet dynamics, it is clear that data-model integration remains under-used, and that uncertainties remain poorly quantified in both empirically-based and numerical ice-Sheet reconstructions. The representation of past climate will continue to be the largest source of uncertainty for numerical modelling. As such, palaeo-observations are critical to constrain and validate modelling. State-of-the-art numerical models will continue to improve both in model resolution and in the breadth of inclusion of relevant processes, thereby enabling more accurate and more direct comparison with the increasing range of palaeo-observations. Thus, the capability is developing to use all relevant palaeo-records to more strongly constrain deglacial (and to a lesser extent pre-LGM) ice sheet evolution. In working towards that goal, the accurate representation of uncertainties is required for both constraint data and model outputs. Close cooperation between modelling and data-gathering communities is essential to ensure this capability is realised and continues to progress. (C) 2015 Elsevier Ltd. All rights reserved.</t>
  </si>
  <si>
    <t>[Stokes, Chris R.; Margold, Martin; Roberts, David H.] Univ Durham, Dept Geog, Durham DH1 3LE, England; [Tarasov, Lev] Mem Univ Newfoundland, Dept Phys &amp; Phys Oceanog, St John, NF A1B 3X7, Canada; [Blomdin, Robin] Purdue Univ, Dept Earth Atmospher &amp; Planetary Sci, W Lafayette, IN 47907 USA; [Blomdin, Robin; Hattestrand, Clas; Heyman, Jakob; Kirchner, Nina; Margold, Martin; Stroeven, Arjen P.] Stockholm Univ, Dept Phys Geog, S-10691 Stockholm, Sweden; [Blomdin, Robin; Hattestrand, Clas; Heyman, Jakob; Kirchner, Nina; Margold, Martin; Stroeven, Arjen P.] Stockholm Univ, Bolin Ctr Climate Res, S-10691 Stockholm, Sweden; [Cronin, Thomas M.] US Geol Survey, Reston, VA 20192 USA; [Fisher, Timothy G.] Univ Toledo, Dept Environm Sci, Toledo, OH 43606 USA; [Gyllencreutz, Richard; Jakobsson, Martin] Stockholm Univ, Dept Geol Sci, S-10691 Stockholm, Sweden; [Hindmarsh, Richard C. A.] British Antarctic Survey, Cambridge CB3 0ET, England; [Hughes, Anna L. C.] Univ Bergen, Dept Earth Sci, N-5007 Bergen, Norway; [Hughes, Anna L. C.] Bjerknes Ctr Climate Res, N-5007 Bergen, Norway; [Livingstone, Stephen J.] Univ Sheffield, Dept Geog, Sheffield S10 2TN, S Yorkshire, England; [Murton, Julian B.] Univ Sussex, Dept Geog, Brighton BN1 9QJ, E Sussex, England; [Noormets, Riko] Univ Ctr Svalbard UNIS, N-9171 Longyearbyen, Norway; [Peltier, W. Richard] Univ Toronto, Dept Phys, Toronto, ON M5S 1A7, Canada; [Peteet, Dorothy M.] Lamont Doherty Earth Observ, Palisades, NY 10964 USA; [Peteet, Dorothy M.] NASA Goddard Inst Space Studies, New York, NY 10025 USA; [Piper, David J. W.; Saint-Ange, Francky] Geol Survey Canada Atlantic, Bedford Inst Oceanog, Dartmouth, NS B2Y 4A2, Canada; [Preusser, Frank] Univ Freiburg, Inst Earth &amp; Environm Sci Geol, D-79104 Freiburg, Germany; [Renssen, Hans; Roche, Didier M.] Vrije Univ Amsterdam, Fac Earth &amp; Life Sci, Amsterdam, Netherlands; [Roche, Didier M.] CEA CNRS INSU UVSQ, LSCE, Gif Sur Yvette, France; [Teller, James T.] Univ Manitoba, Dept Geol Sci, Winnipeg, MB R3T 2N2, Canada</t>
  </si>
  <si>
    <t>Durham University; Memorial University Newfoundland; Purdue University System; Purdue University; Stockholm University; Stockholm University; United States Department of the Interior; United States Geological Survey; University System of Ohio; University of Toledo; Stockholm University; UK Research &amp; Innovation (UKRI); Natural Environment Research Council (NERC); NERC British Antarctic Survey; University of Bergen; Bjerknes Centre for Climate Research; University of Sheffield; University of Sussex; University Centre Svalbard (UNIS); University of Toronto; Columbia University; National Aeronautics &amp; Space Administration (NASA); NASA Goddard Space Flight Center; Goddard Institute for Space Studies; Natural Resources Canada; Lands &amp; Minerals Sector - Natural Resources Canada; Geological Survey of Canada; Bedford Institute of Oceanography; University of Freiburg; Vrije Universiteit Amsterdam; CEA; Centre National de la Recherche Scientifique (CNRS); Universite Paris Saclay; University of Manitoba</t>
  </si>
  <si>
    <t>Stokes, CR (corresponding author), Univ Durham, Dept Geog, Durham DH1 3LE, England.</t>
  </si>
  <si>
    <t>c.r.stokes@durham.ac.uk</t>
  </si>
  <si>
    <t>Jakobsson, Martin/JAN-6828-2023; Peltier, William R./A-1102-2008; Hindmarsh, Richard/N-1195-2019; Jakobsson, Martin/F-6214-2010; Hughes, Anna L. C./J-5628-2015; Roche, Didier M./C-9875-2010; Stokes, Chris/A-1957-2011; Stroeven, Arjen/I-7330-2013; Margold, Martin/V-4634-2018</t>
  </si>
  <si>
    <t>Hindmarsh, Richard/0000-0003-1633-2416; Hughes, Anna L. C./0000-0001-8584-5202; Roche, Didier M./0000-0001-6272-9428; Murton, Julian/0000-0002-9469-5856; Gyllencreutz, Richard/0000-0003-3193-8598; Noormets, Riko/0000-0002-2832-386X; Livingstone, Stephen/0000-0002-7240-5037; Kirchner, Nina/0000-0002-6371-5527; Stokes, Chris/0000-0003-3355-1573; Jakobsson, Martin/0000-0002-9033-3559; Stroeven, Arjen/0000-0001-8812-2253; Preusser, Frank/0000-0002-5654-1346; Margold, Martin/0000-0001-5834-850X</t>
  </si>
  <si>
    <t>INQUA; NERC [NE/F015526/1, NE/J008087/1, bas0100034, NE/J008095/1] Funding Source: UKRI; Natural Environment Research Council [NE/J008095/1, NE/J008087/1, bas0100034, NE/F015526/1] Funding Source: researchfish</t>
  </si>
  <si>
    <t>INQUA; NERC(UK Research &amp; Innovation (UKRI)Natural Environment Research Council (NERC)); Natural Environment Research Council(UK Research &amp; Innovation (UKRI)Natural Environment Research Council (NERC))</t>
  </si>
  <si>
    <t>This paper results from an INQUA (International Union for Quaternary Research) project: 'Meltwater routing and Ocean-Cryosphere-Atmosphere response (MOCA)'. We wish to thank INQUA for their generous financial support and all those who participated in various MOCA workshops. We also thank numerous colleagues who commented on sections of the manuscript prior to submission, and the invaluable comments of two anonymous referees. We are also grateful to Christine Batchelor and Nick Golledge who provided Figure's 7 and 15, respectively. Any use of trade, firm, or product names is for descriptive purposes only and does not imply endorsement by the U.S. Government.</t>
  </si>
  <si>
    <t>10.1016/j.quascirev.2015.07.016</t>
  </si>
  <si>
    <t>Green Accepted, Green Submitted</t>
  </si>
  <si>
    <t>WOS:000362049400002</t>
  </si>
  <si>
    <t>Mearns, AJ; Reish, DJ; Oshida, PS; Ginn, T; Rempel-Hester, MA; Arthur, C; Rutherford, N; Pryor, R</t>
  </si>
  <si>
    <t>Mearns, Alan J.; Reish, Donald J.; Oshida, Philip S.; Ginn, Thomas; Rempel-Hester, Mary Ann; Arthur, Courtney; Rutherford, Nicolle; Pryor, Rachel</t>
  </si>
  <si>
    <t>Effects of Pollution on Marine Organisms</t>
  </si>
  <si>
    <t>WATER ENVIRONMENT RESEARCH</t>
  </si>
  <si>
    <t>Tissue residues; toxicity; bioaccumulation; biomagnification; biomarkers; sediment quality; ecological risk assessment; endocrine disrupters; nano particles; POPs; PCBs; PAHs; PBDEs; radionuclides; pharmaceuticals; personal care products; trace metals; pesticides; biomarkers; marine biocides; oil spills; dispersants; sewage; debris; dredging; eutrophication; human disturbance; Arctic; Antarctic</t>
  </si>
  <si>
    <t>WATER-HORIZON OIL; POLYCYCLIC AROMATIC-HYDROCARBONS; MEDAKA ORYZIAS-MELASTIGMA; LOGGERHEAD SEA-TURTLES; EARLY-LIFE STAGES; POLYCHAETE HEDISTE-DIVERSICOLOR; POLYBROMINATED DIPHENYL ETHERS; ENDOCRINE DISRUPTING CHEMICALS; CLAMS RUDITAPES-PHILIPPINARUM; FLOUNDER PLATICHTHYS-FLESUS</t>
  </si>
  <si>
    <t>This review covers selected 2014 articles on the biological effects of pollutants and human physical disturbances on marine and estuarine plants, animals, ecosystems and habitats. The review, based largely on journal articles, covers field and laboratory measurement activities (bioaccumulation of contaminants, field assessment surveys, toxicity testing and biomarkers) as well as pollution issues of current interest including endocrine disrupters, emerging contaminants, wastewater discharges, dredging and disposal, etc. Special emphasis is placed on effects of oil spills and marine debris due in part to the 2010 Deepwater Horizon oil blowout in the Gulf of Mexico and the 2011 Japanese tsunami. Several topical areas reviewed in the past (ballast water and ocean acidification) were dropped this year. The focus of this review is on effects, not pollutant fate and transport. There is considerable overlap across subject areas (e.g. some bioaccumulation papers may be cited in other topical categories). Please use keyword searching of the text to locate related but distributed papers. Use this review only as a guide and please consult the original papers before citing them.</t>
  </si>
  <si>
    <t>[Mearns, Alan J.; Rutherford, Nicolle; Pryor, Rachel] NOAA, Emergency Response Div, 7600 Sand Point Way NE, Seattle, WA 98115 USA; [Reish, Donald J.] Calif State Univ Long Beach, Dept Biol Sci, Long Beach, CA USA; [Oshida, Philip S.] US Environm Protect Agcy, Washington, DC USA; [Ginn, Thomas] Exponent Inc, Sedona, AZ USA; [Rempel-Hester, Mary Ann] Aquat Toxicol Support, Bremerton, WA USA; [Arthur, Courtney] Ind Econ Inc, Cambridge, MA USA</t>
  </si>
  <si>
    <t>National Oceanic Atmospheric Admin (NOAA) - USA; California State University System; California State University Long Beach; United States Environmental Protection Agency; Exponent; Industrial Economics, Incorporated</t>
  </si>
  <si>
    <t>Mearns, AJ (corresponding author), NOAA, Emergency Response Div, 7600 Sand Point Way NE, Seattle, WA 98115 USA.</t>
  </si>
  <si>
    <t>alan.mearns@noaa.gov</t>
  </si>
  <si>
    <t>1061-4303</t>
  </si>
  <si>
    <t>1554-7531</t>
  </si>
  <si>
    <t>WATER ENVIRON RES</t>
  </si>
  <si>
    <t>Water Environ. Res.</t>
  </si>
  <si>
    <t>10.2175/106143015X14338845156380</t>
  </si>
  <si>
    <t>Engineering, Environmental; Environmental Sciences; Limnology; Water Resources</t>
  </si>
  <si>
    <t>Engineering; Environmental Sciences &amp; Ecology; Marine &amp; Freshwater Biology; Water Resources</t>
  </si>
  <si>
    <t>VM3NN</t>
  </si>
  <si>
    <t>WOS:001000856700032</t>
  </si>
  <si>
    <t>Chen, C; Linse, K; Roterman, CN; Copley, JT; Rogers, AD</t>
  </si>
  <si>
    <t>Chen, Chong; Linse, Katrin; Roterman, Christopher N.; Copley, Jonathan T.; Rogers, Alex D.</t>
  </si>
  <si>
    <t>A new genus of large hydrothermal vent-endemic gastropod (Neomphalina: Peltospiridae)</t>
  </si>
  <si>
    <t>ZOOLOGICAL JOURNAL OF THE LINNEAN SOCIETY</t>
  </si>
  <si>
    <t>East Scotia Ridge; Gigantopelta; Indian Ocean; population genetics; Southern Ocean</t>
  </si>
  <si>
    <t>SEA; EVOLUTIONARY; PHYLOGENY; SEQUENCES; INDICATE; FAMILY; SEEPS; TAXA</t>
  </si>
  <si>
    <t>Recently discovered hydrothermal vent fields on the East Scotia Ridge (ESR, 56- 60 degrees S, 30 degrees W), Southern Ocean, and the South West Indian Ridge (SWIR, 37 degrees S 49 degrees E), Indian Ocean, host two closely related new species of peltospirid gastropods. Morphological and molecular (mitochondrial cytochrome c oxidase subunit I, COI) characterization justify the erection of Gigantopelta gen. nov. within the Peltospiroidae with two new species, Gigantopelta chessoia sp. nov. from ESR and Gigantopelta aegis sp. nov. from SWIR. They attain an extremely large size for the clade Neomphalina, reaching 45.7 mm in shell diameter. The oesophageal gland of both species is markedly enlarged. Gigantopelta aegis has a thick sulphide coating on both the shell and the operculum of unknown function. The analysis of a 579-bp fragment of the COI gene resulted in 19-28% pairwise distance between Gigantopelta and six other genera in Peltospiridae, whereas the range amongst those six genera was 12-28%. The COI divergence between the two newly described species of Gigantopelta was 4.43%. Population genetics analyses using COI (370 bp) of 30 individuals of each species confirmed their genetic isolation and indicate recent rapid demographic expansion in both species. (C) 2015 The Linnean Society of London.</t>
  </si>
  <si>
    <t>[Chen, Chong; Roterman, Christopher N.; Rogers, Alex D.] Univ Oxford, Dept Zool, Oxford OX1 3PS, England; [Linse, Katrin] British Antarctic Survey, Cambridge CB3 0ET, England; [Copley, Jonathan T.] Univ Southampton, Ocean &amp; Earth Sci, Southampton SO14 3ZH, Hants, England</t>
  </si>
  <si>
    <t>University of Oxford; UK Research &amp; Innovation (UKRI); Natural Environment Research Council (NERC); NERC British Antarctic Survey; University of Southampton</t>
  </si>
  <si>
    <t>Chen, C (corresponding author), Univ Oxford, Dept Zool, Tinbergen Bldg,South Pk Rd, Oxford OX1 3PS, England.</t>
  </si>
  <si>
    <t>chong.chen@zoo.ox.ac.uk</t>
  </si>
  <si>
    <t>Copley, Jon/I-7076-2012; Roterman, Christopher Nicolai/AAX-4395-2021; Chen, Chong/F-7489-2019</t>
  </si>
  <si>
    <t>Copley, Jon/0000-0003-3333-4325; Roterman, Christopher Nicolai/0000-0002-6636-6078; Rogers, Alex David/0000-0002-4864-2980; Chen, Chong/0000-0002-5035-4021; Linse, Katrin/0000-0003-3477-3047</t>
  </si>
  <si>
    <t>NERC Consortium Grant [NE/DO1249X/1]; NERC Small Research Grant [NE/H012087/1]; NERC [NE/H012087/1, bas0100036, NE/F005504/1, NE/D010470/2, bas0100026] Funding Source: UKRI; Natural Environment Research Council [bas0100036, NE/H012087/1, NE/D010470/2, bas0100026, NE/F005504/1] Funding Source: researchfish</t>
  </si>
  <si>
    <t>NERC Consortium Grant; NERC Small Research Grant(UK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</si>
  <si>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NERC Consortium Grant NE/DO1249X/1, Chemosynthetically-driven ecosystems south of the Polar Front: biogeography and ecology (ChEsSo) led by Professor Paul Tyler, and also NERC Small Research Grant NE/H012087/1, Biogeography and ecology of the first known deep-sea hydrothermal vent site on the ultraslow-spreading Southwest Indian Ridge led by JTC. The funders had no role in research design, data analysis, publication decisions, or manuscript preparation. The authors would like to thank the Masters and crews of the RRS James Cook expeditions JC42 and JC67 for their great support of scientific activity during the cruises. The pilots and technical teams of ROV Isis and ROV Kiel 6000 are thanked for their sampling efforts. The authors also express gratitude to staff of the UK National Marine Facilities at the National Oceanography Centre for logistic and shipboard support. Special thanks to Dr Anders Waren (Swedish Museum of Natural History) and Dr Sammy De Grave (Oxford University Museum of Natural History) for providing valuable aid in taxonomy. Pete Bucktrout (British Antarctic Survey) is thanked for his excellent specimen photography. Finally, two anonymous reviewers are thanked for their valuable suggestions and comments.</t>
  </si>
  <si>
    <t>0024-4082</t>
  </si>
  <si>
    <t>1096-3642</t>
  </si>
  <si>
    <t>ZOOL J LINN SOC-LOND</t>
  </si>
  <si>
    <t>Zool. J. Linn. Soc.</t>
  </si>
  <si>
    <t>10.1111/zoj.12279</t>
  </si>
  <si>
    <t>CU3SN</t>
  </si>
  <si>
    <t>WOS:000363445700006</t>
  </si>
  <si>
    <t>Fergusson, CL; Henderson, RA</t>
  </si>
  <si>
    <t>Fergusson, C. L.; Henderson, R. A.</t>
  </si>
  <si>
    <t>Early Palaeozoic continental growth in the Tasmanides of northeast Gondwana and its implications for Rodinia assembly and rifting</t>
  </si>
  <si>
    <t>Australia; Convergent margin; Rodinia; Terra Australis Orogen; Thomson Orogen</t>
  </si>
  <si>
    <t>NEW-SOUTH-WALES; LACHLAN FOLD BELT; DETRITAL-ZIRCON AGES; U-PB AGES; DELAMERIAN OROGENY; TECTONIC EVOLUTION; CENTRAL QUEENSLAND; CENTRAL AUSTRALIA; LATE ORDOVICIAN; THOMSON OROGEN</t>
  </si>
  <si>
    <t>Gondwana formed in the Neoproterozoic to Cambrian mainly from collision along the East African and Kuunga orogens at about the same time that the Gondwana palaeo-Pacific facing margin became a long-lived active margin and formed the Terra Australis Orogen. This orogen, and in particular the Tasman Orogenic Belt (the Tasmanides) sector of eastern Australia, is distinguished by widespread shortening of quartz turbidite successions and underlying oceanic basement, with less abundant island arc assemblages. Early Palaeozoic accretionary development of the Tasmanides followed Rodinia breakup at 800-750 Ma to form the palaeo-Pacific Ocean. In eastern Australia, a second rifting episode at 600-580 Ma is more widely developed with siliciclastic sedimentation and rift-related igneous activity. In parts of the Delamerian Orogen of South Australia and northwestern New South Wales and in the exposed northern Thomson Orogen of north and central Queensland, the rift-related sedimentary successions have a dominant 1.3 to 1 Ga detrital zircon age signature implying local sources. They are considered to be derived from an eastward continuation of the 13-1 Ga Musgrave Province in central Australia, which marks a major Late Mesoproterozoic suture between the North Australian and South Australian/West Australian cratons and now buried within continental crust of the Thomson Orogen. Palaeomagnetic data suggest that an intraplate 40 degrees anticlockwise rotation occurred between the North Australian Craton and an amalgam of the West and South Australian cratons during the transpressional Petermann Orogeny in central Australia at 650 to 550 Ma and overlapped the 600-580 Ma rifting event. The zone of rotational intraplate shearing is considered to have remobilised the preceding Late Mesoproterozoic suture and provides a marker in Rodinia that supports the AUSMEX reconstruction. Detrital zircon of 650-500 Ma, known as the Pacific-Gondwana association, is very widely represented in Phanerozoic sediment of eastern Australia. It may be that an upper crustal igneous assemblage, now removed by erosion, developed in the Petermann Orogeny contributed to part of this age association. However, a primary Antarctic far-field source is favoured. Given that prior to 650 Ma, the unravelled intraplate rotation shows substantial overlap of the Thomson Orogen and the South Australian Craton, much of the former must have developed by continental growth largely after 550 Ma. The Diamantina Structure, which truncates the Mount Isa Province and forms the northwestern margin of the Thomson Orogen, marks the eastern line of intraplate rotation. This zone of crustal weakness continues into the northern Thomson Orogen where it was remobilised in the mid-Palaeozoic to offset the Mossman Orogen and to later facilitate the Late Mesozoic-Cenozoic Townsville Trough and basin, a major feature of the continental margin. Basement cores and bedrock geology of the Thomson Orogen indicate deposition of widespread quartzose turbidites dominated by Pacific-Gondwana detrital zircon ages (650-500 Ma) that were affected by inferred Middle to Late Cambrian deformation and metamorphism (Delamerian Orogeny). The widespread Delamerian event was succeeded by Late Cambrian-Early Ordovician backarc extension and dominantly silicic igneous activity with granites, volcanic and volcanidastic successions in the northern Thomson Orogen. Ordovician quartz turbidite deposition followed by compressional deformation in the Late Ordovician-Early Silurian Benambran Orogeny and scattered syn- and post-orogenic granitic plutonism is characteristic of northeast Gondwana and dominates rock assemblages of the Lachlan Orogen. (C) 2015 International Association for Gondwana Research. Published by Elsevier B.V. All rights reserved.</t>
  </si>
  <si>
    <t>[Fergusson, C. L.] Univ Wollongong, Sch Earth &amp; Environm Sci, Wollongong, NSW 2522, Australia; [Henderson, R. A.] James Cook Univ, Sch Earth &amp; Environm Sci, Townsville, Qld 4811, Australia</t>
  </si>
  <si>
    <t>University of Wollongong; James Cook University</t>
  </si>
  <si>
    <t>Fergusson, CL (corresponding author), Univ Wollongong, Sch Earth &amp; Environm Sci, Wollongong, NSW 2522, Australia.</t>
  </si>
  <si>
    <t>cferguss@uow.edu.au</t>
  </si>
  <si>
    <t>; Fergusson, Chris/C-2719-2009</t>
  </si>
  <si>
    <t>Henderson, Robert/0000-0003-3779-6420; Fergusson, Chris/0000-0001-8133-4851</t>
  </si>
  <si>
    <t>GeoQuEST Research Centre at the University of Wollongong</t>
  </si>
  <si>
    <t>We acknowledge the joint work and many discussions with Ian Withnall (formerly Geological Survey of Queensland) in the field and office over many years. We have also discussed aspects of Thomson Orogen geology with numerous geologists including Charlotte Allen, Tom Blenkinsop, Richard Blewett, Dominic Brown, Gary Burton, Paul Carr, Patrick Carr, Bill Collins, Andrew Cross, Mark Fanning, Tim Green, John Greenfield, Laurie Hutton, Peter Jell, Emma Johnson, Russell Korsch, Zheng-Xiang Li, David Purdy, Robin Offler, Ian Withnall, Richard Wormald and no doubt others, for which we are most grateful. This work was supported by the GeoQuEST Research Centre at the University of Wollongong. The manuscript has been significantly improved following the suggestions of the reviewers.</t>
  </si>
  <si>
    <t>10.1016/j.gr.2015.04.001</t>
  </si>
  <si>
    <t>WOS:000361074800002</t>
  </si>
  <si>
    <t>Gardner, RL; Daczko, NR; Halpin, JA; Whittaker, JM</t>
  </si>
  <si>
    <t>Gardner, Robyn L.; Daczko, Nathan R.; Halpin, Jacqueline A.; Whittaker, Joanne M.</t>
  </si>
  <si>
    <t>Discovery of a microcontinent (Gulden Draak Knoll) offshore Western Australia: Implications for East Gondwana reconstructions</t>
  </si>
  <si>
    <t>Gondwana; East Antarctica; Kuunga Orogen; Zircon age; Hf-isotopes; Reconstruction</t>
  </si>
  <si>
    <t>U-PB GEOCHRONOLOGY; HF-ISOTOPE; MESOPROTEROZOIC GRANULITES; CRUSTAL EVOLUTION; GNEISSIC COMPLEX; ZIRCON AGES; ANTARCTICA; BREAKUP; CONSTRAINTS; STANDARDS</t>
  </si>
  <si>
    <t>Analysis of dredged samples from the Gulden Draak Knoll demonstrates that it is a submarine rifted continental fragment that lies at the boundary between the western Perth Abyssal Plain and Wharton Basin, Indian Ocean. The Knoll comprises a granulite fades basement, including pelitic paragneiss and mafic orthogneiss, with a Cambrian granite inferred to intrude the other rocks. Boulders and cobbles of felsic gneiss with Mesoproterozoic and Cambrian protolith ages were also sampled likely reflecting a complex basement to variable sedimentary and volcanic rocks. The U-Pb isotopic system in the Archean and Mesoproterozoic zircon is significantly disturbed, reflecting Cambrian orogenesis that affected all samples. The protolith to garnet-sillimanite-biotite paragneiss has a maximum deposition age of 1163 +/- 24 Ma and includes older detrital zircon grains with populations at c. 2.65 Ga and between 1.4 and 1.1 Ga. A younger population in this sample is interpreted as a mix of newly grown metamorphic zircon and isotopically reset zircon, implying that the granulite facies metamorphism occurred at c. 511 +/- 5 Ma. Protracted Cambrian orogenesis is indicated by a metamorphic age in the mafic orthogneiss of 530 +/- 6 Ma and isotopic disturbance shortly following emplacement of granite (c. 540 Ma with zircon ages disturbed to 509 +/- 7 Ma) and the protolith to the felsic orthogneiss (c. 528 Ma with zircon ages disturbed to 510 +/- 3 Ma). Xenocrystic zircon grains in the Cambrian rocks include Archean (c. 2839 +/- 9 Ma) and Mesoproterozoic (1230-1370 Ma) populations also isotopically disturbed during Cambrian orogenesis. Igneous Cambrian zircon grains have less radiogenic Hf-isotope compositions (Hf-i = 0.281821-0.281367) than Mesoproterozoic xenocrysts (Hf-i = 0.282267-0.281993), indicating limited involvement of the Mesoproterozoic crust in granite production. A more likely source includes Archean crust represented by xenocrysts with Hf-i = 0.281399-0.280863. The Gulden Draak Knoll is reconstructed in Gondwana ('Leeuwin' full-fit model) along strike of a major structure termed the Indo-Australo-Antarctic Suture (IAAS), recently mapped from geophysical interpretations in Wilkes Land, Antarctica. New isotopic data suggest that basement rocks from the Gulden Draak Knoll have affinity to crust exposed either side of the IAAS. Determining if this structure is a suture zone sensu stricto remains to be tested. (C) 2014 International Association for Gondwana Research. Published by Elsevier B.V. All rights reserved.</t>
  </si>
  <si>
    <t>[Gardner, Robyn L.; Daczko, Nathan R.; Halpin, Jacqueline A.] Macquarie Univ, ARC Ctr Excellence Core Crust Fluid Syst &amp; GEMOC, Dept Earth &amp; Planetary Sci, N Ryde, NSW 2109, Australia; [Halpin, Jacqueline A.] Univ Tasmania, Sch Phys Sci, ARC Ctr Excellence Ore Deposits CODES, Hobart, Tas 7001, Australia; [Whittaker, Joanne M.] Univ Tasmania, Inst Marine &amp; Antarctic Studies, Hobart, Tas 7001, Australia</t>
  </si>
  <si>
    <t>Macquarie University; University of Tasmania; University of Tasmania</t>
  </si>
  <si>
    <t>Daczko, NR (corresponding author), Macquarie Univ, ARC Ctr Excellence Core Crust Fluid Syst &amp; GEMOC, Dept Earth &amp; Planetary Sci, N Ryde, NSW 2109, Australia.</t>
  </si>
  <si>
    <t>nathan.daczko@mq.edu.au</t>
  </si>
  <si>
    <t>Halpin, Jacqueline A/A-3776-2014; GAU, geochemist/H-1985-2016; Whittaker, Joanne/B-3695-2010</t>
  </si>
  <si>
    <t>Halpin, Jacqueline A/0000-0002-4992-8681; Gardner, Robyn/0000-0001-8707-8537; Whittaker, Joanne/0000-0002-3170-3935; Daczko, Nathan/0000-0002-3737-3818</t>
  </si>
  <si>
    <t>Australian Research Council Discovery Project [DP120102060]; Macquarie University [9200900498]; Australian Research Council [DE140100376]; Statoil; DEST Systemic Infrastructure Grants; ARC LIEF; NCRIS; Macquarie University; Australian Research Council [DE140100376] Funding Source: Australian Research Council</t>
  </si>
  <si>
    <t>Australian Research Council Discovery Project(Australian Research Council); Macquarie University; Australian Research Council(Australian Research Council); Statoil; DEST Systemic Infrastructure Grants(Australian GovernmentDepartment of Industry, Innovation and Science); ARC LIEF(Australian Research Council); NCRIS(Australian GovernmentDepartment of Industry, Innovation and Science); Macquarie University; Australian Research Council(Australian Research Council)</t>
  </si>
  <si>
    <t>This work was supported by the Chief Scientist (Simon Williams), crew and scientific party aboard voyage ss2011/v06 of the CSIRO RV Southern Surveyor. This work began with the MSc research project of RG. Macquarie University (9200900498) internal funding and Australian Research Council Discovery Project funding (DP120102060) to NRD provided financial support to conduct this research. JW was supported by Australian Research Council funding grant DE140100376 and sponsorship by Statoil, who also provided significant additional financial support for voyage ss2011/v06. We are grateful to N. Pearson (CoE CCFS/GEMOC, Macquarie University) and S. Meffre (CODES, University of Tasmania) for help with the analytical work. The authors would like to thank A.S. Collins and I.C.W. Fitzsimons for their careful and constructive reviews, and A.R.A Aitken for editorial handling. The analytical data were obtained using instrumentation funded by DEST Systemic Infrastructure Grants, ARC LIEF, NCRIS, industry partners and Macquarie University. This is contribution 501 from the ARC Centre of Excellence for Core to Crust Fluid Systems (http://www.CCFS.mq.edu.au) and 954 in the GEMOC Key Centre (http://www.GEMOC.mq.edu.au).</t>
  </si>
  <si>
    <t>10.1016/j.gr.2014.08.013</t>
  </si>
  <si>
    <t>WOS:000361074800007</t>
  </si>
  <si>
    <t>Belt, ST; Cabedo-Sanz, P</t>
  </si>
  <si>
    <t>Belt, Simon T.; Cabedo-Sanz, Patricia</t>
  </si>
  <si>
    <t>Characterisation and isomerisation of mono- and di-unsaturated highly branched isoprenoid (HBI) alkenes: Considerations for palaeoenvironment studies</t>
  </si>
  <si>
    <t>ORGANIC GEOCHEMISTRY</t>
  </si>
  <si>
    <t>Highly branched isoprenoid; Alkene; Diatom; Isomerisation; Biomarker</t>
  </si>
  <si>
    <t>HASLEA-OSTREARIA SIMONSEN; SEA-ICE CONDITIONS; RHIZOSOLENIA-SETIGERA; ANTARCTIC PENINSULA; MASS-SPECTROMETRY; MARINE-SEDIMENTS; ARCTIC-OCEAN; PROXY IP25; C-25; IDENTIFICATION</t>
  </si>
  <si>
    <t>We report the structures and analytical data for several highly branched isoprenoid (HBI) mono-and di-unsaturated alkenes (monoenes and dienes). This has been achieved by isolating several well characterised HBI dienes from diatom cultures and sediments, and transforming these to structurally related monoenes and other dienes using partial hydrogenation and clay-catalysed, or diphenyl disulphide induced, isomerisation reactions. HBI double bond (DB) positions have been determined through analysis of a combination of GC-MS and NMR data, along with RuO4 oxidation of HBI monoenes that produce characteristic ketones. Our structural identifications have also enabled the assignments of a number of previously reported HBI monoenes and dienes to be confirmed or corrected. Monoenes and dienes undergo clay-catalysed isomerisation in the laboratory, which likely has implications for the sedimentary occurrences of such biomarkers. Under our conditions, alkenes with C6/17 DBs are particularly sensitive to isomerisation, yielding isomers with C5/6, C6/7, C7/8 and C7/20 DBs. Isomers with C5/6 and C7/20 DBs also isomerise with each other and to isomers with C6/7 and C7/8 DBs, but not to ones with a C6/17 DB. In contrast, we see no evidence for isomerisation of the Arctic sea ice biomarker IP25 which has a DB at C23/24. These observations may have implications for the use of certain monoenes (e.g. IP25) and dienes for paleo sea ice reconstruction. A scheme to summarise the (monoene) isomerisation reactions is proposed. On the basis of the usual DB positions in HBIs obtained from diatom cultures, the outcomes from our isomerisation reactions, and of previous sedimentary reports, we discuss the potential origins (biogenic versus sedimentary transformation) of HBIs with different DB positions. However, confirmation of such assignments will require further investigation. (C) 2015 Elsevier Ltd. All rights reserved.</t>
  </si>
  <si>
    <t>[Belt, Simon T.; Cabedo-Sanz, Patricia] Univ Plymouth, Sch Geog Earth &amp; Environm Sci, Plymouth PL4 8AA, Devon, England</t>
  </si>
  <si>
    <t>University of Plymouth</t>
  </si>
  <si>
    <t>Belt, ST (corresponding author), Univ Plymouth, Sch Geog Earth &amp; Environm Sci, Plymouth PL4 8AA, Devon, England.</t>
  </si>
  <si>
    <t>sbelt@plymouth.ac.uk</t>
  </si>
  <si>
    <t>Cabedo Sanz, Patricia/0000-0002-3626-0221</t>
  </si>
  <si>
    <t>We thank the University of Plymouth for financial support. We acknowledge Jerome Kaiser (Leibniz-Institute for Baltic Sea Research, Germany) for providing us with some Baltic Sea sediment material and to Michael Wilde (University of Plymouth) for assistance in obtaining GC x GC-MS data. We are particularly grateful to two anonymous reviewers, whose insightful comments helped in the assignment of some of the isomers described in this study. We also thank one reviewer for drawing our attention to the procedure for carrying out the geometric isomerisation of alkenes.</t>
  </si>
  <si>
    <t>0146-6380</t>
  </si>
  <si>
    <t>ORG GEOCHEM</t>
  </si>
  <si>
    <t>Org. Geochem.</t>
  </si>
  <si>
    <t>10.1016/j.orggeochem.2015.07.003</t>
  </si>
  <si>
    <t>CQ5OO</t>
  </si>
  <si>
    <t>WOS:000360655100006</t>
  </si>
  <si>
    <t>Malavenda, R; Rizzo, C; Michaud, L; Gerçe, B; Bruni, V; Syldatk, C; Hausmann, R; Lo Giudice, A</t>
  </si>
  <si>
    <t>Malavenda, Roberta; Rizzo, Carmen; Michaud, Luigi; Gerce, Berna; Bruni, Vivia; Syldatk, Christoph; Hausmann, Rudolf; Lo Giudice, Angelina</t>
  </si>
  <si>
    <t>Biosurfactant production by Arctic and Antarctic bacteria growing on hydrocarbons</t>
  </si>
  <si>
    <t>Arctic and Antarctic sediment; Biosurfactants; Hydrocarbons; Bacterial isolates</t>
  </si>
  <si>
    <t>TERRA-NOVA BAY; CRUDE-OIL; DIESEL OIL; COMMUNITIES; STRAIN; MICROORGANISMS; DIVERSITY; PRISTINE; SEA</t>
  </si>
  <si>
    <t>The risk of hydrocarbon contamination in marine polar areas is constantly increasing. Autochthonous bacteria, due to their ability to cope and survive under extreme environmental conditions, can play a fundamental role in the hydrocarbon degradation. The degradation process is often enhanced by the production of biosurfactant molecules. The present study reports for the first time on the isolation of biosurfactant-producing bacteria from Arctic and Antarctic shoreline sediments. A total of 199 psychrotolerant bacterial isolates were obtained from hydrocarbon-amended (with crude or diesel oil) microcosms. A total of 18 isolates were selected for their ability to grow in the presence of crude oil and produce biosurfactants, as it was revealed by the production of good E-24 values (a parts per thousand yen50 %) and/or reduction in the surface tension (under 30 mN/m). The positive response of the isolates to both tests suggests a possible production of biosurfactants with emulsifying and interfacial activities. Biosurfactant-producing isolates were mainly affiliated to the genera Rhodococcus (14 isolates), followed by Pseudomonas (two isolates), Pseudoalteromonas (one isolate) and Idiomarina (one isolate). Thin-layer chromatography of biosurfactant crude extracts revealed that the majority of the selected isolates were able to produce glycolipidic surfactants. Our results enlarge the knowledge, which is still poor and fragmentary, on biosurfactant producers from polar areas and indicate marine polar sediments as a source of bacteria with potential applications in the remediation of hydrocarbon-contaminated cold environments.</t>
  </si>
  <si>
    <t>[Malavenda, Roberta; Rizzo, Carmen; Michaud, Luigi; Bruni, Vivia; Lo Giudice, Angelina] Univ Messina, Dept Biol &amp; Environm Sci, I-98166 Messina, Italy; [Gerce, Berna; Syldatk, Christoph] Karlsruhe Inst Technol, Inst Proc Engn Life Sci, Sect Tech Biol 2, D-76131 Karlsruhe, Germany; [Hausmann, Rudolf] Univ Hohenheim, Inst Food Sci &amp; Biotechnol, Sect Bioproc Engn, D-70593 Stuttgart, Germany; [Lo Giudice, Angelina] CNR, Natl Res Council IAMC, Inst Coastal Marine Environm, I-98122 Messina, Italy</t>
  </si>
  <si>
    <t>University of Messina; Helmholtz Association; Karlsruhe Institute of Technology; University Hohenheim; Consiglio Nazionale delle Ricerche (CNR); L'Istituto per l'Ambiente Marino Costiero (IAMC-CNR)</t>
  </si>
  <si>
    <t>Lo Giudice, A (corresponding author), Univ Messina, Dept Biol &amp; Environm Sci, Viale F Stagno dAlcontres 31, I-98166 Messina, Italy.</t>
  </si>
  <si>
    <t>alogiudice@unime.it</t>
  </si>
  <si>
    <t>Rizzo, Carmen/AAA-3075-2022; Rizzo, Carmen/S-6285-2019</t>
  </si>
  <si>
    <t>Hausmann, Rudolf/0000-0002-2327-7120</t>
  </si>
  <si>
    <t>Spanish Ministry of Science and Technology [POL2006-06635]; PolyArc [ARCFAC-026129-2008-70]; National Antarctic Museum (MNA)</t>
  </si>
  <si>
    <t>Spanish Ministry of Science and Technology(Spanish Government); PolyArc; National Antarctic Museum (MNA)</t>
  </si>
  <si>
    <t>ALG wishes to thank the Antarctic Project Limnopolar'' (POL2006-06635) funded by the Spanish Ministry of Science and Technology, and all colleagues at the Byers camp for their logistic and friendly support to Luigi Michaud during his stay. RM wishes to thank all the colleagues at the Karlsruher Institut fur Technologie (KIT), Germany, for assistance and support during her stay in their lab. This research was supported by grants by the project PolyArc (grant number ARCFAC-026129-2008-70) and the National Antarctic Museum (MNA).</t>
  </si>
  <si>
    <t>10.1007/s00300-015-1717-9</t>
  </si>
  <si>
    <t>WOS:000360758200001</t>
  </si>
  <si>
    <t>Tsujimoto, M; Suzuki, AC; Imura, S</t>
  </si>
  <si>
    <t>Tsujimoto, Megumu; Suzuki, Atsushi C.; Imura, Satoshi</t>
  </si>
  <si>
    <t>Life history of the Antarctic tardigrade, Acutuncus antarcticus, under a constant laboratory environment</t>
  </si>
  <si>
    <t>Tardigrade; Antarctica; Reproduction; Hatching success; Lifespan</t>
  </si>
  <si>
    <t>SPECIES-DIVERSITY; NEW-MODEL; BIODIVERSITY; TEMPERATURE; LAND; EUTARDIGRADA; ECOSYSTEMS; MICROFAUNA; STRATEGIES; TRAITS</t>
  </si>
  <si>
    <t>Tardigrades are found in most terrestrial and freshwater Antarctic ecosystems and are one of the most diverse and important groups of invertebrates in Antarctica. We developed a new laboratory system for rearing the Antarctic tardigrade Acutuncus antarcticus (Richters 1904), one of the most widespread and common Antarctic tardigrade species. To provide a description of the life history of this tardigrade, survival and reproduction of 68 individuals were observed and recorded daily at a constant temperature of 15 A degrees C. The life-history data obtained are consistent with previous studies of other tardigrades. The exceptionally high hatching success obtained is suggested to be an important life-history characteristic of this species contributing to it often being a common and dominant species in the Antarctic habitats in which it occurs. Furthermore, high hatching success combined with very low variation in development time, under the protocol used in the current study, indicates that A. antarcticus may be a good model species for studies in developmental biology. Integrating data from this and previous studies, the importance of temperature on reproduction and growth in A. antarcticus was inferred. With terrestrial and freshwater ecosystems in some parts of Antarctica experiencing sometimes drastic contemporary climatic and environmental changes, studies of the effect of temperature on generation time and reproductive success in Antarctic tardigrades are urgently required, as these animals are important elements of community structure and function in polar ecosystems.</t>
  </si>
  <si>
    <t>[Tsujimoto, Megumu; Imura, Satoshi] Natl Inst Polar Res, Tachikawa, Tokyo 1908518, Japan; [Suzuki, Atsushi C.] Keio Univ, Hiyoshi, Kanagawa 2238521, Japan; [Imura, Satoshi] Grad Univ Adv Studies, SOKENDAI, Tachikawa, Tokyo 1908518, Japan</t>
  </si>
  <si>
    <t>Research Organization of Information &amp; Systems (ROIS); National Institute of Polar Research (NIPR) - Japan; Keio University; Graduate University for Advanced Studies - Japan</t>
  </si>
  <si>
    <t>Tsujimoto, M (corresponding author), Natl Inst Polar Res, 10-3 Midori Cho, Tachikawa, Tokyo 1908518, Japan.</t>
  </si>
  <si>
    <t>tsujimoto@nipr.ac.jp</t>
  </si>
  <si>
    <t>Tsujimoto, Megumu/JCE-5500-2023; Suzuki, Atsushi C/AAO-9231-2020; Suzuki, Atsushi/E-9704-2014</t>
  </si>
  <si>
    <t>Tsujimoto, Megumu/0000-0001-5160-6086; Suzuki, Atsushi/0000-0002-3027-7110</t>
  </si>
  <si>
    <t>Japan Society for the Promotion of Science [23247012]; Grants-in-Aid for Scientific Research [23247012, 26650168]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</si>
  <si>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</si>
  <si>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Daiki Horikawa and Hiroshi Kagoshima for useful advice in establishing the rearing method and data collection. Peter Convey, Sandra McInnes and three anonymous reviewers provided helpful comments and advice on the manuscript. This study was supported by Grant-in-Aid for Scientific Research No. 23247012 to SI from the Japan Society for the Promotion of Science, and also contributes to the SCAR AnT-ERA research programme.</t>
  </si>
  <si>
    <t>10.1007/s00300-015-1718-8</t>
  </si>
  <si>
    <t>WOS:000360758200002</t>
  </si>
  <si>
    <t>Brown, KE; King, CK; Harrison, PL</t>
  </si>
  <si>
    <t>Brown, Kathryn E.; King, Catherine K.; Harrison, Peter L.</t>
  </si>
  <si>
    <t>Reproduction, growth and early life history of the Antarctic gammarid amphipod Paramoera walkeri</t>
  </si>
  <si>
    <t>Antarctica; Crustacean; Brooding; Reproduction; Post-marsupial development; Growth</t>
  </si>
  <si>
    <t>HEAVY-METAL CONTAMINATION; TERRA-NOVA BAY; POPULATION-DYNAMICS; EAST ANTARCTICA; ROSS SEA; VESTFOLD HILLS; TREMATOMUS-BERNACCHII; POSTEMBRYONIC GROWTH; FAST ICE; ECOSYSTEMS</t>
  </si>
  <si>
    <t>The gammarid Paramoera walkeri is one of the most abundant amphipods in near-shore Antarctic waters. There has been increasing interest in P. walkeri as a test species for ecotoxicology studies and bio-monitoring for contaminants in Antarctica, but further information is needed to improve understanding of its biology including reproduction, growth and early life history. Female P. walkeri brooding late-stage embryos were collected in summer from coastal waters in the Vestfold Hills region, East Antarctica, and were maintained in the laboratory. Timing of neonate release, brood size and early post-marsupial survival and growth (total length) of juveniles were recorded. Brood size ranged from 26 to 86 neonates per female, and juvenile survival rates were high (96 %). The increase in body length of juveniles ranged from 0.017 to 0.043 mm/day with a mean growth rate of 0.028 mm/day (0.94 % per day) over 11 weeks with strong evidence for exponential growth over time. The body lengths of laboratory-raised juveniles were not significantly different to those of wild-caught juveniles with the same number of segments (15) in the first antennae, indicating that growth may have progressed at a similar rate in vivo and in situ. Juvenile growth was similar when modelled over time or by addition of first antennal segments. This study provides new information on the reproductive biology and early life history of P. walkeri, with further evidence that Antarctic amphipods exhibit slow growth, even when food is not a limiting factor, compared with species from lower latitudes.</t>
  </si>
  <si>
    <t>[Brown, Kathryn E.; Harrison, Peter L.] So Cross Univ, Sch Environm Sci &amp; Engn, Marine Ecol Res Ctr, Lismore, NSW 2480, Australia; [King, Catherine K.] Australian Antarctic Div, Antarctic Conservat &amp; Management, Kingston, Tas 7050, Australia</t>
  </si>
  <si>
    <t>Southern Cross University; Australian Antarctic Division</t>
  </si>
  <si>
    <t>Brown, KE (corresponding author), So Cross Univ, Sch Environm Sci &amp; Engn, Marine Ecol Res Ctr, Lismore, NSW 2480, Australia.</t>
  </si>
  <si>
    <t>kathryn.brown@scu.edu.au</t>
  </si>
  <si>
    <t>Brown, Kathryn/AAE-9933-2021; King, Catherine K/G-7059-2017; Harrison, Peter/B-4763-2011</t>
  </si>
  <si>
    <t>King, Catherine K/0000-0003-3356-0381; Harrison, Peter/0000-0002-4048-2409; Brown, Kathryn/0000-0002-9093-8742</t>
  </si>
  <si>
    <t>Australian Antarctic Science grant [AAS 3054]; Southern Cross University</t>
  </si>
  <si>
    <t>Australian Antarctic Science grant; Southern Cross University</t>
  </si>
  <si>
    <t>We thank members of the 2010/11 summer Davis field teams for assistance with collections. Figure 1 was produced from maps generated by the Australian Antarctic Data Centre and Fig. 2 was photographed by Ashley Miskelly. This research was funded through an Australian Antarctic Science grant (AAS 3054) and a PhD research scholarship from Southern Cross University. Essential logistical support was provided by the Australian Antarctic Division. We are grateful to three anonymous reviewers for comments on the original manuscript which substantially improved the final paper.</t>
  </si>
  <si>
    <t>10.1007/s00300-015-1720-1</t>
  </si>
  <si>
    <t>WOS:000360758200003</t>
  </si>
  <si>
    <t>Eakin, RR; Riginella, E; La Mesa, M</t>
  </si>
  <si>
    <t>Eakin, Richard R.; Riginella, Emilio; La Mesa, Mario</t>
  </si>
  <si>
    <t>A new species of Artedidraco (Pisces: Artedidraconidae) from the Weddell Sea, Antarctica</t>
  </si>
  <si>
    <t>Taxonomy; Notothenioidei; Plunderfishes</t>
  </si>
  <si>
    <t>ROSS SEA; NOTOTHENIOIDEI; PERCIFORMES; FISHES</t>
  </si>
  <si>
    <t>The Artedidraconidae is the most speciose of the five Antarctic notothenioid families. Bottom trawling in the Weddell Sea has yielded a new species herein described from two specimens, a juvenile and an immature female. Artedidraco longibarbatus differs from other species of Artedidraco in having a much longer mental barbel (about 25 % SL vs. 4-14 % SL). While recent genetic studies indicate that Artedidraco is paraphyletic, we choose to follow traditional taxonomy based on morphology. Selected meristic data and a key to the seven species of Artedidraco are provided.</t>
  </si>
  <si>
    <t>[Riginella, Emilio] Univ Padua, Dept Biol, Padua, Italy; [Riginella, Emilio; La Mesa, Mario] UOS Ancona, Inst Marine Sci, CNR, Ancona, Italy</t>
  </si>
  <si>
    <t>University of Padua; Consiglio Nazionale delle Ricerche (CNR); Istituto di Scienze Marine (ISMAR-CNR)</t>
  </si>
  <si>
    <t>Riginella, E (corresponding author), Univ Padua, Dept Biol, Padua, Italy.</t>
  </si>
  <si>
    <t>emilio.riginella@unipd.it</t>
  </si>
  <si>
    <t>Riginella, Emilio/Q-2987-2019</t>
  </si>
  <si>
    <t>Riginella, Emilio/0000-0002-1442-8310</t>
  </si>
  <si>
    <t>Programma Nazionale di Ricerche in Antartide (PNRA)</t>
  </si>
  <si>
    <t>We thank all the crew members, personnel and scientific staff aboard of RV Polarstern for their invaluable support in sampling activities. In particular, the authors gratefully acknowledge the fish team composed of Rainer Knust (Chief Scientist), Chiara Papetti, Nils Koschnick, Kai Watjen, Maj Wetjen and Massimiliano Babbucci. A special thank goes to Ruberto Vito Antonio Istituto di Medicina Legale Aeronautica Militare A. Mosso'' for his help in radiographic analysis. This work was financially supported by the Programma Nazionale di Ricerche in Antartide (PNRA).</t>
  </si>
  <si>
    <t>10.1007/s00300-015-1721-0</t>
  </si>
  <si>
    <t>WOS:000360758200004</t>
  </si>
  <si>
    <t>Botic, T; Cör, D; Anesi, A; Guella, G; Sepcic, K; Janussen, D; Kersken, D; Knez, Z</t>
  </si>
  <si>
    <t>Botic, Tanja; Coer, Darija; Anesi, Andrea; Guella, Graziano; Sepcic, Kristina; Janussen, Dorte; Kersken, Daniel; Knez, Zeljko</t>
  </si>
  <si>
    <t>Fatty acid composition and antioxidant activity of Antarctic marine sponges of the genus Latrunculia</t>
  </si>
  <si>
    <t>Long-chain fatty acid; Deep-sea; Antarctic Porifera; Latrunculia biformis; Latrunculia bocagei; Antioxidant activity</t>
  </si>
  <si>
    <t>WEDDELL SEA; DISCORHABDIN; PYRROLOIMINOQUINONE; DEMOSPONGIAE; ALKALOIDS; PORIFERA</t>
  </si>
  <si>
    <t>The fatty acid composition of marine cold-water sponges of genus Latrunculia, namely Latrunculia bocagei Ridley and Dendy, 1886, and Latrunculia biformis Kirkpatrick, 1907, for which no fatty acid data had been previously reported, has been examined. High levels of long-chain fatty acids (C24-30) with high unsaturation levels (mainly polyunsaturation), and high incidence of branched- and odd-chain fatty acids in sponges are suggested to be partially connected with their specific cell membrane requirements to surmount the negative effects of low temperatures and to enable growth in extreme environments. Furthermore, variations in the fatty acid profile at the species level may reflect variations in compositions or quantities of symbiotic microorganisms that commonly represent up to 60 % of the sponge wet weight. The fatty acid compositions of lipid-rich sponge extracts from five Latrunculia specimens dredged from the Bransfield Strait near the Antarctic Peninsula, were obtained using supercritical carbon dioxide and analyzed using gas chromatography-mass spectrometry-flame ionization detection. Furthermore, the antioxidant activities of these extracts were determined using the photochemiluminescent method. Along with common fatty acids, the chemical analyses revealed very long-chain fatty acids (C22, C24). Differences were seen for the fatty acid levels between both species and different specimens of the same species. The observed differences do not seem connected to the habitat depth of the specimen, but rather indicate the variations within the associated microbiome. Furthermore, these sponge extracts showed antioxidant activities, confirming that they contain lipidic compounds that strongly scavenge free radicals.</t>
  </si>
  <si>
    <t>[Botic, Tanja; Coer, Darija; Knez, Zeljko] Univ Maribor, Fac Chem &amp; Chem Engn, Lab Separat Proc &amp; Prod Design, Maribor 2000, Slovenia; [Anesi, Andrea; Guella, Graziano] Univ Trento, Dept Phys, Bioorgan Chem Lab, I-38123 Povo, Trento, Italy; [Sepcic, Kristina] Univ Ljubljana, Biotech Fac, Dept Biol, Ljubljana 1000, Slovenia; [Janussen, Dorte; Kersken, Daniel] Senckenberg Res Inst, Dept Marine Zool, D-60325 Frankfurt, Germany; [Janussen, Dorte; Kersken, Daniel] Natl Museum, D-60325 Frankfurt, Germany</t>
  </si>
  <si>
    <t>University of Maribor; University of Trento; University of Ljubljana; Senckenberg Gesellschaft fur Naturforschung (SGN)</t>
  </si>
  <si>
    <t>Knez, Z (corresponding author), Univ Maribor, Fac Chem &amp; Chem Engn, Lab Separat Proc &amp; Prod Design, Smetanova 17, Maribor 2000, Slovenia.</t>
  </si>
  <si>
    <t>zeljko.knez@um.si</t>
  </si>
  <si>
    <t>Graziano, Guella/A-6283-2010; Sepcic, Kristina/S-5533-2018; Anesi, Andrea/ACJ-6729-2022</t>
  </si>
  <si>
    <t>Graziano, Guella/0000-0002-1799-0819; Anesi, Andrea/0000-0002-9334-2610; Cor Andrejc, Darija/0000-0002-2763-5095; Knez, Zeljko/0000-0001-8760-607X</t>
  </si>
  <si>
    <t>Slovenian Research Agency [P2-0046]; ERASMUS Staff Mobility-Staff training program; Antarctic Porifera Research Projects [JA 1063/17-1, JA-1063/14-1-3]</t>
  </si>
  <si>
    <t>Slovenian Research Agency(Slovenian Research Agency - Slovenia); ERASMUS Staff Mobility-Staff training program; Antarctic Porifera Research Projects</t>
  </si>
  <si>
    <t>The authors gratefully acknowledge the Slovenian Research Agency (Research Program P2-0046), the ERASMUS Staff Mobility-Staff training program for financial support to TB and Dr. Christopher Berrie for editing and appraisal of the manuscript. D. Janussen wishes to thank all of her colleagues who participated in Antarctic expedition, ANT XXIX/3 in 2003. Our thanks go to the captain and crew of the RV Polarstern. The Deutsche Forschungsgemeinschaft (DFG) is acknowledged for financial support of her Antarctic Porifera Research Projects (JA 1063/17-1, JA-1063/14-1-3).</t>
  </si>
  <si>
    <t>10.1007/s00300-015-1722-z</t>
  </si>
  <si>
    <t>WOS:000360758200005</t>
  </si>
  <si>
    <t>Rhodes, AC; Carvalho, NF; Palmer, TA; Hyde, LJ; Montagna, PA</t>
  </si>
  <si>
    <t>Rhodes, Adelaide C.; Carvalho, Nayara F.; Palmer, Terence A.; Hyde, Larry J.; Montagna, Paul A.</t>
  </si>
  <si>
    <t>Distribution of two species of the genus Nototanais spp. (Tanaidacea) in Winter Quarters Bay and waters adjoining McMurdo Station, McMurdo Sound, Antarctica</t>
  </si>
  <si>
    <t>Nototanais; Tanaids; Pollution; McMurdo Sound; Antarctica; Peracarid; Winter Quarters Bay; McMurdo Station</t>
  </si>
  <si>
    <t>ORGANIC ENRICHMENT; COMMUNITIES</t>
  </si>
  <si>
    <t>Nototanais is the most commonly found peracarid crustacean genus in Antarctic waters. The only two species in the genus, Nototanais dimorphus and Nototanais antarcticus, have been found to have overlapping circumpolar distributions in depths from 7 m to 585 m around Antarctica. However, only one species, N. dimorphus, has been recorded during yearly sampling from 2000 to 2010 at nine shallow (12-36 m) benthic pollution monitoring sites in Winter Quarters Bay and waters adjoining McMurdo Station, McMurdo Sound, Antarctica. These stations varied by depth, anchor ice formation and anthropogenic contamination. In 2011 and 2012, 1071 specimens of Nototanais spp. were collected and separated by species, gender and life stage. N. antarcticus was confirmed to co-occur with N. dimorphus at four of nine long-term monitoring sites. One station had no occurrences of either species. N. antarcticus was found in very low abundances in relation to N. dimorphus, indicating that individual species distributions may be modified by pollution and anchor ice, among other biological factors.</t>
  </si>
  <si>
    <t>[Rhodes, Adelaide C.] Oregon State Univ, Ctr Genome Res &amp; Biocomp, Corvallis, OR 97331 USA; [Carvalho, Nayara F.] Univ Fed Pernambuco, Dept Oceanog, Ctr Tecnol &amp; Geociencias, BR-50670901 Recife, PE, Brazil; [Palmer, Terence A.; Hyde, Larry J.; Montagna, Paul A.] Texas A&amp;M Univ, Harte Res Inst, Corpus Christi, TX 78412 USA</t>
  </si>
  <si>
    <t>Oregon State University; Universidade Federal de Pernambuco; Texas A&amp;M University System</t>
  </si>
  <si>
    <t>Rhodes, AC (corresponding author), Oregon State Univ, Ctr Genome Res &amp; Biocomp, 2750 SW Campus Way, Corvallis, OR 97331 USA.</t>
  </si>
  <si>
    <t>Adelaide.Rhodes@cgrb.oregonstate.edu</t>
  </si>
  <si>
    <t>Palmer, Terence Aaron/J-3427-2019; Montagna, Paul A./J-8208-2017</t>
  </si>
  <si>
    <t>Montagna, Paul A./0000-0003-4199-3312; Rhodes, Adelaide/0000-0002-1714-1972; Palmer, Terence/0000-0001-6602-9760</t>
  </si>
  <si>
    <t>Harte Research Institute at Texas A&amp;M University-Corpus Christi; Department of Defense, Army Corp of Engineers Cold Regions Research &amp; Engineering Laboratory via Texas A&amp;M Research Foundation [W913E5-12-C-0006, S120048]</t>
  </si>
  <si>
    <t>Harte Research Institute at Texas A&amp;M University-Corpus Christi; Department of Defense, Army Corp of Engineers Cold Regions Research &amp; Engineering Laboratory via Texas A&amp;M Research Foundation</t>
  </si>
  <si>
    <t>The authors would like to thank McMurdo Station support staff including divers Rob Robbins, Steve Rupp, Brenda Konar and Terril Efird. The authors would also like to thank other field workers Andrew Klein (Co-PI), Steve Sweet, Joni Kincaid, Michelle Brown and Daniel Russell and the Principal Investigator of the McMurdo environmental monitoring project Mahlon C. Kennicutt II. Cliff Pereira at Oregon State University Statistics Department provided an extensive review of the statistical methods used in the final analysis. This research is supported by the Harte Research Institute at Texas A&amp;M University-Corpus Christi and Department of Defense, Army Corp of Engineers Cold Regions Research &amp; Engineering Laboratory Contract Number: W913E5-12-C-0006 via subcontract S120048 from the Texas A&amp;M Research Foundation.</t>
  </si>
  <si>
    <t>10.1007/s00300-015-1727-7</t>
  </si>
  <si>
    <t>WOS:000360758200007</t>
  </si>
  <si>
    <t>Galera, H; Chwedorzewska, KJ; Wodkiewicz, M</t>
  </si>
  <si>
    <t>Galera, Halina; Chwedorzewska, Katarzyna J.; Wodkiewicz, Maciej</t>
  </si>
  <si>
    <t>Response of Poa annua to extreme conditions: comparison of morphological traits between populations from cold and temperate climate conditions</t>
  </si>
  <si>
    <t>Annual bluegrass; Morphological diversity; Maritime Antarctic; Tatra; Biological expansion</t>
  </si>
  <si>
    <t>ANNUAL BLUEGRASS; PLANTS; L.; DIFFERENTIATION; KERGUELEN; ISLANDS; COMPETITION; ANTARCTICA; VEGETATION; DIVERSITY</t>
  </si>
  <si>
    <t>Poa annua is an expansive species that has developed a stable breeding population on the west shore of Admiralty Bay, King George Island (Antarctica). We investigated whether the colonization success of this species in extreme climatic conditions is associated with morphological variability. We compared the differences in 12 traits among P. annua populations thriving in Admiralty Bay, Tatra Mountains and Warsaw. Our expectations that plants occurring in maritime Antarctic and mountain conditions should exhibit similar morphological characteristics were not confirmed. Comparison of individual morphometric traits indicated high variability within as well as between the studied populations. Plants from the Admiralty Bay population differed significantly from plants from the Warsaw and Tatra populations in 9 of the 12 studied traits. We discovered more similarities between the Polish populations (Warsaw and Tatra) than between the populations from harsh environments (maritime Antarctic and Tatra). The Tatra population exhibited intermediate morphological characteristics in relation to plants from the other two studied populations. In parallel, the climatic conditions expressed in mean monthly air temperature were intermediate in the Tatra location. Four traits analyzed by other authors in the sub-Antarctic populations and by us in the maritime Antarctic population were consistently lower than for the Tatra and Warsaw populations. This finding is in accordance with our working hypothesis (i.e., plants growing in harsh cold conditions exhibit similar morphological characteristics). Our results might suggest that the morphological response to environmental stress of plants occurring in mountain and polar conditions may be similar.</t>
  </si>
  <si>
    <t>[Galera, Halina; Wodkiewicz, Maciej] Univ Warsaw, Dept Plant Ecol &amp; Environm Conservat, Fac Biol, PL-00478 Warsaw, Poland; [Chwedorzewska, Katarzyna J.] Inst Biochem &amp; Biophys PAS, Dept Antarctic Biol, PL-02106 Warsaw, Poland</t>
  </si>
  <si>
    <t>University of Warsaw; Polish Academy of Sciences; Institute of Biochemistry &amp; Biophysics - Polish Academy of Sciences</t>
  </si>
  <si>
    <t>Chwedorzewska, KJ (corresponding author), Inst Biochem &amp; Biophys PAS, Dept Antarctic Biol, Pawinskiego 5a, PL-02106 Warsaw, Poland.</t>
  </si>
  <si>
    <t>h.galera@uw.edu.pl; kchwedorzewska@go2.pl</t>
  </si>
  <si>
    <t>Chwedorzewska, Katarzyna J/A-9480-2008; Galera, Halina/V-5347-2018; Chwedorzewska, Katarzyna/M-9721-2019; Galera, Halina/IUQ-1030-2023</t>
  </si>
  <si>
    <t>Galera, Halina/0000-0001-6983-0908; Chwedorzewska, Katarzyna/0000-0001-6860-3666; Wodkiewicz, Maciej/0000-0002-7358-126X</t>
  </si>
  <si>
    <t>Polish Ministry of Scientific Research and Higher Education [2013/09/B/NZ8/03293]</t>
  </si>
  <si>
    <t>Polish Ministry of Scientific Research and Higher Education(Ministry of Science and Higher Education, Poland)</t>
  </si>
  <si>
    <t>This research was supported by the Polish Ministry of Scientific Research and Higher Education Grant 2013/09/B/NZ8/03293. The authors would like to thank Ms. Anna Gasek for providing assistance with the field work. Meteorogical data from Poland (Warszawa Okecie, Zakopane Rownia Krupowa, Hala Gasienicowa) were obtained from the Polish Institute of Meteorology and Water Management, National Research Institute, 61 Podlesna str., 01-673 Warsaw. We thank the Chief Editor and anonymous reviewers for friendly, helpful and constructive criticism and remarks that greatly improved our manuscript.</t>
  </si>
  <si>
    <t>10.1007/s00300-015-1731-y</t>
  </si>
  <si>
    <t>WOS:000360758200010</t>
  </si>
  <si>
    <t>Krafft, BA; Skaret, G; Knutsen, T</t>
  </si>
  <si>
    <t>Krafft, B. A.; Skaret, G.; Knutsen, T.</t>
  </si>
  <si>
    <t>An Antarctic krill (Euphausia superba) hotspot: population characteristics, abundance and vertical structure explored from a krill fishing vessel</t>
  </si>
  <si>
    <t>South Orkney Islands; Southern Ocean; Zooplankton; Reproduction; Hydro acoustics; Diel vertical migration</t>
  </si>
  <si>
    <t>SOUTH ORKNEY ISLANDS; NATURAL GROWTH-RATES; SCOTIA SEA; SWARM CHARACTERISTICS; TARGET STRENGTH; ATLANTIC SECTOR; AUSTRAL SUMMER; WEDDELL SEA; OCEAN; PENINSULA</t>
  </si>
  <si>
    <t>Antarctic krill (Euphausia superba) aggregate in various ways depending on a range of biological and physical factors. In some areas, typically associated with bathymetric features such as shelf edges and canyons, they may aggregate densely to form hotspots. Despite the importance of such hotspots, their development over time in demographic composition and spatial distribution is not well understood. A fishing vessel during regular operation was used for collection of krill demographic and acoustic data on the shelf northwest of South Orkney Islands. Results show a decrease in the proportion of subadult males, partly reflected in an increase in mature adult males. Concurrently, there was a change in the proportion of males in the sampled population from 0.8 to 0.3, indicating immigration or emigration of krill through the hotspot. A clear trend was observed in the diurnal vertical distribution with deeper and more vertically compact swarms during the day. However, some days displayed very small differences between the day and night distribution and considerable variability in the daytime depth distribution. It was noted that although fishing was carried out during the entire period of the study, there was no obvious trend in the acoustic backscatter, suggesting that the overall krill density was not changing during this period. Using a fishing vessel as a research platform has advantages for understanding the dynamics of the fishery and in quantifying biological and physical processes during actual exploitation of these resources.</t>
  </si>
  <si>
    <t>[Krafft, B. A.; Skaret, G.; Knutsen, T.] Inst Marine Res, N-5817 Bergen, Norway</t>
  </si>
  <si>
    <t>Institute of Marine Research - Norway</t>
  </si>
  <si>
    <t>Krafft, BA (corresponding author), Inst Marine Res, POB 1870, N-5817 Bergen, Norway.</t>
  </si>
  <si>
    <t>bjorn.krafft@imr.no</t>
  </si>
  <si>
    <t>Knutsen, Tor/0000-0003-3531-5611</t>
  </si>
  <si>
    <t>Royal Norwegian Ministry of Fisheries and Coastal affairs; Institute of Marine Research; University of Bergen; Norwegian Antarctic Research Expeditions (NARE); Norwegian Research Council; StatoilHydro; Norwegian Petroleum Directorate</t>
  </si>
  <si>
    <t>Royal Norwegian Ministry of Fisheries and Coastal affairs; Institute of Marine Research; University of Bergen; Norwegian Antarctic Research Expeditions (NARE); Norwegian Research Council(Research Council of Norway); StatoilHydro; Norwegian Petroleum Directorate</t>
  </si>
  <si>
    <t>This study is part of AKES (Antarctic Krill and Ecosystem Studies), which is supported by the Royal Norwegian Ministry of Fisheries and Coastal affairs, the Institute of Marine Research, the University of Bergen, the Norwegian Antarctic Research Expeditions (NARE), the Norwegian Research Council, StatoilHydro and the Norwegian Petroleum Directorate. We would also like to extend our gratitude to Aker BioMarine ASA and the crew of the Saga Sea.</t>
  </si>
  <si>
    <t>10.1007/s00300-015-1735-7</t>
  </si>
  <si>
    <t>Green Submitted, Green Published, hybrid</t>
  </si>
  <si>
    <t>WOS:000360758200013</t>
  </si>
  <si>
    <t>Lister, KN; Lamare, MD; Burritt, DJ</t>
  </si>
  <si>
    <t>Lister, Kathryn N.; Lamare, Miles D.; Burritt, David J.</t>
  </si>
  <si>
    <t>Oxidative damage and antioxidant defence parameters in the Antarctic bivalve Laternula elliptica as biomarkers for pollution impacts</t>
  </si>
  <si>
    <t>Antarctica; Laternula elliptica; Oxidative stress; Antioxidant; Pollutants</t>
  </si>
  <si>
    <t>KING-GEORGE ISLAND; URCHIN STERECHINUS-NEUMAYERI; SCALLOP ADAMUSSIUM-COLBECKI; MCMURDO SOUND; TREMATOMUS-BERNACCHII; SCAVENGING CAPACITY; TRACE-METALS; STRESS; GLUTATHIONE; ASSAY</t>
  </si>
  <si>
    <t>The Antarctic continent is increasingly vulnerable to anthropogenic pollution; however, assessments of the impacts that chemical pollutants have on cold-adapted marine organisms are limited. Oxidative stress (OS) occurs when the rate of reactive oxygen species generation exceeds the scavenging capacity of an organism's antioxidant (AO) system and is an important unifying feature underlying the toxicity of many chemical contaminants in aquatic organisms. The Antarctic bivalve Laternula elliptica is a widely distributed, infaunal filter-feeding organism. We analysed AO enzyme activities, levels of the molecular antioxidant glutathione, protein carbonylation and lipid peroxidation as OS biomarkers in L. elliptica from contaminant-impacted sites near McMurdo Station and the relatively pristine Cape Evans. The objective was to evaluate the effectiveness of these biomarkers for detecting contaminant stress in this cold-adapted marine invertebrate. The concentrations of total polycyclic aromatic hydrocarbons were quantified as a proxy for contamination and found to be elevated in gonad and muscle tissues from L. elliptica dwelling in contaminated sites. These individuals exhibited a greater degree of OS than those from the reference site, evidenced by increases in oxidative lipid and protein damage, as well as an upregulation of AO defences. Coincidentally, L. elliptica from the contaminated sites were significantly smaller in shell length (1.3-fold) than those from the reference site. Oxidative biomarkers proved to be useful indicators of contamination exposure in the present study and were used to document ongoing biological impacts from historic and current pollution in McMurdo Sound.</t>
  </si>
  <si>
    <t>[Lister, Kathryn N.; Burritt, David J.] Univ Otago, Dept Bot, Dunedin 9016, New Zealand; [Lamare, Miles D.] Univ Otago, Dept Marine Sci, Dunedin 9016, New Zealand</t>
  </si>
  <si>
    <t>University of Otago; University of Otago</t>
  </si>
  <si>
    <t>Lister, KN (corresponding author), Univ Otago, Dept Bot, 464 Great King St, Dunedin 9016, New Zealand.</t>
  </si>
  <si>
    <t>kathryn.lister@otago.ac.nz</t>
  </si>
  <si>
    <t>Remy, Melanie/G-3598-2010</t>
  </si>
  <si>
    <t>Remy, Melanie/0000-0002-3238-2125</t>
  </si>
  <si>
    <t>University of Otago, an Antarctica New Zealand/Kelly Tarleton's postgraduate scholarship</t>
  </si>
  <si>
    <t>This research was supported by the University of Otago, an Antarctica New Zealand/Kelly Tarleton's postgraduate scholarship to K. L and logistical support from Antarctica New Zealand via event K-068, 2012.</t>
  </si>
  <si>
    <t>10.1007/s00300-015-1739-3</t>
  </si>
  <si>
    <t>WOS:000360758200017</t>
  </si>
  <si>
    <t>Kellmann-Sopya, W; Gielwanowska, I</t>
  </si>
  <si>
    <t>Kellmann-Sopya, Wioleta; Gielwanowska, Irena</t>
  </si>
  <si>
    <t>Germination capacity of five polar Caryophyllaceae and Poaceae species under different temperature conditions</t>
  </si>
  <si>
    <t>Antarctic; Arctic; Seed germination; Stratification; Temperature</t>
  </si>
  <si>
    <t>POA-ANNUA L.; KING GEORGE ISLAND; ANNUAL BLUEGRASS; SEED BANK; REPRODUCTION; GROWTH; ANTARCTICA; DORMANCY; PLANTS; CONSTRAINTS</t>
  </si>
  <si>
    <t>A compilation of the literature relating to the germination of five species of polar vascular plants, Cerastium alpinum, Colobanthus quitensis, Silene involucrata, Deschampsia antarctica and Poa annua, indicates that optimal temperature conditions for seed germination have never been identified for some of them, and the results reported for the remaining species are largely inconclusive. Our results and published findings suggest that significant differences in the germinability of the analysed five species and their species-specific germination responses to temperature and cold stratification could result from variations in their physiological dormancy levels. It is important that seed physiological development at time of collection, seed storing time and conditions are as equal as possible when comparing results from different studies. Our study revealed differences in the maximum germination percentages of those species, which ranged from very low (C. alpinum, 10 %) to very high (S. involucrata, 99 %). Silene involucrata, C. quitensis and D. antarctica have fast-germinating seeds, whereas P. annua is a long germinating species. Within the range of four tested temperatures (12, 20, 20/7 and 30/20 A degrees C), the lowest germination percentage of S. involucrata seeds was observed at fluctuating temperature of 30/20 A degrees C and C. quitensis seeds at 12 A degrees C, the highest germination percentage of C. quitensis seeds was reported at fluctuating temperature of 20/7 A degrees C and P. annua seeds at 12 A degrees C, whereas the germination percentage of D. antarctica was not affected by temperature. A two-month cold stratification period stimulated germination in C. quitensis and D. antarctica, but it did not affect the germination of C. alpinum.</t>
  </si>
  <si>
    <t>[Kellmann-Sopya, Wioleta; Gielwanowska, Irena] Univ Warmia &amp; Mazury, Dept Plant Physiol Genet &amp; Biotechnol, PL-10719 Olsztyn, Poland; [Gielwanowska, Irena] PAS, Inst Biochem &amp; Biophys, Dept Antarctic Biol, PL-02141 Warsaw, Poland; [Gielwanowska, Irena] PAS, Inst Biochem &amp; Biophys, Polish Antarctic Stn H Arctowski, PL-02141 Warsaw, Poland</t>
  </si>
  <si>
    <t>University of Warmia &amp; Mazury; Polish Academy of Sciences; Institute of Biochemistry &amp; Biophysics - Polish Academy of Sciences; Polish Academy of Sciences; Institute of Biochemistry &amp; Biophysics - Polish Academy of Sciences</t>
  </si>
  <si>
    <t>Kellmann-Sopya, W (corresponding author), Univ Warmia &amp; Mazury, Dept Plant Physiol Genet &amp; Biotechnol, Oczapowskiego 1A, PL-10719 Olsztyn, Poland.</t>
  </si>
  <si>
    <t>wioleta.kellmann@uwm.edu.pl</t>
  </si>
  <si>
    <t>Gielwanowska, Irena/0000-0002-9001-1285</t>
  </si>
  <si>
    <t>National Science Centre of the Republic of Poland [2013/09/B/NZ8/03293]</t>
  </si>
  <si>
    <t>National Science Centre of the Republic of Poland</t>
  </si>
  <si>
    <t>This research was partly supported by the National Science Centre of the Republic of Poland Grant 2013/09/B/NZ8/03293. We would like to thank reviewers for constructive advice, which has improved our paper.</t>
  </si>
  <si>
    <t>10.1007/s00300-015-1740-x</t>
  </si>
  <si>
    <t>WOS:000360758200018</t>
  </si>
  <si>
    <t>Rahman, MH; Sakamoto, KQ; Kitamura, S; Nonaka, L; Suzuki, S</t>
  </si>
  <si>
    <t>Rahman, M. Habibur; Sakamoto, Kentaro Q.; Kitamura, Shin-Ichi; Nonaka, Lisa; Suzuki, Satoru</t>
  </si>
  <si>
    <t>Diversity of tetracycline-resistant bacteria and resistance gene tet(M) in fecal microbial community of Adelie penguin in Antarctica</t>
  </si>
  <si>
    <t>Penguin; Tetracycline; Resistance; Intestine; tet(M)</t>
  </si>
  <si>
    <t>ANTIBIOTIC-RESISTANCE; DETERMINANTS; ENTEROCOCCI; SEDIMENTS; PROFILES; HUMANS; PIGS; SOIL</t>
  </si>
  <si>
    <t>Antibiotic-resistant bacteria can be detected in pristine environments and animals. Tetracycline (TC) is frequently used for wide areas of veterinary medicine, which selects TC-resistant bacteria. The TC resistance genes are known from natural environments, and tet(M) is the broadest host range tet gene. Here, we report that TC-resistant bacteria and the TC resistance gene tet(M) were diverse in Ad,lie penguin intestines, even within a single penguin colony. Total bacterial counts were as high as 10(7) CFU g(-1), and TC-resistant bacteria ranged from 1.4 x 10(2) to 6.6 x 10(3) CFU g(-1) intestinal contents, which was 0-0.54 % of the total viable count. Phylogenetic affiliation of TC-resistant bacteria revealed a variety of Gram-positive and Gram-negative bacteria. The tet(M) gene was identified in 32.3 % of TC-resistant strains, and two tet(M) genotypes were identified within one penguin colony, suggesting various contamination origins of tet(M).</t>
  </si>
  <si>
    <t>[Rahman, M. Habibur; Kitamura, Shin-Ichi; Nonaka, Lisa; Suzuki, Satoru] Ehime Univ, CMES, Matsuyama, Ehime 7908577, Japan; [Sakamoto, Kentaro Q.] Hokkaido Univ, Grad Sch Vet Med, Sapporo, Hokkaido 0600818, Japan</t>
  </si>
  <si>
    <t>Ehime University; Hokkaido University</t>
  </si>
  <si>
    <t>Suzuki, S (corresponding author), Rajshahi Univ, Dept Zool, Rajshahi 6205, Bangladesh.</t>
  </si>
  <si>
    <t>ssuzuki@ehime-u.ac.jp</t>
  </si>
  <si>
    <t>Sakamoto, Kentaro/N-7424-2019; Sakamoto, Kentaro/A-4843-2012</t>
  </si>
  <si>
    <t>Sakamoto, Kentaro/0000-0002-8499-799X; Sakamoto, Kentaro/0000-0002-8499-799X; Kitamura, Shin-Ichi/0000-0001-7357-3369</t>
  </si>
  <si>
    <t>COE Program (MEXT); Global COE Program (MEXT); JSPS [14208063]; COE Program; Global COE Program; Grants-in-Aid for Scientific Research [14208063, 25257402] Funding Source: KAKEN</t>
  </si>
  <si>
    <t>COE Program (MEXT); Global COE Program (MEXT); JSPS(Ministry of Education, Culture, Sports, Science and Technology, Japan (MEXT)Japan Society for the Promotion of Science); COE Program(Ministry of Education, Culture, Sports, Science and Technology, Japan (MEXT)); Global COE Program(Ministry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</si>
  <si>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45th and 46th Japanese Antarctic Research Expedition (JARE) and the crew of the icebreaker Shirase for their logistic support. Funding was partly supported by grants-in-aid from the twenty-first century COE and Global COE Programs (MEXT) and grants-in-aid from JSPS (14208063). M.H.R. was a postdoctoral fellow funded by twenty-first century COE and Global COE Programs. We thank Dr. Todd Miller for his critical review of the manuscript.</t>
  </si>
  <si>
    <t>10.1007/s00300-015-1732-x</t>
  </si>
  <si>
    <t>WOS:000360758200020</t>
  </si>
  <si>
    <t>Sengupta, D; Sangu, K; Shivaji, S; Chattopadhyay, MK</t>
  </si>
  <si>
    <t>Sengupta, Dipanwita; Sangu, Kavya; Shivaji, Sisinthy; Chattopadhyay, Madhab K.</t>
  </si>
  <si>
    <t>Tolerance of an Antarctic Bacterium to Multiple Environmental Stressors</t>
  </si>
  <si>
    <t>CURRENT MICROBIOLOGY</t>
  </si>
  <si>
    <t>SP-NOV; LOW-TEMPERATURE; OXIDATIVE STRESS; PSEUDOMONAS; PROTECTION; WATER; ICE</t>
  </si>
  <si>
    <t>A population of cold-tolerant Antarctic bacteria was screened for their ability to tolerate other environmental stress factors. Besides low temperature, they were predominantly found to be tolerant to alkali. Attempt was also made to postulate a genetic basis of their multistress-tolerance. Transposon mutagenesis of an isolate Pseudomonas syringae Lz4W was performed, and mutants with delayed growth at low temperature were further screened for sensitivity to some other stress factors. A number of multistress-sensitive mutants were isolated. The mutated gene in one of the mutants sensitive to low temperature, acid and alkali was found to encode citrate synthase. Possible role of citrate synthase in conferring multistress-tolerance was postulated.</t>
  </si>
  <si>
    <t>[Sengupta, Dipanwita; Sangu, Kavya; Chattopadhyay, Madhab K.] Ctr Cellular &amp; Mol Biol CSIR, Hyderabad 500007, Andhra Pradesh, India</t>
  </si>
  <si>
    <t>Council of Scientific &amp; Industrial Research (CSIR) - India; CSIR - Centre for Cellular &amp; Molecular Biology (CCMB)</t>
  </si>
  <si>
    <t>Chattopadhyay, MK (corresponding author), Ctr Cellular &amp; Mol Biol CSIR, Hyderabad 500007, Andhra Pradesh, India.</t>
  </si>
  <si>
    <t>mkc@ccmb.res.in</t>
  </si>
  <si>
    <t>shivaji, sisinthy/0000-0003-0376-4658</t>
  </si>
  <si>
    <t>Department of Biotechnology, Government of India</t>
  </si>
  <si>
    <t>Department of Biotechnology, Government of India(Department of Biotechnology (DBT) India)</t>
  </si>
  <si>
    <t>The investigators feel thankful to the Department of Biotechnology, Government of India, for the financial support provided for the work. They are also thankful to Dr Ch. Mohan Rao, Director CCMB (CSIR) and Dr Lalji Singh, ex-Director, CCMB (CSIR) for the research infrastructure provided for the work.</t>
  </si>
  <si>
    <t>0343-8651</t>
  </si>
  <si>
    <t>1432-0991</t>
  </si>
  <si>
    <t>CURR MICROBIOL</t>
  </si>
  <si>
    <t>Curr. Microbiol.</t>
  </si>
  <si>
    <t>10.1007/s00284-015-0874-y</t>
  </si>
  <si>
    <t>CP3UL</t>
  </si>
  <si>
    <t>WOS:000359807900009</t>
  </si>
  <si>
    <t>Seehaus, T; Marinsek, S; Helm, V; Skvarca, P; Braun, M</t>
  </si>
  <si>
    <t>Seehaus, Thorsten; Marinsek, Sebastian; Helm, Veit; Skvarca, Pedro; Braun, Matthias</t>
  </si>
  <si>
    <t>Changes in ice dynamics, elevation and mass discharge of Dinsmoor-Bombardier-Edgeworth glacier system, Antarctic Peninsula</t>
  </si>
  <si>
    <t>Larsen-A Ice Shelf; remote sensing; glacier change; contribution to sea level rise; glacier mass balance; sensitivity analysis</t>
  </si>
  <si>
    <t>LARSEN; SHELF; DISINTEGRATION; PATTERN; RETREAT; DRIVEN</t>
  </si>
  <si>
    <t>The northern Antarctic Peninsula is one of the fastest changing regions on Earth. The disintegration of the Larsen-A Ice Shelf in 1995 caused tributary glaciers to adjust by speeding up, surface lowering, and overall increased ice-mass discharge. In this study, we investigate the temporal variation of these changes at the Dinsmoor-Bombardier-Edgeworth glacier system by analyzing dense time series from various spaceborne and airborne Earth observation missions. Precollapse ice shelf conditions and subsequent adjustments through 2014 were covered. Our results show a response of the glacier system some months after the breakup, reaching maximum surface velocities at the glacier front of up to 8.8 m/d in 1999 and a subsequent decrease to similar to 1.5 m/d in 2014. Using a dense time series of interferometrically derived TanDEM-X digital elevation models and photogrammetric data, an exponential function was fitted for the decrease in surface elevation. Elevation changes in areas below 1000 m a.s.l. amounted to at least 130 +/- 15 m between 1995 and 2014, with change rates of similar to 3.15 m/a between 2003 and 2008. Current change rates (2010-2014) are in the range of 1.7 m/a. Mass imbalances were computed with ;different scenarios of boundary conditions. The most plausible results amount to -40.7 +/- 3.9 Gt. The contribution to sea level rise was estimated to be 18.8 +/- 1.8 Gt, corresponding to a 0.052 +/- 0.005 mm sea level equivalent, for the period 1995-2014. Our analysis and scenario considerations revealed that major uncertainties still exist due to insufficiently accurate ice-thickness information. The second largest uncertainty in the computations was the glacier surface mass balance, which is still poorly known. Our time series analysis facilitates an improved comparison with GRACE data and as input to modeling of glacio-isostatic uplift in this region. The study contributed to a better understanding of how glacier systems adjust to ice shelf disintegration. (C) 2015 Elsevier B.V. All rights reserved.</t>
  </si>
  <si>
    <t>[Seehaus, Thorsten; Braun, Matthias] Univ Erlangen Nurnberg, Inst Geog, D-91058 Erlangen, Germany; [Marinsek, Sebastian] Inst Antartico Argentino, Buenos Aires, DF, Argentina; [Marinsek, Sebastian] Univ Tecnol Nacl, Fac Reg Buenos Aires, Buenos Aires, DF, Argentina; [Helm, Veit] Alfred Wegener Inst Polar &amp; Marine Res, D-27568 Bremerhaven, Germany; [Skvarca, Pedro] Glaciarium, Museo Hielo Patagon, RA-9405 El Calafate, Prov Santa Cruz, Argentina</t>
  </si>
  <si>
    <t>University of Erlangen Nuremberg; Instituto Antartico Argentino; Helmholtz Association; Alfred Wegener Institute, Helmholtz Centre for Polar &amp; Marine Research</t>
  </si>
  <si>
    <t>Seehaus, T (corresponding author), Univ Erlangen Nurnberg, Inst Geog, Wetterkreuz 15, D-91058 Erlangen, Germany.</t>
  </si>
  <si>
    <t>thorsten.seehaus@fau.de; smarinsek@dna.gov.ar; Veit.Helm@awi.de; pedroskvarca@gmail.com; matthias.h.braun@fau.de</t>
  </si>
  <si>
    <t>Braun, Matthias H/S-4693-2016; Braun, Matthias/A-4968-2009</t>
  </si>
  <si>
    <t>Braun, Matthias/0000-0001-5169-1567; Seehaus, Thorsten/0000-0001-5055-8959</t>
  </si>
  <si>
    <t>DFG Priority Program 'Antarktisforschung' [BR 2105/9-1]; IAA-DNA; European Commission [319718]</t>
  </si>
  <si>
    <t>DFG Priority Program 'Antarktisforschung'(German Research Foundation (DFG)); IAA-DNA; European Commission(European Union (EU)European Commission Joint Research Centre)</t>
  </si>
  <si>
    <t>M.B. and T.S. were funded under grant BR 2105/9-1 within the DFG Priority Program 'Antarktisforschung', and would like to thank the HGF Alliance Remote Sensing of Earth System Dynamics. S.M. was supported by different projects and programs funded by IAA-DNA. IAA/DNA and AWI kindly provided logistic support as well as airborne operations. The authors particularly acknowledge the support of Marambio station personnel, the helicopters and Twin Otter DHC-6 crews for their support during the field surveys. Access to satellite data was kindly provided by various space agencies, e.g. under ESA AO 4032, DLR TerraSAR-X Background Mission Antarctic Peninsula and Ice Shelves, TSX AO LAN0013, TSX AO BMC, TDX AO XTI_GLAC0264, ASF as well as NASA and USGS. Furthermore, this project has been supported by the European Commission under the 7th Framework Programme through the Action - IMCONet (FP7 IRSES, action No. 319718). The authors would like to thank Matt King, Ted Scambos and 3 other anonymous reviewers for their constructive comments that helped improving this manuscript as well as the editor Derek Vance. Furthermore, we are grateful to Melanie Rankl, Saurabh Vijay and Bjorn Sass for helpful comments.</t>
  </si>
  <si>
    <t>10.1016/j.epsl.2015.06.047</t>
  </si>
  <si>
    <t>WOS:000359330800014</t>
  </si>
  <si>
    <t>Krafft, BA; Krag, LA</t>
  </si>
  <si>
    <t>Krafft, Bjorn A.; Krag, Ludvig A.</t>
  </si>
  <si>
    <t>Assessment of mortality of Antarctic krill (Euphausia superba) escaping from a trawl</t>
  </si>
  <si>
    <t>Southern Ocean; Unaccounted mortality; Size selectivity; Fishery management</t>
  </si>
  <si>
    <t>LOBSTER NEPHROPS-NORVEGICUS; BY-CATCH; SURVIVAL; DISCARDS; SEA</t>
  </si>
  <si>
    <t>The overall purpose of this study was to estimate the mortality of Antarctic krill (Euphausia superba) that escape from the most common mesh size used for codends (16 mm) in the current commercial fishery. The experiment was carried out off the South Orkney Islands (60 degrees 35'S, 45 degrees 30'W) using a covered codend sampling technique for retaining escaped krill, which thereafter were observed in holding tanks to monitor their mortality rate. Our results suggest that krill with smaller body lengths suffered higher mortality. However, sampling depth, haul duration and catch accumulation as well as handling effects onboard, such as exposure to temperature differences, likely increased the mortality rates in our experiment. The results indicates that mortality of krill which escape trawl nets is relatively small, suggesting that krill, in common with many other crustacean species, are fairly tolerant to a process of capture-and-escape. (C) 2015 The Authors. Published by Elsevier B.V. This is an open access article under the CC BY license (http://creativecommons.org/licenses/by/4.0/).</t>
  </si>
  <si>
    <t>[Krafft, Bjorn A.] Inst Marine Res, N-5870 Bergen, Norway; [Krag, Ludvig A.] DTU Aqua, Natl Inst Aquat Resources, DK-9850 Hirtshals, Denmark</t>
  </si>
  <si>
    <t>Institute of Marine Research - Norway; Technical University of Denmark</t>
  </si>
  <si>
    <t>Krafft, BA (corresponding author), Inst Marine Res, N-5870 Bergen, Norway.</t>
  </si>
  <si>
    <t>Krag, Ludvig Ahm/0000-0002-1531-1499</t>
  </si>
  <si>
    <t>Institute of Marine Research in Norway; Norwegian Research Council</t>
  </si>
  <si>
    <t>Institute of Marine Research in Norway; Norwegian Research Council(Research Council of Norway)</t>
  </si>
  <si>
    <t>The Institute of Marine Research in Norway and The Norwegian Research Council provided financial support. Thanks to AKER BioMarine ASA for providing a vessel, crew and outstanding assistance. Thanks to Ronald Pedersen (IMR) for writing of software and for drawing Fig. 1, and to Stephen Westcott for improving the language and style.</t>
  </si>
  <si>
    <t>10.1016/j.fishres.2015.05.019</t>
  </si>
  <si>
    <t>CO3BZ</t>
  </si>
  <si>
    <t>Green Submitted, hybrid, Green Published</t>
  </si>
  <si>
    <t>WOS:000359032900013</t>
  </si>
  <si>
    <t>French, RP; Lyle, J; Tracey, S; Currie, S; Semmens, JM</t>
  </si>
  <si>
    <t>French, Robert P.; Lyle, Jeremy; Tracey, Sean; Currie, Suzanne; Semmens, Jayson M.</t>
  </si>
  <si>
    <t>High survivorship after catch-and-release fishing suggests physiological resilience in the endothermic shortfin mako shark (Isurus oxyrinchus)</t>
  </si>
  <si>
    <t>CONSERVATION PHYSIOLOGY</t>
  </si>
  <si>
    <t>Catch-and-release fishing; endothermy; mako shark; post-release survival; stress physiology</t>
  </si>
  <si>
    <t>POSTRELEASE SURVIVORSHIP; PRIONACE-GLAUCA; RAINBOW-TROUT; CIRCLE HOOKS; BLUE SHARKS; RECREATIONAL FISHERIES; TRIMETHYLAMINE OXIDE; ENZYME-ACTIVITIES; ACID-BASE; STRESS</t>
  </si>
  <si>
    <t>The shortfin mako shark (Isurus oxyrinchus) is a species commonly targeted by commercial and recreational anglers in many parts of the developed world. In Australia, the species is targeted by recreational anglers only, under the assumption that most of the sharks are released and populations remain minimally impacted. If released sharks do not survive, the current management strategy will need to be revised. Shortfin mako sharks are commonly subjected to lengthy angling events; however, their endothermic physiology may provide an advantage over ectothermic fishes when recovering from exercise. This study assessed the post-release survival of recreationally caught shortfin mako sharks using Survivorship Pop-up Archival Transmitting (sPAT) tags and examined physiological indicators of capture stress from blood samples as well as any injuries that may be caused by hook selection. Survival estimates were based on 30 shortfin mako sharks captured off the southeastern coast of Australia. Three mortalities were observed over the duration of the study, yielding an overall survival rate of 90%. All mortalities occurred in sharks angled for &lt; 30 min. Sharks experienced increasing plasma lactate with longer fight times and higher sea surface temperatures (SSTs), increased plasma glucose at higher SSTs and depressed expression of heat shock protein 70 and beta-hydroxybutyrate at higher SSTs. Long fight times did not impact survival. Circle hooks significantly reduced foul hooking when compared with J hooks. Under the conditions of this study, we found that physical injury associated with hook choice is likely to have contributed to an increased likelihood of mortality, whereas the high aerobic scope associated with the species' endothermy probably enabled it to cope with long fight times and the associated physiological responses to capture.</t>
  </si>
  <si>
    <t>[French, Robert P.; Lyle, Jeremy; Tracey, Sean; Semmens, Jayson M.] Univ Tasmania, Fisheries &amp; Aquaculture Ctr, Inst Marine &amp; Antarctic Studies, Private Bag 49, Hobart, Tas 7001, Australia; [Currie, Suzanne] Mt Allison Univ, Dept Biol, Sackville, NB E4L 1E4, Canada</t>
  </si>
  <si>
    <t>University of Tasmania; Mount Allison University</t>
  </si>
  <si>
    <t>French, RP (corresponding author), Univ Tasmania, Fisheries &amp; Aquaculture Ctr, Inst Marine &amp; Antarctic Studies, Private Bag 49, Hobart, Tas 7001, Australia.</t>
  </si>
  <si>
    <t>robert.french@utas.edu.au</t>
  </si>
  <si>
    <t>; Lyle, Jeremy/J-7170-2014; Tracey, Sean/J-7446-2014</t>
  </si>
  <si>
    <t>Semmens, Jayson/0000-0003-1742-6692; Lyle, Jeremy/0000-0001-9670-5854; Tracey, Sean/0000-0002-6735-5899</t>
  </si>
  <si>
    <t>Department of Primary Industries, Parks, Water and Environment, Fishwise Community [CG2010/116]; Equity Trustees; ANZ Trustees, Holsworth Wildlife Research Endowment [S0020481]; Natural Sciences and Engineering Research Council of Canada [NSERC RGPIN-2014-06177]</t>
  </si>
  <si>
    <t>Department of Primary Industries, Parks, Water and Environment, Fishwise Community; Equity Trustees; ANZ Trustees, Holsworth Wildlife Research Endowment; Natural Sciences and Engineering Research Council of Canada(Natural Sciences and Engineering Research Council of Canada (NSERC)CGIAR)</t>
  </si>
  <si>
    <t>This work was supported by the Department of Primary Industries, Parks, Water and Environment, Fishwise Community [grant CG2010/116 to J.M.S.]; Equity Trustees and ANZ Trustees, Holsworth Wildlife Research Endowment [S0020481 to R.P.F.] and the Natural Sciences and Engineering Research Council of Canada [NSERC RGPIN-2014-06177 to S.C.].</t>
  </si>
  <si>
    <t>2051-1434</t>
  </si>
  <si>
    <t>CONSERV PHYSIOL</t>
  </si>
  <si>
    <t>Conserv. Physiol.</t>
  </si>
  <si>
    <t>SEP 30</t>
  </si>
  <si>
    <t>cov044</t>
  </si>
  <si>
    <t>10.1093/conphys/cov044</t>
  </si>
  <si>
    <t>Biodiversity Conservation; Ecology; Environmental Sciences; Physiology</t>
  </si>
  <si>
    <t>Biodiversity &amp; Conservation; Environmental Sciences &amp; Ecology; Physiology</t>
  </si>
  <si>
    <t>DK8TK</t>
  </si>
  <si>
    <t>WOS:000375201000002</t>
  </si>
  <si>
    <t>Chong, CW; Pearce, DA; Convey, P</t>
  </si>
  <si>
    <t>Chong, Chun-Wie; Pearce, David A.; Convey, Peter</t>
  </si>
  <si>
    <t>Emerging spatial patterns in Antarctic prokaryotes</t>
  </si>
  <si>
    <t>spatial pattern; Antarctica; prokaryotes; functional redundancy; biogeography</t>
  </si>
  <si>
    <t>MICROBIAL COMMUNITY STRUCTURE; BACTERIAL DIVERSITY; VICTORIA-LAND; TERRESTRIAL ECOSYSTEMS; SOIL BIODIVERSITY; CYANOBACTERIAL DIVERSITY; TRANSANTARCTIC MOUNTAINS; NUTRIENT INPUTS; RIBOSOMAL-RNA; BIOGEOGRAPHY</t>
  </si>
  <si>
    <t>Recent advances in knowledge of patterns of biogeography in terrestrial eukaryotic organisms have led to a fundamental paradigm shift in understanding of the controls and history of life on land in Antarctica, and its interactions over the long term with the glaciological and geological processes that have shaped the continent. However, while it has long been recognized that the terrestrial ecosystems of Antarctica are dominated by microbes and their processes, knowledge of microbial diversity and distributions has lagged far behind that of the macroscopic eukaryote organisms. Increasing human contact with and activity in the continent is leading to risks of biological contamination and change in a region whose isolation has protected it for millions of years at least; these risks may be particularly acute for microbial communities which have, as yet, received scant recognition and attention. Even a matter apparently as straightforward as Protected Area designation in Antarctica requires robust biodiversity data which, in most parts of the continent, remain almost completely unavailable. A range of important contributing factors mean that it is now timely to reconsider the state of knowledge of Antarctic terrestrial prokaryotes. Rapid advances in molecular biological approaches are increasingly demonstrating that bacterial diversity in Antarctica may be far greater than previously thought, and that there is overlap in the environmental controls affecting both Antarctic prokaryotic and eukaryotic communities. Bacterial dispersal mechanisms and colonization patterns remain largely unaddressed, although evidence for regional evolutionary differentiation is rapidly accruing and, with this, there is increasing appreciation of patterns in regional bacterial biogeography in this large part of the globe. In this review, we set out to describe the state of knowledge of Antarctic prokaryote diversity patterns, drawing analogy with those of eukaryote groups where appropriate. Based on our synthesis, it is clear that spatial patterns of Antarctic prokaryotes can be unique at local scales, while the limited evidence available to date supports the group exhibiting overall regional biogeographical patterns similar to the eukaryotes. We further consider the applicability of the concept of functional redundancy for the Antarctic microbial community and highlight the requirements for proper consideration of their important and distinctive roles in Antarctic terrestrial ecosystems.</t>
  </si>
  <si>
    <t>[Chong, Chun-Wie] Int Med Univ, Sch Pharm, Dept Life Sci, Kuala Lumpur 57000, Malaysia; [Chong, Chun-Wie; Pearce, David A.; Convey, Peter] Univ Malaya, Natl Antarctic Res Ctr, Kuala Lumpur, Malaysia; [Pearce, David A.] Northumbria Univ, Fac Hlth &amp; Life Sci, Newcastle Upon Tyne NE1 8ST, Tyne &amp; Wear, England; [Pearce, David A.] Univ Ctr Svalbard, Longyearbyen, Norway; [Pearce, David A.; Convey, Peter] British Antarctic Survey, Cambridge CB3 0ET, England</t>
  </si>
  <si>
    <t>International Medical University Malaysia; Universiti Malaya; Northumbria University; University Centre Svalbard (UNIS); UK Research &amp; Innovation (UKRI); Natural Environment Research Council (NERC); NERC British Antarctic Survey</t>
  </si>
  <si>
    <t>Chong, CW (corresponding author), Int Med Univ, Sch Pharm, Dept Life Sci, Kuala Lumpur 57000, Malaysia.</t>
  </si>
  <si>
    <t>chongchunwie@imu.edu.my</t>
  </si>
  <si>
    <t>Chong, Chun Wie/ABG-7676-2020; Convey, Peter/AAV-5728-2020</t>
  </si>
  <si>
    <t>Chong, Chun Wie/0000-0002-6881-8883; Convey, Peter/0000-0001-8497-9903; Pearce, David/0000-0001-5292-4596</t>
  </si>
  <si>
    <t>YPASM fellowship; NERC; Visiting Professorships at the National Antarctic Research Centre, University of Malaya; Natural Environment Research Council [bas0100036] Funding Source: researchfish; NERC [bas0100036] Funding Source: UKRI</t>
  </si>
  <si>
    <t>YPASM fellowship; NERC(UK Research &amp; Innovation (UKRI)Natural Environment Research Council (NERC)); Visiting Professorships at the National Antarctic Research Centre, University of Malaya; Natural Environment Research Council(UK Research &amp; Innovation (UKRI)Natural Environment Research Council (NERC)); NERC(UK Research &amp; Innovation (UKRI)Natural Environment Research Council (NERC))</t>
  </si>
  <si>
    <t>This work is supported by a YPASM fellowship awarded to C-WC. PC is supported by NERC core funding to the British Antarctic Survey's 'Biodiversity, Evolution and Adaptation Programme,' and PC and DP are supported by Visiting Professorships at the National Antarctic Research Centre, University of Malaya.</t>
  </si>
  <si>
    <t>10.3389/fmicb.2015.01058</t>
  </si>
  <si>
    <t>CU2TA</t>
  </si>
  <si>
    <t>WOS:000363375200001</t>
  </si>
  <si>
    <t>Rodríguez-Marconi, S; De la Iglesia, R; Díez, B; Fonseca, CA; Hajdu, E; Trefault, N</t>
  </si>
  <si>
    <t>Rodriguez-Marconi, Susana; De la Iglesia, Rodrigo; Diez, Beatriz; Fonseca, Cassio A.; Hajdu, Eduardo; Trefault, Nicole</t>
  </si>
  <si>
    <t>Characterization of Bacterial, Archaeal and Eukaryote Symbionts from Antarctic Sponges Reveals a High Diversity at a Three-Domain Level and a Particular Signature for This Ecosystem</t>
  </si>
  <si>
    <t>MARINE SPONGES; MICROBIAL COMMUNITIES; SOUTHERN-OCEAN; MICROORGANISMS; PORIBACTERIA; EVOLUTION; PROFILES; ECOLOGY; DIATOMS; FUNGAL</t>
  </si>
  <si>
    <t>Sponge-associated microbial communities include members from the three domains of life. In the case of bacteria, they are diverse, host specific and different from the surrounding seawater. However, little is known about the diversity and specificity of Eukarya and Archaea living in association with marine sponges. This knowledge gap is even greater regarding sponges from regions other than temperate and tropical environments. In Antarctica, marine sponges are abundant and important members of the benthos, structuring the Antarctic marine ecosystem. In this study, we used high throughput ribosomal gene sequencing to investigate the three-domain diversity and community composition from eight different Antarctic sponges. Taxonomic identification reveals that they belong to families Acarnidae, Chalinidae, Hymedesmiidae, Hymeniacidonidae, Leucettidae, Microcionidae, and Myxillidae. Our study indicates that there are different diversity and similarity patterns between bacterial/archaeal and eukaryote microbial symbionts from these Antarctic marine sponges, indicating inherent differences in how organisms from different domains establish symbiotic relationships. In general, when considering diversity indices and number of phyla detected, sponge-associated communities are more diverse than the planktonic communities. We conclude that three-domain microbial communities from Antarctic sponges are different from surrounding planktonic communities, expanding previous observations for Bacteria and including the Antarctic environment. Furthermore, we reveal differences in the composition of the sponge associated bacterial assemblages between Antarctic and tropical-temperate environments and the presence of a highly complex microbial eukaryote community, suggesting a particular signature for Antarctic sponges, different to that reported from other ecosystems.</t>
  </si>
  <si>
    <t>[Rodriguez-Marconi, Susana; Trefault, Nicole] Univ Mayor, Ctr Genom &amp; Bioinformat, Fac Sci, Camino La Piramide 5750, Santiago, Chile; [De la Iglesia, Rodrigo; Diez, Beatriz] Pontificia Univ Catolica Chile, Dept Mol Genet &amp; Microbiol, Santiago, Chile; [Fonseca, Cassio A.; Hajdu, Eduardo] Univ Fed Rio de Janeiro, Museu Nacl, BR-20940040 Rio De Janeiro, Brazil</t>
  </si>
  <si>
    <t>Universidad Mayor; Pontificia Universidad Catolica de Chile; Universidade Federal do Rio de Janeiro</t>
  </si>
  <si>
    <t>Trefault, N (corresponding author), Univ Mayor, Ctr Genom &amp; Bioinformat, Fac Sci, Camino La Piramide 5750, Santiago, Chile.</t>
  </si>
  <si>
    <t>nicole.trefault@umayor.cl</t>
  </si>
  <si>
    <t>Hajdu, Eduardo/C-3863-2009; Díez, Beatriz/AAG-2244-2021</t>
  </si>
  <si>
    <t>Hajdu, Eduardo/0000-0002-8760-9403; Díez, Beatriz/0000-0002-9371-8083; De la Iglesia, Rodrigo/0000-0002-2000-8697</t>
  </si>
  <si>
    <t>CONICYT-FONDECYT [11121554]</t>
  </si>
  <si>
    <t>CONICYT-FONDECYT(Comision Nacional de Investigacion Cientifica y Tecnologica (CONICYT)CONICYT FONDECYT)</t>
  </si>
  <si>
    <t>This work has been funded by CONICYT-FONDECYT Initiation into Research Grant # 11121554. The funders had no role in study design, data collection and analysis, decision to publish, or preparation of the manuscript.</t>
  </si>
  <si>
    <t>e0138837</t>
  </si>
  <si>
    <t>10.1371/journal.pone.0138837</t>
  </si>
  <si>
    <t>CS6GF</t>
  </si>
  <si>
    <t>gold, Green Submitted, Green Published</t>
  </si>
  <si>
    <t>WOS:000362175700051</t>
  </si>
  <si>
    <t>Melbourne-Thomas, J; Meiners, KM; Mundy, CJ; Schallenberg, C; Tattersall, KL; Dieckmann, GS</t>
  </si>
  <si>
    <t>Melbourne-Thomas, Jessica; Meiners, Klaus M.; Mundy, C. J.; Schallenberg, Christina; Tattersall, Katherine L.; Dieckmann, Gerhard S.</t>
  </si>
  <si>
    <t>Algorithms to estimate Antarctic sea ice algal biomass from under-ice irradiance spectra at regional scales</t>
  </si>
  <si>
    <t>Sea ice algae; Chl a; Bio-optics; Normalised difference index; Weddell Sea; East Antarctica</t>
  </si>
  <si>
    <t>WINTER SNOW COVER; MCMURDO SOUND; VARIABILITY; ATTENUATION; RESOLUTION; OCEAN</t>
  </si>
  <si>
    <t>The presence of algal pigments in sea ice alters under-ice irradiance spectra, and the relationship between these variables can be used as a non-invasive means for estimating ice-associated algal biomass on ecologically relevant spatial and temporal scales. While the influence of snow cover and ice algal biomass on spectra transmitted through the snow-ice matrix has been examined for the Arctic, it has not been tested for Antarctic sea ice at regional scales. We used paired measurements of sea ice core chl a concentrations and hyperspectral-transmitted under-ice irradiances from 59 sites sampled off East Antarctica and in the Weddell Sea to develop algorithms for estimating algal biomass in Antarctic pack ice. We compared 4 approaches that have been used in various bio-optical studies for marine systems: normalised difference indices, ratios of spectral irradiance, scaled band area and empirical orthogonal functions. The percentage of variance explained by these models ranged from 38 to 79%, with the best-performing approach being normalised difference indices. Given the low concentrations of integrated chl a observed in our study compared with previous studies, our statistical models performed surprisingly well in explaining variability in these concentrations. Our findings provide a basis for future work to develop methods for non-invasive time series measurements and medium-to large-scale spatial mapping of Antarctic ice algal biomass using instrumented underwater vehicles.</t>
  </si>
  <si>
    <t>[Melbourne-Thomas, Jessica; Meiners, Klaus M.] Australian Antarctic Div, Dept Environm, Kingston, Tas 7050, Australia; [Melbourne-Thomas, Jessica; Meiners, Klaus M.] Univ Tasmania, Antarctic Climate &amp; Ecosyst Cooperat Res Ctr, Hobart, Tas 7001, Australia; [Mundy, C. J.] Univ Manitoba, Clayton H Riddell Fac Environm Earth &amp; Resources, Ctr Earth Observat Sci, Winnipeg, MB R3T 2N2, Canada; [Schallenberg, Christina] Univ Victoria, Sch Earth &amp; Ocean Sci, Victoria, BC V8P 5C2, Canada; [Tattersall, Katherine L.] Univ Tasmania, Integrated Marine Observing Syst, Hobart, Tas 7001, Australia; [Dieckmann, Gerhard S.] Helmholtz Ctr Polar &amp; Marine Res, Alfred Wegener Inst, D-27570 Bremerhaven, Germany</t>
  </si>
  <si>
    <t>Australian Antarctic Division; University of Tasmania; Antarctic Climate &amp; Ecosystems Cooperative Research Centre (ACE CRC); University of Manitoba; University of Victoria; University of Tasmania; Helmholtz Association; Alfred Wegener Institute, Helmholtz Centre for Polar &amp; Marine Research</t>
  </si>
  <si>
    <t>Melbourne-Thomas, J (corresponding author), Australian Antarctic Div, Dept Environm, 203 Channel Highway, Kingston, Tas 7050, Australia.</t>
  </si>
  <si>
    <t>jess.melbourne-thomas@aad.gov.au</t>
  </si>
  <si>
    <t>Melbourne-Thomas, Jess/N-2437-2019; Schallenberg, Christina/N-4187-2017; Dieckmann, Gerhard S/B-4307-2010</t>
  </si>
  <si>
    <t>Melbourne-Thomas, Jess/0000-0001-6585-876X; Schallenberg, Christina/0000-0002-3073-7500; Mundy, C.J./0000-0001-5945-8305; Tattersall, Katherine Lesley/0000-0001-7843-3074</t>
  </si>
  <si>
    <t>Australian government's Cooperative Research Centre Program through the Antarctic Climate and Ecosystems Cooperative Research Centre (ACE CRC); Australian government's Cooperative Research Centre Program through the Australian Antarctic Science Program [2767, 4073]</t>
  </si>
  <si>
    <t>Australian government's Cooperative Research Centre Program through the Antarctic Climate and Ecosystems Cooperative Research Centre (ACE CRC)(Australian GovernmentDepartment of Industry, Innovation and ScienceCooperative Research Centres (CRC) Programme); Australian government's Cooperative Research Centre Program through the Australian Antarctic Science Program(Australian GovernmentDepartment of Industry, Innovation and ScienceCooperative Research Centres (CRC) Programme)</t>
  </si>
  <si>
    <t>We thank the captains and crews of the RVs 'Polarstern' and 'Aurora Australis' for their continued support during the voyages and E. Allhusen for support of pigment measurements during the WWOS voyage. We also thank A. Constable, R. Trebilco and 3 anonymous reviewers for constructive comments that helped to strengthen this paper. This work was supported by the Australian government's Cooperative Research Centre Program through the Antarctic Climate and Ecosystems Cooperative Research Centre (ACE CRC) and through the Australian Antarctic Science Program (Projects 2767 and 4073).</t>
  </si>
  <si>
    <t>SEP 29</t>
  </si>
  <si>
    <t>10.3354/meps11396</t>
  </si>
  <si>
    <t>CU7OZ</t>
  </si>
  <si>
    <t>WOS:000363732500009</t>
  </si>
  <si>
    <t>Bylenga, CH; Cummings, VJ; Ryan, KG</t>
  </si>
  <si>
    <t>Bylenga, Christine H.; Cummings, Vonda J.; Ryan, Ken G.</t>
  </si>
  <si>
    <t>Fertilisation and larval development in an Antarctic bivalve, Laternula elliptica, under reduced pH and elevated temperatures</t>
  </si>
  <si>
    <t>Ocean acidification; Early life history; D-larvae; Invertebrate; Abnormal development; Climate change; CO2; Antarctica; Fertilisation</t>
  </si>
  <si>
    <t>Elevated temperatures associated with ocean warming and acidification can influence development and, ultimately, success of larval molluscs. The effect of projected oceanic changes on fertilisation and larval development in an Antarctic bivalve, Laternula elliptica, was investigated through successive larval stages at ambient temperature and pH conditions (-1.6 degrees C and pH 7.98) and conditions representative of projections through to 2100 (-0.5 degrees C to + 0.4 degrees C and pH 7.80 to pH 7.65). Where significant effects were detected, increased temperature had a consistently positive influence on larval development, regardless of pH level, while effects of reduced pH varied with larval stage and incubation temperature. Fertilisation was high and largely independent of stressors, with no loss of gamete viability. Mortality was unaffected at all development stages under experimental conditions. Elevated temperatures reduced occurrences of abnormalities in D-larvae and accelerated larval development through late veliger and D-larval stages, with D-larvae occurring 5 d sooner at 0.4 degrees C compared to ambient temperature. Reduced pH did not affect occurrences of abnormalities in larvae, but it slowed the development of calcifying stages. More work is required to investigate the effects of developmental delays of the magnitude seen here in order to better determine the ecological relevance of these changes on longer term larval and juvenile success.</t>
  </si>
  <si>
    <t>[Bylenga, Christine H.; Ryan, Ken G.] Victoria Univ Wellington, Sch Biol Sci, Wellington 6140, New Zealand; [Cummings, Vonda J.] Natl Inst Water &amp; Atmospher Res NIWA, Wellington 6021, New Zealand</t>
  </si>
  <si>
    <t>Victoria University Wellington; National Institute of Water &amp; Atmospheric Research (NIWA) - New Zealand</t>
  </si>
  <si>
    <t>Bylenga, CH (corresponding author), Victoria Univ Wellington, Sch Biol Sci, POB 600, Wellington 6140, New Zealand.</t>
  </si>
  <si>
    <t>christine.bylenga@vuw.ac.nz</t>
  </si>
  <si>
    <t>/AAL-3738-2021</t>
  </si>
  <si>
    <t>Cummings, Vonda/0000-0003-1076-3995; Ryan, Ken/0000-0001-7075-0112</t>
  </si>
  <si>
    <t>VUW Grant [100241]; Victoria Doctoral Scholarship Fund; Royal Society of New Zealand Marsden Fund [NIW1101]; NIWA</t>
  </si>
  <si>
    <t>VUW Grant; Victoria Doctoral Scholarship Fund; Royal Society of New Zealand Marsden Fund(Royal Society of New ZealandMarsden Fund (NZ)); NIWA</t>
  </si>
  <si>
    <t>We thank Rob Robbins and the USA dive team at McMurdo Station for L. elliptica collection and Antarctica New Zealand for their logistical support. We thank Neill Barr and Graeme Moss (NIWA) for their continual support during set-up and maintenance of the experiment, Kim Currie and Judith Murdoch (NIWA/University of Otago Research Centre for Oceanography) for water chemistry analysis, Stefanie Menashe and Sonja Hempel (Victoria University of Wellington, VUW) for their valuable assistance in the lab, and Dalice Sim and Lisa Woods (VUW School of Mathematics, Statistics and Operations Research) for her assistance and advice. This research was funded by a VUW Grant 100241, a Victoria Doctoral Scholarship Fund, the Royal Society of New Zealand Marsden Fund NIW1101, and NIWA. Three anonymous reviewers and the editor are thanked for their comments and suggestions, substantially improving the manuscript.</t>
  </si>
  <si>
    <t>10.3354/meps11436</t>
  </si>
  <si>
    <t>WOS:000363732500015</t>
  </si>
  <si>
    <t>Hummels, R; Brandt, P; Dengler, M; Fischer, J; Araujo, M; Veleda, D; Durgadoo, JV</t>
  </si>
  <si>
    <t>Hummels, Rebecca; Brandt, Peter; Dengler, Marcus; Fischer, Juergen; Araujo, Moacyr; Veleda, Doris; Durgadoo, Jonathan V.</t>
  </si>
  <si>
    <t>Interannual to decadal changes in the western boundary circulation in the Atlantic at 11°S</t>
  </si>
  <si>
    <t>western boundary circulation</t>
  </si>
  <si>
    <t>SOUTHERN-HEMISPHERE WESTERLIES; ANTARCTIC INTERMEDIATE WATER; AGULHAS LEAKAGE; LABRADOR SEA; VARIABILITY; OCEAN; SHALLOW</t>
  </si>
  <si>
    <t>The western boundary current system off Brazil is a key region for diagnosing variations of the Atlantic meridional overturning circulation (AMOC) and the southern subtropical cell. In July 2013 a mooring array was installed off the coast at 11 degrees S similar to an array installed between 2000 and 2004 at the same location. Here we present results from two research cruises and the first 10.5months of moored observations in comparison to the observations a decade ago. Average transports of the North Brazil Undercurrent and the Deep Western Boundary Current (DWBC) have not changed between the observational periods. DWBC eddies that are predicted to disappear with a weakening AMOC are still present. Upper layer changes in salinity and oxygen within the last decade are consistent with an increased Agulhas leakage, while at depths water mass changes are likely related to changes in the North Atlantic as well as tropical circulation changes.</t>
  </si>
  <si>
    <t>[Hummels, Rebecca; Brandt, Peter; Dengler, Marcus; Fischer, Juergen; Durgadoo, Jonathan V.] GEOMAR Helmholtz Ctr Ocean Res Kiel, Kiel, Germany; [Araujo, Moacyr; Veleda, Doris] Univ Fed Pernambuco, DOCEAN, Dept Oceanog, Recife, PE, Brazil</t>
  </si>
  <si>
    <t>Helmholtz Association; GEOMAR Helmholtz Center for Ocean Research Kiel; Universidade Federal de Pernambuco</t>
  </si>
  <si>
    <t>Hummels, R (corresponding author), GEOMAR Helmholtz Ctr Ocean Res Kiel, Kiel, Germany.</t>
  </si>
  <si>
    <t>rhummels@geomar.de</t>
  </si>
  <si>
    <t>Hummels, Rebecca/A-3631-2015; Dengler, Marcus/A-7327-2014; Veleda, Doris/I-1673-2012; Brandt, Peter/C-8254-2013; Araujo, Moacyr/B-1167-2013</t>
  </si>
  <si>
    <t>Hummels, Rebecca/0000-0002-3746-6213; Dengler, Marcus/0000-0001-5993-9088; Veleda, Doris/0000-0003-2103-5950; Brandt, Peter/0000-0002-9235-955X; Fischer, Jurgen/0000-0001-7678-6706; Durgadoo, Jonathan/0000-0001-6297-5178; Araujo, Moacyr/0000-0001-8462-6446</t>
  </si>
  <si>
    <t>Deutsche Bundesministerium fur Bildung und Forschung (BMBF) [03F0651B, 03G0835A]; Deutsche Forschungsgemeinschaft [FOR1740]; GEOMAR Helmholtz Centre for Ocean Research Kiel</t>
  </si>
  <si>
    <t>Deutsche Bundesministerium fur Bildung und Forschung (BMBF)(Federal Ministry of Education &amp; Research (BMBF)); Deutsche Forschungsgemeinschaft(German Research Foundation (DFG)); GEOMAR Helmholtz Centre for Ocean Research Kiel(Helmholtz Association)</t>
  </si>
  <si>
    <t>This study was funded by the Deutsche Bundesministerium fur Bildung und Forschung (BMBF) as part of the projects RACE (03F0651B) and SPACES (03G0835A) and through support of R/V Sonne cruises and by the Deutsche Forschungsgemeinschaft as part of the project FOR1740 and through cruises with R/V Meteor. The INALT01 model experiments were performed at the high-performance computing centers in Stuttgart (HLRS) and at the Christian-Albrechts-Universitat zu Kiel (NESH). The authors are grateful for continuing support from GEOMAR Helmholtz Centre for Ocean Research Kiel and thank the Brazilian Navy for making their hydrographic data available. Argo data were collected and made freely available by the International Argo Project and the national initiatives that contribute to it (http://www.argo.net). Data from the World Ocean Atlas Database were retrieved from https://www.nodc.noaa.gov/OC5/woa13/woa13data.html. We would like to thank C. Boning and A. Kohl for their helpful discussions and two anonymous reviewers for their comments that lead to significant improvements of the manuscript.</t>
  </si>
  <si>
    <t>SEP 28</t>
  </si>
  <si>
    <t>10.1002/2015GL065254</t>
  </si>
  <si>
    <t>CU3GN</t>
  </si>
  <si>
    <t>WOS:000363412400047</t>
  </si>
  <si>
    <t>Nycander, J; Hieronymus, M; Roquet, F</t>
  </si>
  <si>
    <t>Nycander, Jonas; Hieronymus, Magnus; Roquet, Fabien</t>
  </si>
  <si>
    <t>The nonlinear equation of state of sea water and the global water mass distribution</t>
  </si>
  <si>
    <t>water mass distribution; cabbeling; thermobaricity</t>
  </si>
  <si>
    <t>OCEAN CIRCULATION MODELS; SOUTHERN-OCEAN; OVERTURNING CIRCULATION; STRATIFICATION; BUOYANCY; SURFACE; DEEP</t>
  </si>
  <si>
    <t>The role of nonlinearities of the equation of state (EOS) of seawater for the distribution of water masses in the global ocean is examined through simulations with an ocean general circulation model with various manipulated versions of the EOS. A simulation with a strongly simplified EOS, which contains only two nonlinear terms, still produces a realistic water mass distribution, demonstrating that these two nonlinearities are indeed the essential ones. Further simulations show that each of these two nonlinear terms affects a specific aspect of the water mass distribution: the cabbeling term is crucial for the formation of Antarctic Intermediate Water and the thermobaric term for the layering of North Atlantic Deep Water and Antarctic Bottom Water.</t>
  </si>
  <si>
    <t>[Nycander, Jonas; Roquet, Fabien] Stockholm Univ, Dept Meteorol, Bolin Ctr Climate Res, S-10691 Stockholm, Sweden; [Hieronymus, Magnus] Helmholtz Zentrum Geesthacht, Inst Coastal Res, D-21502 Geesthacht, Germany</t>
  </si>
  <si>
    <t>Stockholm University; Helmholtz Association; Helmholtz-Zentrum Hereon</t>
  </si>
  <si>
    <t>Nycander, J (corresponding author), Stockholm Univ, Dept Meteorol, Bolin Ctr Climate Res, S-10691 Stockholm, Sweden.</t>
  </si>
  <si>
    <t>jonas@misu.su.se</t>
  </si>
  <si>
    <t>Roquet, Fabien/N-3221-2019; Nycander, Jonas/E-1334-2011; Roquet, Fabien/D-4848-2013</t>
  </si>
  <si>
    <t>Roquet, Fabien/0000-0003-1124-4564; Nycander, Jonas/0000-0002-4414-6859;</t>
  </si>
  <si>
    <t>Swedish Research Council [2008-4400]</t>
  </si>
  <si>
    <t>Swedish Research Council(Swedish Research Council)</t>
  </si>
  <si>
    <t>This work was supported by the Swedish Research Council, grant 2008-4400. We are grateful to Johan Nilsson and Kristofer Doos for their useful discussions. The NEMO ocean model is freely available at www.nemo-ocean.eu, and the ORCA1 configuration is available at archive.noc.ac.uk/nemo/. The modified source code files with different versions of the equation of state and the input files necessary to reproduce the experiments are available from the authors upon request (hieronymus.magnus@gmail.com).</t>
  </si>
  <si>
    <t>10.1002/2015GL065525</t>
  </si>
  <si>
    <t>WOS:000363412400059</t>
  </si>
  <si>
    <t>Laundal, KM; Haaland, SE; Lehtinen, N; Gjerloev, JW; Ostgaard, N; Tenfjord, P; Reistad, JP; Snekvik, K; Milan, SE; Ohtani, S; Anderson, BJ</t>
  </si>
  <si>
    <t>Laundal, K. M.; Haaland, S. E.; Lehtinen, N.; Gjerloev, J. W.; Ostgaard, N.; Tenfjord, P.; Reistad, J. P.; Snekvik, K.; Milan, S. E.; Ohtani, S.; Anderson, B. J.</t>
  </si>
  <si>
    <t>Birkeland current effects on high-latitude ground magnetic field perturbations</t>
  </si>
  <si>
    <t>ionospheric currents; ground magnetic field; seasonal differences; Birkeland currents; ionospheric convection</t>
  </si>
  <si>
    <t>MAGNETOMETER DATA; COORDINATE SYSTEM; ALIGNED CURRENTS; MAGNETOSPHERE; CLUSTER; DRIFT</t>
  </si>
  <si>
    <t>Magnetic perturbations on ground at high latitudes are directly associated only with the divergence-free component of the height-integrated horizontal ionospheric current, J(,df). Here we show how J(,df) can be expressed as the total horizontal current J minus its curl-free component, the latter being completely determined by the global Birkeland current pattern. Thus, in regions where J=0, the global Birkeland current distribution alone determines the local magnetic perturbation. We show with observations from ground and space that in the polar cap, the ground magnetic field perturbations tend to align with the Birkeland current contribution in darkness but not in sunlight. We also show that in sunlight, the magnetic perturbations are typically such that the equivalent overhead current is antiparallel to the convection, indicating that the Hall current system dominates. Thus, the ground magnetic field in the polar cap relates to different current systems in sunlight and in darkness.</t>
  </si>
  <si>
    <t>[Laundal, K. M.; Haaland, S. E.; Lehtinen, N.; Gjerloev, J. W.; Ostgaard, N.; Tenfjord, P.; Reistad, J. P.; Snekvik, K.; Milan, S. E.] Univ Bergen, Birkeland Ctr Space Sci, Bergen, Norway; [Laundal, K. M.] Teknova AS, Kristiansand, Norway; [Haaland, S. E.] Max Planck Inst Solar Syst Res, Gottingen, Germany; [Gjerloev, J. W.; Ohtani, S.; Anderson, B. J.] Johns Hopkins Univ, Appl Phys Lab, Laurel, MD USA; [Milan, S. E.] Univ Leicester, Dept Phys &amp; Astron, Leicester LE1 7RH, Leics, England</t>
  </si>
  <si>
    <t>University of Bergen; Max Planck Society; Johns Hopkins University; Johns Hopkins University Applied Physics Laboratory; University of Leicester</t>
  </si>
  <si>
    <t>Laundal, KM (corresponding author), Univ Bergen, Birkeland Ctr Space Sci, Bergen, Norway.</t>
  </si>
  <si>
    <t>karl.laundal@ift.uib.no</t>
  </si>
  <si>
    <t>Lehtinen, Nikolai/ABE-5988-2021; Gjerloev, Jesper/C-2116-2016; Laundal, Karl/GXZ-6326-2022; Reistad, Jone Peter/AAE-5439-2021; Lehtinen, Nikolai/T-4780-2017; Ohtani, Shinichi/E-3914-2016; Snekvik, Kristian/A-4475-2009</t>
  </si>
  <si>
    <t>Lehtinen, Nikolai/0000-0003-1739-0837; Laundal, Karl/0000-0001-5028-4943; Reistad, Jone Peter/0000-0003-3509-5479; Ohtani, Shinichi/0000-0002-9565-6840; Milan, Steve/0000-0001-5050-9604</t>
  </si>
  <si>
    <t>Research Council of Norway [216872/F50, 223252/F50]; Div Atmospheric &amp; Geospace Sciences; Directorate For Geosciences [1420184] Funding Source: National Science Foundation; Science and Technology Facilities Council [ST/K001000/1] Funding Source: researchfish; STFC [ST/K001000/1] Funding Source: UKRI</t>
  </si>
  <si>
    <t>Research Council of Norway(Research Council of Norway); Div Atmospheric &amp; Geospace Sciences; Directorate For Geosciences(National Science Foundation (NSF)NSF - Directorate for Geosciences (GEO)); Science and Technology Facilities Council(UK Research &amp; Innovation (UKRI)Science &amp; Technology Facilities Council (STFC)); STFC(UK Research &amp; Innovation (UKRI)Science &amp; Technology Facilities Council (STFC))</t>
  </si>
  <si>
    <t>For the ground magnetometer data we gratefully acknowledge the following: Intermagnet; USGS, Jeffrey J. Love; CARISMA,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that maintain the IMAGE magnetometer array, Eija Tanskanen; PENGUIN; AUTUMN, Martin Conners; DTU Space, Jurgen Matzka; South Pole and McMurdo Magnetometer, Louis J. Lanzarotti and Alan T. Weatherwax; ICESTAR; RAPIDMAG; PENGUIn; British Antarctic Survey; McMac, Peter Chi; BGS, Susan Macmillan; Pushkov Institute of Terrestrial Magnetism, Ionosphere and Radio Wave Propagation (IZMIRAN); GFZ, Jurgen Matzka; MFGI, B. Heilig; IGFPAS, J. Reda; University of L'Aquila, M. Vellante; SuperMAG, Jesper W. Gjerloev. We acknowledge use of NASA/GSFC's Space Physics Data Facility's OMNIWeb service and OMNI data. We thank the AMPERE team and the AMPERE Science Center for providing the Iridium-derived data products. The SuperMAG data used for this study are available at supermag.jhuapl.edu. The AMPERE data are available at ampere.jhuapl.edu. The IMF orientation data are available at omniweb.gsfc.nasa.gov. The Cluster EDI data are available at www.cosmos.esa.int/web/csa. This study was supported by the Research Council of Norway under contracts 216872/F50 and 223252/F50 (CoE).</t>
  </si>
  <si>
    <t>10.1002/2015GL065776</t>
  </si>
  <si>
    <t>WOS:000363412400002</t>
  </si>
  <si>
    <t>Munro, DR; Lovenduski, NS; Takahashi, T; Stephens, BB; Newberger, T; Sweeney, C</t>
  </si>
  <si>
    <t>Munro, David R.; Lovenduski, Nicole S.; Takahashi, Taro; Stephens, Britton B.; Newberger, Timothy; Sweeney, Colm</t>
  </si>
  <si>
    <t>Recent evidence for a strengthening CO2 sink in the Southern Ocean from carbonate system measurements in the Drake Passage (2002-2015)</t>
  </si>
  <si>
    <t>carbon cycling; Southern Ocean</t>
  </si>
  <si>
    <t>DISSOLVED INORGANIC CARBON; ANTHROPOGENIC CO2; SURFACE OCEAN; PCO(2); ACIDIFICATION; VARIABILITY; TRENDS; ALKALINITY; CHEMISTRY; NUTRIENTS</t>
  </si>
  <si>
    <t>We present a 13year (2002-2015) semimonthly time series of the partial pressure of CO2 in surface water (pCO(2surf)) and other carbonate system parameters from the Drake Passage. This record shows a clear increase in the magnitude of the sea-air pCO(2) gradient, indicating strengthening of the CO2 sink in agreement with recent large-scale analyses of the world oceans. The rate of increase in pCO(2surf) north of the Antarctic Polar Front (APF) is similar to the atmospheric pCO(2) (pCO(2atm)) trend, whereas the pCO(2surf) increase south of the APF is slower than the pCO(2atm) trend. The high-frequency surface observations indicate that an absence of a winter increase in total CO2 (TCO2) and cooling summer sea surface temperatures are largely responsible for increasing CO2 uptake south of the APF. Muted winter trends in surface TCO2 also provide temporary stability to the carbonate system that is already close to undersaturation with respect to aragonite.</t>
  </si>
  <si>
    <t>[Munro, David R.; Lovenduski, Nicole S.] Univ Colorado, Dept Atmospher &amp; Ocean Sci, Boulder, CO 80309 USA; [Munro, David R.; Lovenduski, Nicole S.] Univ Colorado, Inst Arctic &amp; Alpine Res, Boulder, CO 80309 USA; [Takahashi, Taro] Columbia Univ, Lamont Doherty Earth Observ, Palisades, NY USA; [Stephens, Britton B.] Natl Ctr Atmospher Res, Boulder, CO 80307 USA; [Newberger, Timothy; Sweeney, Colm] Univ Colorado, Cooperat Inst Res Environm Sci, Boulder, CO 80309 USA; [Newberger, Timothy; Sweeney, Colm] NOAA Earth Syst Res Lab, Boulder, CO USA</t>
  </si>
  <si>
    <t>University of Colorado System; University of Colorado Boulder; University of Colorado System; University of Colorado Boulder; Columbia University; National Center Atmospheric Research (NCAR) - USA; University of Colorado System; University of Colorado Boulder; National Oceanic Atmospheric Admin (NOAA) - USA</t>
  </si>
  <si>
    <t>Sweeney, C (corresponding author), Univ Colorado, Cooperat Inst Res Environm Sci, Boulder, CO 80309 USA.</t>
  </si>
  <si>
    <t>colm.sweeney@noaa.gov</t>
  </si>
  <si>
    <t>/AAL-3738-2021; Munro, David/ABA-2074-2020; Sweeney, Colm/AAE-9291-2019; Newberger, Timothy/AAR-7103-2020; Stephens, Britton B/B-7962-2008; Lovenduski, Nicole/V-4014-2019</t>
  </si>
  <si>
    <t>Stephens, Britton B/0000-0002-1966-6182; Lovenduski, Nicole/0000-0001-5893-1009; Sweeney, Colm/0000-0002-4517-0797; MUNRO, DAVID/0000-0002-1373-7402</t>
  </si>
  <si>
    <t>NSF [PLR-1341647, AOAS-0944761, AOAS-066975, OCE-1155240]; NOAA Climate Program Office [NA12OAR4310058]; NOAA [NA10OAR4320143]; National Science Foundation; Directorate For Geosciences; Division Of Ocean Sciences [1155240] Funding Source: National Science Foundation; Directorate For Geosciences; Office of Polar Programs (OPP) [1341425] Funding Source: National Science Foundation; Office of Polar Programs (OPP); Directorate For Geosciences [1341647] Funding Source: National Science Foundation</t>
  </si>
  <si>
    <t>NSF(National Science Foundation (NSF)); NOAA Climate Program Office(National Oceanic Atmospheric Admin (NOAA) - USA); NOAA(National Oceanic Atmospheric Admin (NOAA) - USA); National Science Foundation(National Science Foundation (NSF)); Directorate For Geosciences; Division Of Ocean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</si>
  <si>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research was supported by NSF (PLR-1341647, AOAS-0944761, AOAS-066975, and OCE-1155240) and the NOAA Climate Program Office (NA12OAR4310058). T.T. was supported by NOAA grant NA10OAR4320143. The National Center for Atmospheric Research is sponsored by the National Science Foundation. All TCO2 measurements were made by John G. Goddard of LDEO. The authors are especially grateful for the efforts of the marine and science support teams of the ARSV Laurence M. Gould particularly Kevin Pedigo, Bruce Felix, and Andy Nunn. Underway and discrete measurements presented in this manuscript are archived at CDIAC (cdiac.ornl.gov/ftp/oceans/VOS_Gould_Lines/). Discrete observations from the Drake Passage Time-series are also archived at http://www.ldeo.columbia.edu/res/pi/CO2/carbondioxide/pages/global_ph.html. Contact david.munro@colorado.edu for data from 2015.</t>
  </si>
  <si>
    <t>10.1002/2015GL065194</t>
  </si>
  <si>
    <t>WOS:000363412400048</t>
  </si>
  <si>
    <t>Bossert, K; Fritts, DC; Pautet, PD; Williams, BP; Taylor, MJ; Kaifler, B; Dörnbrack, A; Reid, IM; Murphy, DJ; Spargo, AJ; MacKinnon, AD</t>
  </si>
  <si>
    <t>Bossert, Katrina; Fritts, David C.; Pautet, Pierre-Dominique; Williams, Bifford P.; Taylor, Michael J.; Kaifler, Bernd; Doernbrack, Andreas; Reid, Iain M.; Murphy, Damian J.; Spargo, Andrew J.; MacKinnon, Andrew D.</t>
  </si>
  <si>
    <t>Momentum flux estimates accompanying multiscale gravity waves over Mount Cook, New Zealand, on 13 July 2014 during the DEEPWAVE campaign</t>
  </si>
  <si>
    <t>multiscale gravity waves; mountain waves; momentum flux; mesospheric dynamics</t>
  </si>
  <si>
    <t>MESOSPHERIC TEMPERATURE MAPPER; NA LIDAR; LOWER THERMOSPHERE; PLANETARY-WAVES; METEOR RADAR; OH AIRGLOW; MIDDLE ATMOSPHERE; SODIUM LIDAR; MU RADAR; BREAKING</t>
  </si>
  <si>
    <t>Observations performed with a Rayleigh lidar and an Advanced Mesosphere Temperature Mapper aboard the National Science Foundation/National Center for Atmospheric Research Gulfstream V research aircraft on 13 July 2014 during the Deep Propagating Gravity Wave Experiment (DEEPWAVE) measurement program revealed a large-amplitude, multiscale gravity wave (GW) environment extending from similar to 20 to 90km on flight tracks over Mount Cook, New Zealand. Data from four successive flight tracks are employed here to assess the characteristics and variability of the larger- and smaller-scale GWs, including their spatial scales, amplitudes, phase speeds, and momentum fluxes. On each flight, a large-scale mountain wave (MW) having a horizontal wavelength similar to 200-300km was observed. Smaller-scale GWs over the island appeared to correlate within the warmer phase of this large-scale MW. This analysis reveals that momentum fluxes accompanying small-scale MWs and propagating GWs significantly exceed those of the large-scale MW and the mean values typical for these altitudes, with maxima for the various small-scale events in the range similar to 20-105m(2)s(-2).</t>
  </si>
  <si>
    <t>[Bossert, Katrina; Fritts, David C.; Williams, Bifford P.] GATS Inc, Boulder, CO 80301 USA; [Bossert, Katrina] Univ Colorado, Aerosp Engn Sci, Boulder, CO 80309 USA; [Pautet, Pierre-Dominique; Taylor, Michael J.] Utah State Univ, Ctr Atmospher &amp; Space Sci, Logan, UT 84322 USA; [Kaifler, Bernd; Doernbrack, Andreas] German Aerosp Ctr, Inst Atmospher Phys, Oberpfaffenhofen, Germany; [Reid, Iain M.] Univ Adelaide, Sch Phys Sci, Adelaide, SA, Australia; [Reid, Iain M.; Spargo, Andrew J.; MacKinnon, Andrew D.] ATRAD Pty Ltd, Thebarton, SA, Australia; [Murphy, Damian J.] Australian Antarctic Div, Dept Environm, Kingston, Tas, Australia</t>
  </si>
  <si>
    <t>University of Colorado System; University of Colorado Boulder; Utah System of Higher Education; Utah State University; Helmholtz Association; German Aerospace Centre (DLR); University of Adelaide; ATRAD Pty Ltd.; Australian Antarctic Division</t>
  </si>
  <si>
    <t>Bossert, K (corresponding author), GATS Inc, Boulder, CO 80301 USA.</t>
  </si>
  <si>
    <t>Katrina.Bossert@gmail.com</t>
  </si>
  <si>
    <t>Pautet, Pierre-Dominique/HRC-1681-2023; Kaifler, Bernd/AAK-7237-2021; Reid, Iain/B-5681-2012</t>
  </si>
  <si>
    <t>Kaifler, Bernd/0000-0002-5891-242X; Reid, Iain/0000-0003-2340-9047; Murphy, Damian/0000-0003-1738-5560; Bossert, Katrina/0000-0002-7076-0449; Pautet, Pierre-Dominique/0000-0001-9452-7337</t>
  </si>
  <si>
    <t>NSF [AGS-1261619, AGS-1338646, AGS-1061892, AGS-1338666]; Australian Antarctic Science project [4025]; Directorate For Geosciences; Div Atmospheric &amp; Geospace Sciences [1338646] Funding Source: National Science Foundation</t>
  </si>
  <si>
    <t>NSF(National Science Foundation (NSF)); Australian Antarctic Science project; Directorate For Geosciences; Div Atmospheric &amp; Geospace Sciences(National Science Foundation (NSF)NSF - Directorate for Geosciences (GEO))</t>
  </si>
  <si>
    <t>Research reported here was supported by NSF under grants AGS-1261619 and AGS-1338646 at GATS and AGS-1061892 and AGS-1338666 at Utah State University. Installation and operation of the Kingston radar was supported through Australian Antarctic Science project 4025. We acknowledge the SABER operations and data analysis staff, especially Greg Paxton and Tom Marshall, at GATS Inc., for their help in obtaining and understanding the SABER temperature data. We also thank the highly capable team at NCAR/EOL who made these airborne measurements aboard the GV possible. Data for the DEEPWAVE mission are stored and maintained by NCAR and can be accessed at https://www.eol.ucar.edu/field_projects/deepwave.</t>
  </si>
  <si>
    <t>SEP 27</t>
  </si>
  <si>
    <t>10.1002/2015JD023197</t>
  </si>
  <si>
    <t>CU3LE</t>
  </si>
  <si>
    <t>WOS:000363425900017</t>
  </si>
  <si>
    <t>Tomasi, C; Petkov, BH</t>
  </si>
  <si>
    <t>Tomasi, Claudio; Petkov, Boyan H.</t>
  </si>
  <si>
    <t>Spectral calculations of Rayleigh-scattering optical depth at Arctic and Antarctic sites using a two-term algorithm</t>
  </si>
  <si>
    <t>Rayleigh-scattering optical depth; Arctic atmosphere; Antarctic atmosphere</t>
  </si>
  <si>
    <t>AEROSOL; HAZE; AIR</t>
  </si>
  <si>
    <t>A two-term algorithm is defined to evaluate the Rayleigh-scattering optical depth (ROD) in the Arctic and Antarctic atmospheres at ultraviolet, visible, and near-infrared wavelengths. The first term accounts for the tropospheric contribution up to 8km altitude and the second for the upper troposphere and low stratosphere (UTLS) region and the upper atmosphere up to 120km altitude. In these calculations, the vertical profiles of pressure p(z) and temperature T(z) are used, as derived from the multiyear sets of radiosounding measurements performed from 2000 to 2006 at four Arctic stations (Cambridge Bay, Resolute Bay, Danmarkshavn, and Alert) and four Antarctic stations (Neumayer, McMurdo, Dome C, and South Pole). By analyzing the radiosonde data sets collected at the eight sites, the daily average values of tropospheric ROD are calculated and their seasonal variations versus the mean tropospheric temperature and surface level temperature are determined in order to evaluate the temperature correction functions for tropospheric ROD. Similarly, the vertical profiles of p(z) and T(z) defined in the stratosphere and upper atmosphere are examined in order to (i) calculate the stratospheric ROD contribution, (ii) analyze its annual temporal variations, (iii) calculate the average temperature in the UTLS region, and (iv) determine the most suitable temperature anomaly corrections at the eight chosen polar sites. The spectral evaluations of the tropospheric and stratospheric ROD terms are given at 21 selected wavelengths from 0.30 to 4.00 mu m for each polar site. The present two-term algorithm incorporates the tropospheric and stratospheric ROD terms, along with the correction factors derived for the actual pressure and temperature conditions, and can be used to calculate accurate overall ROD values at the given Arctic and Antarctic sites for the average annual thermal conditions of the atmosphere and the average seasonal variations characterizing the temperature conditions of the UTLS region. The ROD estimates obtained using the present method constitutes a nontrivial improvement over estimates made with the traditional method.</t>
  </si>
  <si>
    <t>[Tomasi, Claudio; Petkov, Boyan H.] CNR, Inst Atmospher Sci &amp; Climate, I-40126 Bologna, Italy</t>
  </si>
  <si>
    <t>Consiglio Nazionale delle Ricerche (CNR); Istituto di Scienze dell'Atmosfera e del Clima (ISAC-CNR)</t>
  </si>
  <si>
    <t>Tomasi, C (corresponding author), CNR, Inst Atmospher Sci &amp; Climate, I-40126 Bologna, Italy.</t>
  </si>
  <si>
    <t>c.tomasi@isac.cnr.it</t>
  </si>
  <si>
    <t>Petkov, Boyan/0000-0002-8328-340X</t>
  </si>
  <si>
    <t>Programma Nazionale di Ricerche in Antartide (PNRA) [2006/6.01]</t>
  </si>
  <si>
    <t>This study was supported by the Programma Nazionale di Ricerche in Antartide (PNRA) and developed as a part of Subproject 2006/6.01: POLAR-AOD: a network to characterize the means, variability and trends of the climate-forcing properties of aerosols in polar regions. The RS data sets recorded at the Arctic stations of Cambridge Bay, Resolute Bay, Danmarkshavn, and Alert and at the Antarctic stations of McMurdo and South Pole for the analyses made in this study were downloaded from the (http://weather.uwyo.edu/upperair/sounding.html) website of the University of Wyoming. The RS data recorded at Neumayer were provided by A. Herber (AWI, Bremerhaven, Germany), and those recorded at Dome C were provided by the Meteo-Climatological Observatory of the Italian Antarctic Project (ENEA, C. R. Casaccia, Rome, Italy) (http://www.climantartide.it).</t>
  </si>
  <si>
    <t>10.1002/2015JD023575</t>
  </si>
  <si>
    <t>WOS:000363425900028</t>
  </si>
  <si>
    <t>Neff, PD; Bertler, NAN</t>
  </si>
  <si>
    <t>Neff, Peter D.; Bertler, Nancy A. N.</t>
  </si>
  <si>
    <t>Trajectory modeling of modern dust transport to the Southern Ocean and Antarctica</t>
  </si>
  <si>
    <t>dust; atmospheric transport; Southern Ocean; Antarctic; ice core</t>
  </si>
  <si>
    <t>LAST GLACIAL MAXIMUM; LONG-RANGE TRANSPORT; SEA-ICE EXTENT; EAST ANTARCTICA; AEOLIAN DUST; DOME-C; WEST ANTARCTICA; ATLANTIC SECTOR; VICTORIA LAND; MINERAL DUST</t>
  </si>
  <si>
    <t>Aerosol deposition over the Southern Ocean and Antarctica has the potential to alter marine productivity and thus ocean carbon uptake while also impacting radiative balance due to scattering and absorption from atmospheric particulates. Quantification of modern emission, transport, and deposition of terrestrial dust and other airborne material from Southern Hemisphere sources is challenging due to low emission levels and poor detection from remote sensing platforms. Here forward trajectory modeling is used to explore atmospheric transport, independent of deposition processes, from 1979 to 2013. Trajectories are initiated from known arid dust source areas in South America (Patagonia), Australia, and southern Africa, with detailed consideration of New Zealand as a potential source. Results suggest that Patagonian and New Zealand dust and other aerosol emissions share strong atmospheric transport during all seasons, allowing even potentially small New Zealand emissions to contribute significantly to Southern Ocean and Antarctic aerosol loading. We find that atmospheric transport controlling distribution of dust and other aerosols shows distinct spatial variability. New Zealand and Patagonia rapidly contribute a high proportion of trajectories to West Antarctica, while in interior East Antarctica, source contributions are limited and highly mixed. The sensitivity of existing deep ice core sites to modern atmospheric transport is discussed. Finally, interannual variability of poleward trajectory extension over the Pacific and Atlantic sectors of the Southern Ocean highlights the association of both tropical Pacific sea-surface temperature and high-latitude wind variability (e.g., the Southern Annular Mode) with transport of dust and other aerosols to the Southern Ocean and Antarctica.</t>
  </si>
  <si>
    <t>[Neff, Peter D.; Bertler, Nancy A. N.] Victoria Univ Wellington, Antarctic Res Ctr, Wellington, New Zealand; [Neff, Peter D.; Bertler, Nancy A. N.] GNS Sci, Natl Isotope Ctr, Lower Hutt, New Zealand; [Neff, Peter D.] Univ Rochester, Dept Earth &amp; Environm Sci, Rochester, NY USA</t>
  </si>
  <si>
    <t>Victoria University Wellington; GNS Science - New Zealand; University of Rochester</t>
  </si>
  <si>
    <t>Neff, PD (corresponding author), Victoria Univ Wellington, Antarctic Res Ctr, Wellington, New Zealand.</t>
  </si>
  <si>
    <t>pneff@ur.rochester.edu</t>
  </si>
  <si>
    <t>Neff, Peter David/ABB-7688-2021; Bertler, Nancy A N/F-3967-2011</t>
  </si>
  <si>
    <t>Neff, Peter/0000-0003-1697-0936; Bertler, Nancy/0000-0001-6028-4891</t>
  </si>
  <si>
    <t>New Zealand Ministry of Business, Innovation, and Employment Grants through Victoria University of Wellington [RDF-VUW-1103]; GNS Science [540GCT32]</t>
  </si>
  <si>
    <t>New Zealand Ministry of Business, Innovation, and Employment Grants through Victoria University of Wellington(New Zealand Ministry of Business, Innovation and Employment (MBIE)); GNS Science</t>
  </si>
  <si>
    <t>PSA trajectory data sets are available from the corresponding author upon request. The authors appreciate free access to software and data: HySPLIT software was retrieved from the NOAA Air Resources Laboratory (http://ready.arl.noaa.gov/HYSPLIT.php), NCEP1 data were downloaded from the NOAA Earth System Research Laboratory-Physical Sciences Division (http://www.esrl.noaa.gov/psd/data/gridded/data.ncep.reanalysis.html), and ERAi data from the ECMWF (http://apps.ecmwf.int/data-sets/data/interim_full_daily/). We thank E. Steig and P. Vallelonga for fruitful discussion of the manuscript. We are grateful to three anonymous reviewers who greatly improved the text with their suggestions. This work is a contribution to the Roosevelt Island Climate Evolution (RICE) Programme, funded by national contributions from New Zealand, Australia, Denmark, Germany, Italy, the People's Republic of China, Sweden, United Kingdom, and the United States of America. P.D.N. and N.A.N.B. were funded by the New Zealand Ministry of Business, Innovation, and Employment Grants through Victoria University of Wellington (RDF-VUW-1103) and GNS Science (540GCT32).</t>
  </si>
  <si>
    <t>10.1002/2015JD023304</t>
  </si>
  <si>
    <t>WOS:000363425900016</t>
  </si>
  <si>
    <t>Da Boit, M; Mastalurova, I; Brazaite, G; McGovern, N; Thompson, K; Gray, SR</t>
  </si>
  <si>
    <t>Da Boit, Mariasole; Mastalurova, Ina; Brazaite, Goda; McGovern, Niall; Thompson, Keith; Gray, Stuart Robert</t>
  </si>
  <si>
    <t>The Effect of Krill Oil Supplementation on Exercise Performance and Markers of Immune Function</t>
  </si>
  <si>
    <t>POLYUNSATURATED FATTY-ACIDS; KILLER-CELL-ACTIVITY; FISH-OIL; EICOSAPENTAENOIC ACID; OXIDATIVE STRESS; INFLAMMATORY PROCESSES; DOCOSAHEXAENOIC ACID; OXYGEN-CONSUMPTION; STRENUOUS EXERCISE; OMEGA-3 INDEX</t>
  </si>
  <si>
    <t>Background Krill oil is a rich source of the long-chain n-3 polyunsaturated fatty acids (PUFAs), eicosapentaenoic acid (EPA) and docosahexaenoic acid (DHA), which may alter immune function after exercise. The aim of the study was to determine the effects of krill oil supplementation on post exercise immune function and performance. Methods Nineteen males and 18 females (age: 25.8 +/- 5.3 years; mean +/- S.D.) were randomly assigned to 2 g/day of krill oil (n = 18) or placebo (n = 19) supplementation for 6 weeks. A maximal incremental exercise test and cycling time trial (time to complete set amount of work) were performed pre-supplementation with the time trial repeated post-supplementation. Blood samples collected pre-and post-supplementation at rest, and immediately, 1 and 3h post-exercise. Plasma IL-6 and thiobarbituric acid reactive substances (TBARS) concentrations and, erythrocyte fatty acid composition were measured. Natural killer (NK) cell cytotoxic activity and peripheral blood mononuclear cell (PBMC) IL-2, IL-4, IL-10, IL-17 and IFN. production were also measured. Results No effects of gender were noted for any variable. PBMC IL-2 and NK cell cytotoxic activity were greater (P &lt; 0.05) 3h post exercise in the krill oil compared to the control group. Plasma IL-6 and TBARS, PBMC IL-4, IL-10, IL-17 and IFN. production, along with performance and physiological measures during exercise, were not different between groups. Conclusion Six weeks of krill oil supplementation can increase PBMC IL-2 production and NK cell cytotoxic activity 3h post-exercise in both healthy young males and females. Krill oil does not modify exercise performance.</t>
  </si>
  <si>
    <t>[Da Boit, Mariasole; Mastalurova, Ina; Brazaite, Goda; McGovern, Niall; Thompson, Keith; Gray, Stuart Robert] Univ Aberdeen, Inst Med Sci, Aberdeen, Scotland</t>
  </si>
  <si>
    <t>University of Aberdeen</t>
  </si>
  <si>
    <t>Gray, SR (corresponding author), Univ Glasgow, Inst Cardiovasc &amp; Med Sci, Glasgow, Lanark, Scotland.</t>
  </si>
  <si>
    <t>Stuart.gray@glasgow.ac.uk</t>
  </si>
  <si>
    <t>; Gray, Stuart/L-2489-2017</t>
  </si>
  <si>
    <t>Thompson, Keith/0000-0002-9167-5147; Gray, Stuart/0000-0001-8969-9636</t>
  </si>
  <si>
    <t>Aker Biomarine Antarctic AS; BBSRC [BB/J015911/1] Funding Source: UKRI; Biotechnology and Biological Sciences Research Council [BB/J015911/1] Funding Source: researchfish</t>
  </si>
  <si>
    <t>Aker Biomarine Antarctic AS; BBSRC(UK Research &amp; Innovation (UKRI)Biotechnology and Biological Sciences Research Council (BBSRC)); Biotechnology and Biological Sciences Research Council(UK Research &amp; Innovation (UKRI)Biotechnology and Biological Sciences Research Council (BBSRC))</t>
  </si>
  <si>
    <t>This work was supported with funding from Aker Biomarine Antarctic AS. The funders had no role in study design, data collection and analysis, decision to publish, or preparation of the manuscript.</t>
  </si>
  <si>
    <t>SEP 25</t>
  </si>
  <si>
    <t>e0139174</t>
  </si>
  <si>
    <t>10.1371/journal.pone.0139174</t>
  </si>
  <si>
    <t>CS1CR</t>
  </si>
  <si>
    <t>Green Published, gold, Green Accepted, Green Submitted</t>
  </si>
  <si>
    <t>WOS:000361800700184</t>
  </si>
  <si>
    <t>Chen, TY; Robinson, LF; Burke, A; Southon, J; Spooner, P; Morris, PJ; Ng, HC</t>
  </si>
  <si>
    <t>Chen, Tianyu; Robinson, Laura F.; Burke, Andrea; Southon, John; Spooner, Peter; Morris, Paul J.; Ng, Hong Chin</t>
  </si>
  <si>
    <t>Synchronous centennial abrupt events in the ocean and atmosphere during the last deglaciation</t>
  </si>
  <si>
    <t>HIGH-RESOLUTION RECORD; NORTH-ATLANTIC; OVERTURNING CIRCULATION; TROPICAL ATLANTIC; SOUTHERN-OCEAN; HULU CAVE; DEEP-SEA; CARBON; CO2; CLIMATE</t>
  </si>
  <si>
    <t>Antarctic ice-core data reveal that the atmosphere experienced abrupt centennial increases in CO2 concentration during the last deglaciation (similar to 18 thousand to 11 thousand years ago). Establishing the role of ocean circulation in these changes requires high-resolution, accurately dated marine records. Here, we report radiocarbon data from uranium-thorium-dated deep-sea corals in the Equatorial Atlantic and Drake Passage over the past 25,000 years. Two major deglacial radiocarbon shifts occurred in phase with centennial atmospheric CO2 rises at 14.8 thousand and 11.7 thousand years ago. We interpret these radiocarbon-enriched signals to represent two short-lived (less than 500 years) overshoot events, with Atlantic meridional overturning stronger than that of the modern era. These results provide compelling evidence for a close coupling of ocean circulation and centennial climate events during the last deglaciation.</t>
  </si>
  <si>
    <t>[Chen, Tianyu; Robinson, Laura F.; Spooner, Peter; Morris, Paul J.; Ng, Hong Chin] Univ Bristol, Bristol Isotope Grp, Sch Earth Sci, Bristol, Avon, England; [Burke, Andrea] Univ St Andrews, Dept Earth &amp; Environm Sci, St Andrews, Fife, Scotland; [Southon, John] Univ Calif Irvine, Sch Phys Sci, Irvine, CA USA</t>
  </si>
  <si>
    <t>University of Bristol; University of St Andrews; University of California System; University of California Irvine</t>
  </si>
  <si>
    <t>Chen, TY (corresponding author), IAEA, Dept Nucl Sci &amp; Applicat, Monaco, Monaco.</t>
  </si>
  <si>
    <t>tc14502@bristol.ac.uk</t>
  </si>
  <si>
    <t>Chen, Tianyu/JDD-7264-2023</t>
  </si>
  <si>
    <t>Robinson, Laura/0000-0001-6811-0140; Ng, Hong Chin/0000-0002-2707-8372; Burke, Andrea/0000-0002-3754-1498</t>
  </si>
  <si>
    <t>European Research Council; Philip Leverhulme Trust; U.S. National Science Foundation [0636787, 0944474, 0902957, 1234664]; Marie Curie Reintegration Grant; NERC [NE/M004619/1] Funding Source: UKRI; Natural Environment Research Council [NE/M004619/1] Funding Source: researchfish; Directorate For Geosciences; Division Of Ocean Sciences [1234664] Funding Source: National Science Foundation; Division Of Polar Programs; Directorate For Geosciences [0944474] Funding Source: National Science Foundation; Division Of Polar Programs; Directorate For Geosciences [0636787, 0902957] Funding Source: National Science Foundation</t>
  </si>
  <si>
    <t>European Research Council(European Research Council (ERC)); Philip Leverhulme Trust(Leverhulme Trust); U.S. National Science Foundation(National Science Foundation (NSF)); Marie Curie Reintegration Grant(European Union (EU));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 Division Of Polar Programs; Directorate For Geosciences(National Science Foundation (NSF)NSF - Directorate for Geosciences (GEO)); Division Of Polar Programs; Directorate For Geosciences(National Science Foundation (NSF)NSF - Directorate for Geosciences (GEO))</t>
  </si>
  <si>
    <t>This study was funded by the European Research Council, the Philip Leverhulme Trust, the U.S. National Science Foundation (grants 0636787, 0944474, 0902957, and 1234664), and a Marie Curie Reintegration Grant. All the data reported in this paper are available in the supplementary materials. We acknowledge the crew and science parties of RRS James Cook cruise JC094 and RV Nathaniel B. Palmer cruise NBP1103 who made this study possible. We also thank J. F. McManus and K. R. Hendry for the helpful comments during the preparation of this manuscript and C. D. Coath, C. A. Taylor, S. Lucas, and C. Bertrand for help with sample preparation and analyses. Comments from two anonymous reviewers helped to improve the manuscript, inspiring us to look at the deglacial ventilation and circulation events from a more broadened view.</t>
  </si>
  <si>
    <t>10.1126/science.aac6159</t>
  </si>
  <si>
    <t>CR9WA</t>
  </si>
  <si>
    <t>WOS:000361707000047</t>
  </si>
  <si>
    <t>Göcke, C; Janussen, D; Reiswig, HM; Jarrell, SC; Dayton, PK</t>
  </si>
  <si>
    <t>Goecke, Christian; Janussen, Dorte; Reiswig, Henry M.; Jarrell, Shannon C.; Dayton, Paul K.</t>
  </si>
  <si>
    <t>Rossella podagrosa Kirkpatrick, 1907-A valid species after all</t>
  </si>
  <si>
    <t>Porifera; Hexactinellida; Rossellidae; Synonymy; Antarctica; Ross Sea</t>
  </si>
  <si>
    <t>WEDDELL SEA; HEXACTINELLID SPONGES; ANTARCTIC BENTHOS; GENUS</t>
  </si>
  <si>
    <t>In this study we provide evidence that the species Rossella podagrosa Kirkpatrick, 1907, commonly considered a synonym of Rossella racovitzae Topsent, 1901, is truly a valid species. We show that it can be clearly distinguished from other species especially when taking into consideration the in situ habitus of the sponge in combination with the spicules. Furthermore we demonstrate the weaknesses in the so far published synonymy concept for the very complicated genus Rossella Carter, 1872. From this we conclude that the best strategy for further analysis of Rossella and establishment of acceptable synonymies will need to be based on detailed examination of the spicules, the holotypes, and in situ habitus. When possible it will be useful to analyze specimens from all Antarctic oceanographic regions.</t>
  </si>
  <si>
    <t>[Goecke, Christian; Janussen, Dorte] Forschungsinstitut, D-60325 Frankfurt, Germany; [Goecke, Christian; Janussen, Dorte] Nat Museum Senckenberg, D-60325 Frankfurt, Germany; [Reiswig, Henry M.] Univ Victoria, Dept Biol, Victoria, BC V8W 3N5, Canada; [Reiswig, Henry M.] Royal British Columbia Museum, Victoria, BC V8W 3N5, Canada; [Jarrell, Shannon C.; Dayton, Paul K.] Univ Calif San Diego, Scripps Inst Oceanog, La Jolla, CA 92093 USA</t>
  </si>
  <si>
    <t>Senckenberg Gesellschaft fur Naturforschung (SGN); University of Victoria; University of California System; University of California San Diego; Scripps Institution of Oceanography</t>
  </si>
  <si>
    <t>Göcke, C (corresponding author), Forschungsinstitut, Senckenberganlage 25, D-60325 Frankfurt, Germany.</t>
  </si>
  <si>
    <t>christian.goecke@senckenberg.de</t>
  </si>
  <si>
    <t>Deutsche Forschungsgemeinschaft (DFG) [DFG SPP 1158, JA-1063/14-3, JA-1063/17-1]; National Science Foundation [PLR-1355533]</t>
  </si>
  <si>
    <t>Deutsche Forschungsgemeinschaft (DFG)(German Research Foundation (DFG)); National Science Foundation(National Science Foundation (NSF))</t>
  </si>
  <si>
    <t>We are especially grateful to Stacy Kim for making several difficult dives to collect material for us. Additionally we want to give thanks to Emma Sherlock (British Museum of Natural History) for lending us the type material. Further thanks are due to Niklas Doring (Senckenberg Frankfurt) for spicule preparations. We want to thank Konstantin Tabachnick as well as Claudio Richter and Luisa Federwisch (AWI Bremerhaven) for productive discussion on Rossella. Deutsche Forschungsgemeinschaft (DFG) is acknowledged for financial support to our Antarctic Porifera research projects (DFG SPP 1158 Antarcic research: JA-1063/14-3; JA-1063/17-1). This material is based upon work supported by the National Science Foundation under Grant Number PLR-1355533. Any opinions, findings, and conclusions or recommendations expressed in this publication are those of the author(s) and do not necessarily reflect the views of the National Science Foundation. We thank Hans Tore Rapp and one anonymous reviewer for valuable critical remarks and suggestions to the manuscript of this paper.</t>
  </si>
  <si>
    <t>SEP 24</t>
  </si>
  <si>
    <t>CS1RJ</t>
  </si>
  <si>
    <t>WOS:000361845100007</t>
  </si>
  <si>
    <t>Sani, NA; Odeyemi, OA</t>
  </si>
  <si>
    <t>Sani, Norrakiah Abdullah; Odeyemi, Olumide A.</t>
  </si>
  <si>
    <t>Occurrence and prevalence of Cronobacter spp. in plant and animal derived food sources: a systematic review and meta-analysis</t>
  </si>
  <si>
    <t>Prevalence; Reservoir; Contamination routes; Microbial food safety</t>
  </si>
  <si>
    <t>ENTEROBACTER-SAKAZAKII; INFANT FORMULA; MILK; IDENTIFICATION; TRANSMISSION; RESERVOIR; ROUTES; PCR</t>
  </si>
  <si>
    <t>Cronobacter species are motile, non-spore forming, Gram negative emerging opportunistic pathogens mostly associated with bacteremia, meningitis, septicemia, brain abscesses and necrotizing enterocolitis in infected neonates, infants and immunocompromised adults. Members of the genus Cronobacter are previously associated with powdered infant formula although the main reservoir and routes of contamination are yet to be ascertained. This study therefore aim to summarize occurrence and prevalence of Cronobacter spp. from different food related sources. A retrospective systematic review and meta-analysis of peer reviewed primary studies reported between 2008 and 2014 for the occurrence and prevalence of Cronobacter spp. in animal and plant related sources was conducted using Cronobacter isolation, Cronobacter detection and Cronobacter enumeration as search terms in the following databases: Web of Science (Science Direct) and ProQuest. Data extracted from the primary studies were then analyzed with meta-analysis techniques for effect rate and fixed effects was used to explore heterogeneity between the sources. Publication bias was evaluated using funnel plot. A total of 916 articles were retrieved from the data bases of which 28 articles met inclusion criteria. Cronobacter spp. could only be isolated from 103 (5.7 %) samples of animal related food while 123 (19 %) samples of plant related food samples harbors the bacteria. The result of this study shows that occurrence of Cronobacter was more prevalent in plant related sources with overall prevalence rate of 20.1 % (95 % CI 0.168-0.238) than animal originated sources with overall prevalence rate of 8 % (95 % CI 0.066-0.096). High heterogeneity (I-2 = 84) was observed mostly in plant related sources such as herbs, spices and vegetables compared to animal related sources (I-2 = 82). It could be observed from this study that plant related sources serve as reservoir and contamination routes of Cronobacter spp.</t>
  </si>
  <si>
    <t>[Sani, Norrakiah Abdullah; Odeyemi, Olumide A.] Natl Univ Malaysia, Fac Sci &amp; Technol, Sch Chem Sci &amp; Food Technol, Food Safety &amp; Qual Res Grp, Bangi, Malaysia; [Odeyemi, Olumide A.] Univ Tasmania, Inst Marine &amp; Antarctic Studies, Ecol &amp; Biodivers, Hobart, Tas, Australia</t>
  </si>
  <si>
    <t>Universiti Kebangsaan Malaysia; University of Tasmania</t>
  </si>
  <si>
    <t>Sani, NA (corresponding author), Natl Univ Malaysia, Fac Sci &amp; Technol, Sch Chem Sci &amp; Food Technol, Food Safety &amp; Qual Res Grp, Bangi, Malaysia.</t>
  </si>
  <si>
    <t>norrasani@ukm.edu.my</t>
  </si>
  <si>
    <t>Odeyemi, Olumide A/ABE-3206-2021</t>
  </si>
  <si>
    <t>Odeyemi, Olumide A/0000-0002-6041-5027</t>
  </si>
  <si>
    <t>[DIP-2014-007]</t>
  </si>
  <si>
    <t>This research is supported by research grant DIP-2014-007.</t>
  </si>
  <si>
    <t>10.1186/s40064-015-1324-9</t>
  </si>
  <si>
    <t>CR8YH</t>
  </si>
  <si>
    <t>WOS:000361639900003</t>
  </si>
  <si>
    <t>Amos, GCA; Borsetto, C; Laskaris, P; Krsek, M; Berry, AE; Newsham, KK; Calvo-Bado, L; Pearce, DA; Vallin, C; Wellington, EMH</t>
  </si>
  <si>
    <t>Amos, Gregory C. A.; Borsetto, Chiara; Laskaris, Paris; Krsek, Martin; Berry, Andrew E.; Newsham, Kevin K.; Calvo-Bado, Leo; Pearce, David A.; Vallin, Carlos; Wellington, Elizabeth M. H.</t>
  </si>
  <si>
    <t>Designing and Implementing an Assay for the Detection of Rare and Divergent NRPS and PKS Clones in European, Antarctic and Cuban Soils</t>
  </si>
  <si>
    <t>NONRIBOSOMAL PEPTIDE SYNTHETASES; METAGENOMIC ANALYSIS; GENE CLUSTERS; POLYKETIDE SYNTHASES; BACTERIAL; DNA; IDENTIFICATION; DIVERSITY; LIBRARIES; VIEW</t>
  </si>
  <si>
    <t>The ever increasing microbial resistome means there is an urgent need for new antibiotics. Metagenomics is an underexploited tool in the field of drug discovery. In this study we aimed to produce a new updated assay for the discovery of biosynthetic gene clusters encoding bioactive secondary metabolites. PCR assays targeting the polyketide synthases (PKS) and non-ribosomal peptide synthetases (NRPS) were developed. A range of European soils were tested for their biosynthetic potential using clone libraries developed from metagenomic DNA. Results revealed a surprising number of NRPS and PKS clones with similarity to rare Actinomycetes. Many of the clones tested were phylogenetically divergent suggesting they were fragments from novel NRPS and PKS gene clusters. Soils did not appear to cluster by location but did represent NRPS and PKS clones of diverse taxonomic origin. Fosmid libraries were constructed from Cuban and Antarctic soil samples; 17 fosmids were positive for NRPS domains suggesting a hit rate of less than 1 in 10 genomes. NRPS hits had low similarities to both rare Actinobacteria and Proteobacteria; they also clustered with known antibiotic producers suggesting they may encode for pathways producing novel bioactive compounds. In conclusion we designed an assay capable of detecting divergent NRPS and PKS gene clusters from the rare biosphere; when tested on soil samples results suggest the majority of NRPS and PKS pathways and hence bioactive metabolites are yet to be discovered.</t>
  </si>
  <si>
    <t>[Amos, Gregory C. A.; Borsetto, Chiara; Laskaris, Paris; Krsek, Martin; Berry, Andrew E.; Calvo-Bado, Leo; Wellington, Elizabeth M. H.] Univ Warwick, Sch Life Sci, Coventry CV4 7AL, W Midlands, England; [Newsham, Kevin K.; Pearce, David A.] NERC, British Antarctic Survey, Ecosyst Programme, Cambridge CB3 OET, England; [Vallin, Carlos] Ctr Pharmaceut Chem, Dept Biomed Res, Havana, Cuba</t>
  </si>
  <si>
    <t>University of Warwick; UK Research &amp; Innovation (UKRI); Natural Environment Research Council (NERC); NERC British Antarctic Survey</t>
  </si>
  <si>
    <t>Wellington, EMH (corresponding author), Univ Warwick, Sch Life Sci, Coventry CV4 7AL, W Midlands, England.</t>
  </si>
  <si>
    <t>E.M.H.Wellington@warwick.ac.uk</t>
  </si>
  <si>
    <t>Borsetto, Chiara/AAA-7315-2022; Amos, Gregory/C-8790-2014</t>
  </si>
  <si>
    <t>Borsetto, Chiara/0000-0003-4848-9522; Wellington, ELizabeth/0000-0002-4329-0699; Berry, Andrew/0000-0001-5096-7701; Pearce, David/0000-0001-5292-4596; Laskaris, Paris/0000-0003-0237-1115; Amos, Gregory/0000-0001-9748-1813</t>
  </si>
  <si>
    <t>Biotechnology and Biological Sciences Research Council SysMO grant [P-UK-01-11-3i]; Natural Environment Research Council [NE/E004482/1]; European Union [01783, 289285]; Natural Environment Research Council grant British Antarctic Survey's Long Term Monitoring and Survey Programme; NERC [bas0100036] Funding Source: UKRI; Natural Environment Research Council [bas0100036] Funding Source: researchfish</t>
  </si>
  <si>
    <t>Biotechnology and Biological Sciences Research Council SysMO grant(UK Research &amp; Innovation (UKRI)Biotechnology and Biological Sciences Research Council (BBSRC)); Natural Environment Research Council(UK Research &amp; Innovation (UKRI)Natural Environment Research Council (NERC)); European Union(European Union (EU)); Natural Environment Research Council grant British Antarctic Survey's Long Term Monitoring and Survey Programme; NERC(UK Research &amp; Innovation (UKRI)Natural Environment Research Council (NERC)); Natural Environment Research Council(UK Research &amp; Innovation (UKRI)Natural Environment Research Council (NERC))</t>
  </si>
  <si>
    <t>This study was supported by the Biotechnology and Biological Sciences Research Council SysMO grant P-UK-01-11-3i (www.bbsrc.ac.uk), the Natural Environment Research Council grant NE/E004482/1 (www.nerc.ac.uk), the European Union Fifth Framework ACTAPHARM, project number 01783 (http://cordis.europa.eu/home_en.html), the European Union Seventh Framework Programme grant agreement No289285 (www.train-asap.eu), the Natural Environment Research Council grant British Antarctic Survey's Long Term Monitoring and Survey Programme (www.nerc.ac.uk). The funders had no role in study design, data collection and analysis, decision to publish, or preparation of the manuscript.</t>
  </si>
  <si>
    <t>SEP 23</t>
  </si>
  <si>
    <t>e0138327</t>
  </si>
  <si>
    <t>10.1371/journal.pone.0138327</t>
  </si>
  <si>
    <t>CS1BM</t>
  </si>
  <si>
    <t>Green Published, Green Accepted, gold, Green Submitted</t>
  </si>
  <si>
    <t>WOS:000361797500060</t>
  </si>
  <si>
    <t>Amosova, AV; Bolsheva, NL; Samatadze, TE; Twardovska, MO; Zoshchuk, SA; Andreev, IO; Badaeva, ED; Kunakh, VA; Muravenko, OV</t>
  </si>
  <si>
    <t>Amosova, Alexandra V.; Bolsheva, Nadezhda L.; Samatadze, Tatiana E.; Twardovska, Maryana O.; Zoshchuk, Svyatoslav A.; Andreev, Igor O.; Badaeva, Ekaterina D.; Kunakh, Viktor A.; Muravenko, Olga V.</t>
  </si>
  <si>
    <t>Molecular Cytogenetic Analysis of Deschampsia antarctica Desv. (Poaceae), Maritime Antarctic</t>
  </si>
  <si>
    <t>IN-SITU HYBRIDIZATION; FREEZE TOLERANCE; REPEATED DNA; DAPI BANDS; GENOME; CHROMOSOMES; WHEAT; POPULATIONS; EVOLUTION; SEQUENCE</t>
  </si>
  <si>
    <t>Deschampsia antarctica Desv. (Poaceae) (2n = 26) is one of the two vascular plants adapted to the harshest environment of the Antarctic. Although the species is a valuable model for study of environmental stress tolerance in plants, its karyotype is still poorly investigated. We firstly conducted a comprehensive molecular cytogenetic analysis of D. antarctica collected on four islands of the Maritime Antarctic. D. antarctica karyotypes were studied by Giemsa C-and DAPI/C-banding, Ag-NOR staining, multicolour fluorescence in situ hybridization with repeated DNA probes (pTa71, pTa794, telomere repeats, pSc119.2, pAs1) and the GAA simple sequence repeat probe. We also performed sequential rapid in situ hybridization with genomic DNA of D. caespitosa. Two chromosome pairs bearing transcriptionally active 45S rDNA loci and five pairs with 5S rDNA sites were detected. A weak intercalary site of telomere repeats was revealed on the largest chromosome in addition to telomere hybridization signals at terminal positions. This fact confirms indirectly the hypothesis that chromosome fusion might have been the cause of the unusual for cereals chromosome number in this species. Based on patterns of distribution of the examined molecular cytogenetic markers, all chromosomes in karyotypes were identified, and chromosome idiograms of D. antarctica were constructed. B chromosomes were found in most karyotypes of plants from Darboux Island. A mixoploid plant with mainly triploid cells bearing a Robertsonian rearrangement was detected among typical diploid specimens from Great Jalour Island. The karyotype variability found in D. antarctica is probably an expression of genome instability induced by environmental stress factors. The differences in C-banding patterns and in chromosome distribution of rDNA loci as well as homologous highly repeated DNA sequences detected between genomes of D. antarctica and its related species D. caespitosa indicate that genome reorganization involving coding and noncoding repeated DNA sequences had occurred during the divergence of these species.</t>
  </si>
  <si>
    <t>[Amosova, Alexandra V.; Bolsheva, Nadezhda L.; Samatadze, Tatiana E.; Zoshchuk, Svyatoslav A.; Badaeva, Ekaterina D.; Muravenko, Olga V.] Russian Acad Sci, VA Engelhardt Mol Biol Inst, Moscow, Russia; [Twardovska, Maryana O.; Andreev, Igor O.; Kunakh, Viktor A.] Natl Acad Sci Ukraine, Inst Mol Biol &amp; Genet, Kiev, Ukraine</t>
  </si>
  <si>
    <t>Russian Academy of Sciences; Engelhardt Institute of Molecular Biology, RAS; National Academy of Sciences Ukraine; Institute of Molecular Biology &amp; Genetics of NASU</t>
  </si>
  <si>
    <t>Amosova, AV (corresponding author), Russian Acad Sci, VA Engelhardt Mol Biol Inst, Moscow, Russia.</t>
  </si>
  <si>
    <t>amomar@mail.ru</t>
  </si>
  <si>
    <t>Amosova, Alexandra V/M-5102-2013; Andreev, Igor/G-6194-2016; Bolsheva, Nadezhda L./HKF-6552-2023; Kunakh, Viktor A./HKV-4993-2023; Twardovska, Maryana O./JZC-6453-2024; Badaeva, Ekaterina D./N-4368-2017; Tatiana, Samatadze/AAD-4816-2019; Muravenko, Olga/A-3889-2017</t>
  </si>
  <si>
    <t>Andreev, Igor/0000-0002-3706-8514; Twardovska, Maryana O./0000-0002-9132-1330; Badaeva, Ekaterina D./0000-0001-7101-9639; Tatiana, Samatadze/0000-0002-1012-3560; Muravenko, Olga/0000-0003-3150-8598; Kunakh, Viktor/0000-0002-9418-3172</t>
  </si>
  <si>
    <t>Russian Foundation of Basic Research [15-04-05574, 14-08-01167]; Russian Academy of Sciences [0103-2015-0117]</t>
  </si>
  <si>
    <t>Russian Foundation of Basic Research(Russian Foundation for Basic Research (RFBR)); Russian Academy of Sciences(Russian Academy of Sciences)</t>
  </si>
  <si>
    <t>This work was supported by the Russian Foundation of Basic Research [grants no. 15-04-05574; 14-08-01167] and Fundamental Research Program of the Russian Academy of Sciences Dynamics of Plant, Animal and Human Genofonds [grant no. 0103-2015-0117]. The funders had no role in study design, data collection and analysis, decision to publish, or preparation of the manuscript.</t>
  </si>
  <si>
    <t>SEP 22</t>
  </si>
  <si>
    <t>e0138878</t>
  </si>
  <si>
    <t>10.1371/journal.pone.0138878</t>
  </si>
  <si>
    <t>CS0ZW</t>
  </si>
  <si>
    <t>WOS:000361792100112</t>
  </si>
  <si>
    <t>Torstensson, A; Hedblom, M; Björk, MM; Chierici, M; Wulff, A</t>
  </si>
  <si>
    <t>Torstensson, Anders; Hedblom, Mikael; Bjork, My Mattsdotter; Chierici, Melissa; Wulff, Angela</t>
  </si>
  <si>
    <t>Long-term acclimation to elevated pCO2 alters carbon metabolism and reduces growth in the Antarctic diatom Nitzschia lecointei</t>
  </si>
  <si>
    <t>climate change; polar; algae; primary production; bacterial production; Southern Ocean</t>
  </si>
  <si>
    <t>DISSOLVED ORGANIC-MATTER; OCEAN ACIDIFICATION; PH MEASUREMENTS; SURFACE WATERS; CLIMATE-CHANGE; MARINE; ICE; PHYTOPLANKTON; CO2; SEAWATER</t>
  </si>
  <si>
    <t>Increasing atmospheric CO2 levels are driving changes in the seawater carbonate system, resulting in higher pCO(2) and reduced pH (ocean acidification). Many studies on marine organisms have focused on short-term physiological responses to increased pCO(2), and few on slow-growing polar organisms with a relative low adaptation potential. In order to recognize the consequences of climate change in biological systems, acclimation and adaptation to new environments are crucial to address. In this study, physiological responses to long-term acclimation (194 days, approx. 60 asexual generations) of three pCO(2) levels (280, 390 and 960 mu atm) were investigated in the psychrophilic sea ice diatom Nitzschia lecointei. After 147 days, a small reduction in growth was detected at 960 mu atm pCO(2). Previous short-term experiments have failed to detect altered growth in N. lecointei at high pCO(2), which illustrates the importance of experimental duration in studies of climate change. In addition, carbon metabolism was significantly affected by the long-term treatments, resulting in higher cellular release of dissolved organic carbon (DOC). In turn, the release of labile organic carbon stimulated bacterial productivity in this system. We conclude that long-term acclimation to ocean acidification is important for N. lecointei and that carbon overconsumption and DOC exudation may increase in a high-CO2 world.</t>
  </si>
  <si>
    <t>[Torstensson, Anders; Hedblom, Mikael; Wulff, Angela] Univ Gothenburg, Dept Biol &amp; Environm Sci, Gothenburg, Sweden; [Bjork, My Mattsdotter; Chierici, Melissa] Univ Gothenburg, Dept Chem &amp; Mol Biol, Gothenburg, Sweden; [Chierici, Melissa] Inst Marine Res, Tromso, Norway</t>
  </si>
  <si>
    <t>University of Gothenburg; University of Gothenburg; Institute of Marine Research - Norway</t>
  </si>
  <si>
    <t>Torstensson, A (corresponding author), Univ Gothenburg, Dept Biol &amp; Environm Sci, Gothenburg, Sweden.</t>
  </si>
  <si>
    <t>Torstensson, Anders/0000-0002-8283-656X</t>
  </si>
  <si>
    <t>Royal Society of Arts and Sciences in Gothenburg (KVVS); Ymer -80 Foundation; Adlerbertska Reseach Foundation; Lars Hierta Memorial Foundation; Swedish Research Council [2007-8365]; Swedish Research Council (Oden Southern Ocean (OSO)) [2009-2994]</t>
  </si>
  <si>
    <t>Royal Society of Arts and Sciences in Gothenburg (KVVS); Ymer -80 Foundation; Adlerbertska Reseach Foundation; Lars Hierta Memorial Foundation; Swedish Research Council(Swedish Research Council); Swedish Research Council (Oden Southern Ocean (OSO))(Swedish Research Council)</t>
  </si>
  <si>
    <t>This project received financial support from the Royal Society of Arts and Sciences in Gothenburg (KVVS), Ymer -80 Foundation, Adlerbertska Reseach Foundation and the Lars Hierta Memorial Foundation. This study is a contribution to the project 'Greenhouse gases and mercury in a changing Arctic-GreMeCA,' funded by the Swedish Research Council (no. 2007-8365) and the Swedish Research Council project (2009-2994, Oden Southern Ocean (OSO) 2010/2011).</t>
  </si>
  <si>
    <t>10.1098/rspb.2015.1513</t>
  </si>
  <si>
    <t>CU2MH</t>
  </si>
  <si>
    <t>WOS:000363357100014</t>
  </si>
  <si>
    <t>Barnes, DKA</t>
  </si>
  <si>
    <t>Barnes, D. K. A.</t>
  </si>
  <si>
    <t>Antarctic sea ice losses drive gains in benthic carbon drawdown</t>
  </si>
  <si>
    <t>CURRENT BIOLOGY</t>
  </si>
  <si>
    <t>Letter</t>
  </si>
  <si>
    <t>ROSS SEA</t>
  </si>
  <si>
    <t>British Antarctic Survey, NERC, Cambridge CB3 0ET, England</t>
  </si>
  <si>
    <t>Barnes, DKA (corresponding author), British Antarctic Survey, NERC, Madingley Rd, Cambridge CB3 0ET, England.</t>
  </si>
  <si>
    <t>dkab@bas.ac.uk</t>
  </si>
  <si>
    <t>Natural Environment Research Council [bas0100036] Funding Source: researchfish; NERC [bas0100036] Funding Source: UKRI</t>
  </si>
  <si>
    <t>Natural Environment Research Council(UK Research &amp; Innovation (UKRI)Natural Environment Research Council (NERC)); NERC(UK Research &amp; Innovation (UKRI)Natural Environment Research Council (NERC))</t>
  </si>
  <si>
    <t>CELL PRESS</t>
  </si>
  <si>
    <t>CAMBRIDGE</t>
  </si>
  <si>
    <t>50 HAMPSHIRE ST, FLOOR 5, CAMBRIDGE, MA 02139 USA</t>
  </si>
  <si>
    <t>0960-9822</t>
  </si>
  <si>
    <t>1879-0445</t>
  </si>
  <si>
    <t>CURR BIOL</t>
  </si>
  <si>
    <t>Curr. Biol.</t>
  </si>
  <si>
    <t>SEP 21</t>
  </si>
  <si>
    <t>R789</t>
  </si>
  <si>
    <t>R790</t>
  </si>
  <si>
    <t>10.1016/j.cub.2015.07.042</t>
  </si>
  <si>
    <t>Biochemistry &amp; Molecular Biology; Biology; Cell Biology</t>
  </si>
  <si>
    <t>Biochemistry &amp; Molecular Biology; Life Sciences &amp; Biomedicine - Other Topics; Cell Biology</t>
  </si>
  <si>
    <t>CS2FX</t>
  </si>
  <si>
    <t>WOS:000361885100006</t>
  </si>
  <si>
    <t>Burton, MG; Ashley, MCB; Braiding, C; Freeman, M; Kulesa, C; Wolfire, MG; Hollenbach, DJ; Rowell, G; Lau, J</t>
  </si>
  <si>
    <t>Burton, Michael G.; Ashley, Michael C. B.; Braiding, Catherine; Freeman, Matthew; Kulesa, Craig; Wolfire, Mark G.; Hollenbach, David J.; Rowell, Gavin; Lau, James</t>
  </si>
  <si>
    <t>EXTENDED CARBON LINE EMISSION IN THE GALAXY: SEARCHING FOR DARK MOLECULAR GAS ALONG THE G328 SIGHTLINE</t>
  </si>
  <si>
    <t>Galaxy: evolution; Interstellar Medium; molecular processes; photon-dominated region (PDR); radio lines: ISM; telescopes</t>
  </si>
  <si>
    <t>COSMIC-RAY IONIZATION; GALACTIC PLANE SURVEY; C-II; INTERSTELLAR-MEDIUM; COLUMN DENSITY; OPTICAL DEPTH; SPIRAL ARMS; MILKY-WAY; H I; H-2</t>
  </si>
  <si>
    <t>We present spectral data cubes of the [CI] 809 GHz, (CO)-C-12 115 GHz, (CO)-C-13 110 GHz, and HI 1.4 GHz line emission from a similar to 1 square degree region along the l = 328 degrees (G328) sightline in the Galactic Plane. Emission arises principally from gas in three spiral arm crossings along the sightline. The distribution of emission in the CO and [CI] lines is found to be similar, with the [CI] slightly more extended, and both are enveloped in extensive HI. Spectral line ratios per voxel in the data cubes are found to be similar across the entire extent of the Galaxy. However, toward the edges of the molecular clouds the [CI]/(CO)-C-13 and (CO)-C-12/(CO)-C-13 line ratios rise by similar to 50%, and the [CI]/HI ratio falls by similar to 10%. We attribute this to these sightlines passing predominantly through the surfaces of photodissociation regions (PDRs), where the carbon is found mainly as C or C+, while the H-2 is mostly molecular, and the proportion of atomic gas also increases. We undertake modeling of the PDR emission from low density molecular clouds excited by average interstellar radiation fields and cosmic-ray ionization to quantify this comparison, finding that depletion of sulfur and reduced PAH abundance is needed to match line fluxes and ratios. Roughly one-third of the molecular gas along the sightline is found to be associated with this surface region, where the carbon is largely not to be found in CO. Approximately 10% of the atomic hydrogen along the sightline is cold gas within PDRs.</t>
  </si>
  <si>
    <t>[Burton, Michael G.; Ashley, Michael C. B.; Braiding, Catherine; Freeman, Matthew] Univ New S Wales, Sch Phys, Sydney, NSW 2052, Australia; [Kulesa, Craig] Univ Arizona, Steward Observ, Tucson, AZ 85721 USA; [Wolfire, Mark G.] Univ Maryland, Dept Astron, College Pk, MD 20742 USA; [Hollenbach, David J.] SETI Inst, Carl Sagan Ctr, Mountain View, CA 94043 USA; [Rowell, Gavin; Lau, James] Univ Adelaide, Sch Chem &amp; Phys, Adelaide, SA 5005, Australia</t>
  </si>
  <si>
    <t>University of New South Wales Sydney; University of Arizona; University System of Maryland; University of Maryland College Park; University of Adelaide</t>
  </si>
  <si>
    <t>Burton, MG (corresponding author), Univ New S Wales, Sch Phys, Sydney, NSW 2052, Australia.</t>
  </si>
  <si>
    <t>Burton, Michael/0000-0001-7289-1998; Freeman, Matthew/0000-0001-6384-7450; Ashley, Michael/0000-0003-1412-2028; Rowell, Gavin/0000-0002-9516-1581; Braiding, Catherine/0000-0002-6475-0797</t>
  </si>
  <si>
    <t>US National Science Foundation [PLR-0944335]; Astronomy Australia Limited; University of New South Wales; Australian Government; Education Investment Fund; Australian Antarctic Division; University of Adelaide; Australian Research Council (ARC); UNSW, Sydney; Monash universities; ARC [DP120101585]; NSF [AST-1411827]; Division Of Astronomical Sciences; Direct For Mathematical &amp; Physical Scien [1411827, 1410896] Funding Source: National Science Foundation</t>
  </si>
  <si>
    <t>US National Science Foundation(National Science Foundation (NSF)); Astronomy Australia Limited; University of New South Wales; Australian Government(Australian Government); Education Investment Fund; Australian Antarctic Division; University of Adelaide; Australian Research Council (ARC)(Australian Research Council); UNSW, Sydney; Monash universities; ARC(Australian Research Council); NSF(National Science Foundation (NSF)); Division Of Astronomical Sciences; Direct For Mathematical &amp; Physical Scien(National Science Foundation (NSF)NSF - Directorate for Mathematical &amp; Physical Sciences (MPS))</t>
  </si>
  <si>
    <t>Funding for the HEAT telescope is provided by the US National Science Foundation under grant number PLR-0944335. PLATO-R was funded by Astronomy Australia Limited, as well as the University of New South Wales, as an initiative of the Australian Government being conducted as part of the Super Science Initiative and financed from the Education Investment Fund. Support for the UNSW program in Antarctica is also provided by the Australian Antarctic Division. Logistical support for HEAT and PLATO-R is provided by the United States Antarctic Program.; The Mopra radio telescope is part of the Australia Telescope National Facility. Operations support was provided by the University of New South Wales and the University of Adelaide. The UNSW Digital Filter Bank used for the observations with Mopra was provided with financial support from the Australian Research Council (ARC), UNSW, Sydney and Monash universities. We also acknowledge ARC support through Discovery Project DP120101585. M.G.W. and D.J.H. were supported in part by NSF grant AST-1411827.</t>
  </si>
  <si>
    <t>SEP 20</t>
  </si>
  <si>
    <t>10.1088/0004-637X/811/1/13</t>
  </si>
  <si>
    <t>CU4BR</t>
  </si>
  <si>
    <t>WOS:000363471600014</t>
  </si>
  <si>
    <t>Fuchsman, CA; Devol, AH; Chase, Z; Reimers, CE; Hales, B</t>
  </si>
  <si>
    <t>Fuchsman, C. A.; Devol, A. H.; Chase, Z.; Reimers, C. E.; Hales, B.</t>
  </si>
  <si>
    <t>Benthic fluxes on the Oregon shelf</t>
  </si>
  <si>
    <t>Oregon shelf; benthic flux; iron; denitrification; hypoxia</t>
  </si>
  <si>
    <t>NORTHERN CALIFORNIA CURRENT; COASTAL UPWELLING REGIMES; CONTINENTAL-SHELF; SEA-FLOOR; PERMEABLE SEDIMENTS; ORGANIC-MATTER; CURRENT SYSTEM; OXYGEN; IRON; NUTRIENT</t>
  </si>
  <si>
    <t>Benthic chamber incubations were performed in the mid-shelf region on the Oregon shelf in June and August 2009 to measure fluxes of oxygen, nutrients, and iron and their effect on water column chemistry. Chamber oxygen and nitrate fluxes were into the sediments while silicate, iron and ammonium fluxes were out of the sediments. Benthic fluxes were similar between the two months, except that dissolved iron fluxes were higher at some sites in August. Bottom waters were consistently hypoxic (43-64 mu M O-2) and had ammonium concentrations from 0 to 2.6 mu M in the mid-shelf region. Given measured ammonium fluxes (0.2-1.4 mmol m(-2) d(-1)), we used a simple stoichiometric model for a 10 m bottom boundary layer to calculate that benthic fluxes only contributed similar to 16-41% of the bottom water ammonia. Benthic oxygen fluxes (-4.3 to -12.5 mmol O-2 m(-2) d(-1)) were responsible for similar to 38-51% of oxygen drawdown in the benthic boundary layer. In both cases, the remainder may be attributed to water column respiration. Benthic iron and nitrate fluxes have opposite effects on productivity. Iron fluxes (0 -71 mu mol m(-2) d(-1), average: 5 mu mol m(-2) d(-1)) increased bottom water concentrations while nitrate was lost (-1.2 to -2.9 mmol m(-2) d(-1) NO3-) due to denitrification. By supplying iron and consuming nitrogen, benthic diagenetic processes reinforce an iron-replete, nitrate-limited coastal ecosystem. (c) 2015 Elsevier Ltd. All rights reserved.</t>
  </si>
  <si>
    <t>[Fuchsman, C. A.; Devol, A. H.] Univ Washington, Sch Oceanog, Seattle, WA 98195 USA; [Chase, Z.] Univ Tasmania, Inst Marine &amp; Antarctic Studies, Hobart, Tas 7001, Australia; [Reimers, C. E.; Hales, B.] Oregon State Univ, Coll Earth Ocean &amp; Atmospher Sci, Corvallis, OR 97331 USA</t>
  </si>
  <si>
    <t>University of Washington; University of Washington Seattle; University of Tasmania; Oregon State University</t>
  </si>
  <si>
    <t>Fuchsman, CA (corresponding author), Univ Washington, Sch Oceanog, Seattle, WA 98195 USA.</t>
  </si>
  <si>
    <t>cfuchsm1@u.washington.edu</t>
  </si>
  <si>
    <t>Fuchsman, Clara/AAM-3641-2021; Chase, Zanna/E-9232-2013</t>
  </si>
  <si>
    <t>Chase, Zanna/0000-0001-5060-779X; Fuchsman, Clara/0000-0002-9151-4984</t>
  </si>
  <si>
    <t>NSF [OCE 0628391, OCE 1029316, OCE 0726984, 06-28700]</t>
  </si>
  <si>
    <t>NSF(National Science Foundation (NSF))</t>
  </si>
  <si>
    <t>We would like to thank Wendi Ruef and Bonnie Chang for assistance with the benthic chamber lander both before and during the cruise, and Kathy Krogslund for running chamber nutrient samples. Chris Holm and Hannah Groshong assisted with iron sampling and analysis. We would also like to thank the captain and crew of the R/V Wecoma. Funding was provided by NSF grants OCE 0628391 and OCE 1029316 to AHD, OCE 0726984 to CER, and NSF grant 06-28700 to ZC and BH.</t>
  </si>
  <si>
    <t>B</t>
  </si>
  <si>
    <t>10.1016/j.ecss.2015.06.001</t>
  </si>
  <si>
    <t>CT2AQ</t>
  </si>
  <si>
    <t>WOS:000362604800018</t>
  </si>
  <si>
    <t>Valdivia, N; Díaz, MJ; Garrido, I; Gómez, I</t>
  </si>
  <si>
    <t>Valdivia, Nelson; Jose Diaz, Maria; Garrido, Ignacio; Gomez, Ivan</t>
  </si>
  <si>
    <t>Consistent Richness-Biomass Relationship across Environmental Gradients in a Marine Macroalgal-Dominated Subtidal Community on the Western Antarctic Peninsula</t>
  </si>
  <si>
    <t>KING-GEORGE ISLAND; BIODIVERSITY LOSS; ICE SCOUR; DIVERSITY; PRODUCTIVITY; PERFORMANCE; INSURANCE; PATTERNS; ZONATION; LIGHT</t>
  </si>
  <si>
    <t>Biodiversity loss has spurred the biodiversity-ecosystem functioning research over a range of ecosystems. In Antarctica, however, the relationship of taxonomic and functional diversity with ecosystem properties (e.g., community biomass) has received less attention, despite the presence of sharp and dynamic environmental stress gradients that might modulate these properties. Here, we investigated whether the richness-biomass relationship in macrobenthic subtidal communities is still apparent after accounting for environmental stress gradients in Fildes Bay, King George Island, Antarctica. Measurements of biomass of mobile and sessile macrobenthic taxa were conducted in the austral summer 2013/4 across two environmental stress gradients: distance from nearest glaciers and subtidal depth (from 5 to 30 m). In general, community biomass increased with distance from glaciers and water depth. However, generalised additive models showed that distance from glaciers and depth accounted for negligible proportions of variation in the number of functional groups (i.e., functional richness) and community biomass when compared to taxonomic richness. Functional richness and community biomass were positive and saturating functions of taxonomic richness. Large endemic, canopy-forming brown algae of the order Desmarestiales dominated the community biomass across both gradients. Accordingly, differences in the composition of taxa accounted for a significant and large proportion (51%) of variation in community biomass in comparison with functional richness (10%). Our results suggest that the environmental factors here analysed may be less important than biodiversity in shaping mesoscale (several km) biomass patterns in this Antarctic system. We suggest that further manipulative, hypothesis-driven research should address the role of biodiversity and species' functional traits in the responses of Antarctic subtidal communities to environmental variation.</t>
  </si>
  <si>
    <t>[Valdivia, Nelson; Jose Diaz, Maria; Garrido, Ignacio; Gomez, Ivan] Univ Austral Chile, Fac Ciencias, Inst Ciencias Marinas &amp; Limnol, Valdivia, Chile</t>
  </si>
  <si>
    <t>Universidad Austral de Chile</t>
  </si>
  <si>
    <t>Valdivia, N (corresponding author), Univ Austral Chile, Fac Ciencias, Inst Ciencias Marinas &amp; Limnol, Valdivia, Chile.</t>
  </si>
  <si>
    <t>nelson.valdivia@uach.cl</t>
  </si>
  <si>
    <t>; Valdivia, Nelson/C-3613-2009</t>
  </si>
  <si>
    <t>Gomez, Ivan/0000-0001-8381-3792; Valdivia, Nelson/0000-0002-5394-2072; Diaz Aguirre, Maria Jose/0000-0002-5493-0292</t>
  </si>
  <si>
    <t>Programa de Investigacion Asociativa-Comision Nacional de Investigacion Cientifica y Tecnologica [ART1101]; Programa de Mejoramiento de la Calidad y la Equidad de la Educacion Superior [AUS0805]; Fondo Nacional de Desarrollo Cientifico y Tecnologico [1141037]</t>
  </si>
  <si>
    <t>Programa de Investigacion Asociativa-Comision Nacional de Investigacion Cientifica y Tecnologica; Programa de Mejoramiento de la Calidad y la Equidad de la Educacion Superior; Fondo Nacional de Desarrollo Cientifico y Tecnologico(Comision Nacional de Investigacion Cientifica y Tecnologica (CONICYT)CONICYT FONDECYT)</t>
  </si>
  <si>
    <t>This study was financially supported by the Programa de Investigacion Asociativa-Comision Nacional de Investigacion Cientifica y Tecnologica (www.conicyt.cl) grant # ART1101 to IG and NV. While writing, NV was supported by the Programa de Mejoramiento de la Calidad y la Equidad de la Educacion Superior (www.mecesup.cl), grant # AUS0805, and the Fondo Nacional de Desarrollo Cientifico y Tecnologico (www.conicyt.cl/fondecyt), grant # 1141037. The funders had no role in study design, data collection and analysis, decision to publish, or preparation of the manuscript.</t>
  </si>
  <si>
    <t>SEP 18</t>
  </si>
  <si>
    <t>e0138582</t>
  </si>
  <si>
    <t>10.1371/journal.pone.0138582</t>
  </si>
  <si>
    <t>CS0ZE</t>
  </si>
  <si>
    <t>Green Submitted, gold, Green Published</t>
  </si>
  <si>
    <t>WOS:000361790200131</t>
  </si>
  <si>
    <t>Araújo-Silva, CL; Froufe, E; Larsen, K</t>
  </si>
  <si>
    <t>Araujo-Silva, Catarina L.; Froufe, Elsa; Larsen, Kim</t>
  </si>
  <si>
    <t>Two new species of family Neotanaidae (Peracarida: Tanaidacea) from the Antarctic and Mid-Pacific Oceans</t>
  </si>
  <si>
    <t>Neotanais; Venusticrus; COI; 28S; ANDEEP; Antarctic; Mid-Pacific</t>
  </si>
  <si>
    <t>DEEP-SEA; 1886 CRUSTACEA; BEDDARD; ATLANTIC; GENUS</t>
  </si>
  <si>
    <t>Samples collected from the Antarctic (ANDEEP/2002) and Mid-Pacific (BIONOD/2012) Oceans allowed analyses of several specimens of the family Neotanaidae. From these surveys two new species are described: Neotanais bicornutus and Venusticrus thor. The new material led to a re-diagnosis of Venusticrus, and N. rotermundiae is now assigned to this genus. The male of N. bicornutus shares a number of characters with the robustus species group, but differs by having a pleotelson about 1.5 times as wide as long, cheliped carpus about 1.5 times as long as cephalothorax, cheliped propodus with two long dorsal projections, and uropod endopod article 1 with 8-10 fine setae proximal to mid-length on outer margin. The N. bicornutus preparatory female differs from all species by a combination of characters including the number of setae on dorsal margin of cheliped carpus (about 15 setae), the uropod attachment slightly posterior to mid-length, uropod basal article about 2.7 times as long as endopod article 1. The female of V. thor differs from those of V. insolitus, V. glandurus and V. rotermundiae by the body proportions, the pleon having three lateral setae on epimera, pleon with a blunt ventral keel, pereopodal setation, number of setae on maxilliped endite and basis as well as other characters. Total genomic DNA was extracted from two specimens of V. thor and sequences of two genes, i.e., cytochrome oxidase 1 (COI) and ribosomal (28S) were obtained.</t>
  </si>
  <si>
    <t>[Araujo-Silva, Catarina L.; Froufe, Elsa] Univ Porto, CIIMAR Interdisciplinary Ctr Marine &amp; Environm, AEE Lab Aquat Ecol &amp; Evolut, P-4050123 Oporto, Portugal; [Araujo-Silva, Catarina L.] Minist Educ Brazil, Capes Fdn, BR-70040020 Brasilia, DF, Brazil; [Larsen, Kim] Roskilde Univ, ENSPAC Dept Environm Social &amp; Spatial Change, DK-4000 Roskilde, Denmark</t>
  </si>
  <si>
    <t>Universidade do Porto; Coordenacao de Aperfeicoamento de Pessoal de Nivel Superior (CAPES); Roskilde University</t>
  </si>
  <si>
    <t>Araújo-Silva, CL (corresponding author), Univ Porto, CIIMAR Interdisciplinary Ctr Marine &amp; Environm, AEE Lab Aquat Ecol &amp; Evolut, Rua Bragas 289, P-4050123 Oporto, Portugal.</t>
  </si>
  <si>
    <t>katelas@hotmail.com</t>
  </si>
  <si>
    <t>Froufe, Elsa/F-2286-2013</t>
  </si>
  <si>
    <t>Froufe, Elsa/0000-0003-0262-0791</t>
  </si>
  <si>
    <t>CAPES-Coordenacao de Aperfeicoamento de Pessoal de Nivel Superior [5428/10-6]; European Regional Development Fund (ERDF) through the COMPETE-Operational Competitiveness Programme; national funds through FCT-Foundation for Science and Technology [PEst-C/MAR/LA0015/2013, PEst-C/MAR/LA0015/2014]</t>
  </si>
  <si>
    <t>CAPES-Coordenacao de Aperfeicoamento de Pessoal de Nivel Superior(Coordenacao de Aperfeicoamento de Pessoal de Nivel Superior (CAPES)); European Regional Development Fund (ERDF) through the COMPETE-Operational Competitiveness Programme(European Union (EU)); national funds through FCT-Foundation for Science and Technology</t>
  </si>
  <si>
    <t>This work is part of the senior author's Ph.D. dissertation (CLAS), funded by CAPES-Coordenacao de Aperfeicoamento de Pessoal de Nivel Superior (Grant number 5428/10-6). In addition, this research was partially supported by the European Regional Development Fund (ERDF) through the COMPETE-Operational Competitiveness Programme and national funds through FCT-Foundation for Science and Technology, under the project PEst-C/MAR/LA0015/2013 PEst-C/MAR/LA0015/2014.</t>
  </si>
  <si>
    <t>SEP 17</t>
  </si>
  <si>
    <t>CR6YL</t>
  </si>
  <si>
    <t>WOS:000361494400003</t>
  </si>
  <si>
    <t>Patil, JG; Purser, GJ; Nicholson, AM</t>
  </si>
  <si>
    <t>Patil, Jawahar G.; Purser, G. J.; Nicholson, A. M.</t>
  </si>
  <si>
    <t>Sterile 'Judas' carp-Surgical sterilisation does not impair growth, endocrine and behavioural responses of male carp</t>
  </si>
  <si>
    <t>GENERAL AND COMPARATIVE ENDOCRINOLOGY</t>
  </si>
  <si>
    <t>11-Keto testosterone; E2; Pest fish; Kernel density</t>
  </si>
  <si>
    <t>CYPRINUS-CARPIO; COMMON CARP; IMMUNOASSAY; SPERMATOZOA; SPERM; FISH</t>
  </si>
  <si>
    <t>Use of 'Judas' fish to betray the locations of conspecifics is a powerful tool in management of invasive pest fish but poses a risk of contributing to recruitment. Our aim therefore was to generate surgically sterilised male common carp (Cyprinus conpio) and test whether they readily assimilate into wild populations, retain sexual behaviour and successfully betray the locations of feral carp. Male common carp were surgically sterilised (n = 44) adopting a two-point nip technique, using either a haemoclip, suture or electro cautery to tie each of the testicular ducts about 2.5 cm cranial to urogenital sinus retaining all of the glandular testis tissue. Observed survival (95%) and success (&gt;70%) rates were relatively high. Plasma steroids (11-keto testosterone and 17 beta-estradiol) were quantified by immunoassay. A subset of sterile and control male fish (n = 7 each) were implanted with radio-transmitters and released into Lake Sorell (50 km(2)) and their ability to betray the location of feral carp was assessed by radio tracking and targeted fishing. There was a statistically significant difference in 11-keto testosterone and 17 beta-estradiol levels over time (P &lt; 0.05), but not between the sterile and control groups within each sampling time (P &gt; 0.05), implying that surgery did not compromise the animals physiologically. The sterile Judas fish integrated well into the population behaving similarly to control Judas males and assisted in the capture of feral carp. The study marks a significant breakthrough in the management of this pest fish with potential adoption to the management of other pest fish globally. (C) 2015 Elsevier Inc. All rights reserved.</t>
  </si>
  <si>
    <t>[Patil, Jawahar G.; Purser, G. J.] Univ Tasmania, Inst Marine &amp; Antarctic Studies, Fisheries &amp; Aquaculture Ctr, Launceston, Tas 7250, Australia; [Patil, Jawahar G.] Inland Fisheries Serv Tasmania, New Norfolk, Tasmania 7140, Australia; [Nicholson, A. M.] Montrose Vet Clin, Montrose, Tasmania 7010, Australia</t>
  </si>
  <si>
    <t>Patil, JG (corresponding author), Univ Tasmania, Inst Marine &amp; Antarctic Studies, Fisheries &amp; Aquaculture Ctr, Locked Bag 1370, Launceston, Tas 7250, Australia.</t>
  </si>
  <si>
    <t>jgpatil@utas.edu.au</t>
  </si>
  <si>
    <t>Patil, Jawahar G/B-9527-2012</t>
  </si>
  <si>
    <t>Patil, Jawahar G/0000-0002-2154-4627</t>
  </si>
  <si>
    <t>Fisheries Research and Development Corporation (FRDC) of the Australian Government [TRF 2012/039]</t>
  </si>
  <si>
    <t>Fisheries Research and Development Corporation (FRDC) of the Australian Government</t>
  </si>
  <si>
    <t>We wish to acknowledge the assistance of the Inland Fisheries Service carp management team in Tasmania. Chris Wisniewski and John Diggle provided feedback on an earlier version of the manuscript and Jonah Yick assisted with preparation of Kernel density maps. The Fisheries Research and Development Corporation (FRDC) on behalf of the Australian Government provided funding support (Project No. TRF 2012/039).</t>
  </si>
  <si>
    <t>0016-6480</t>
  </si>
  <si>
    <t>1095-6840</t>
  </si>
  <si>
    <t>GEN COMP ENDOCR</t>
  </si>
  <si>
    <t>Gen. Comp. Endocrinol.</t>
  </si>
  <si>
    <t>SEP 15</t>
  </si>
  <si>
    <t>10.1016/j.ygcen.2015.03.005</t>
  </si>
  <si>
    <t>Endocrinology &amp; Metabolism; Zoology</t>
  </si>
  <si>
    <t>CW4ST</t>
  </si>
  <si>
    <t>WOS:000364983100020</t>
  </si>
  <si>
    <t>Geothermal heating beneath West Antarctic ice sheet</t>
  </si>
  <si>
    <t>CS5QW</t>
  </si>
  <si>
    <t>WOS:000362134100002</t>
  </si>
  <si>
    <t>Garofalo, F; Amelio, D; Gattuso, A; Cerra, MC; Pellegrino, D</t>
  </si>
  <si>
    <t>Garofalo, Filippo; Amelio, Daniela; Gattuso, Alfonsina; Cerra, Maria Carmela; Pellegrino, Daniela</t>
  </si>
  <si>
    <t>Cardiac contractility in Antarctic teleost is modulated by nitrite through xanthine oxidase and cytochrome p-450 nitrite reductase</t>
  </si>
  <si>
    <t>NITRIC OXIDE-BIOLOGY AND CHEMISTRY</t>
  </si>
  <si>
    <t>Nitrite; Nitric oxide; Antarctic teleosts; Icefish; Xanthine oxidase; Cytochrome P-450</t>
  </si>
  <si>
    <t>ICEFISH CHIONODRACO-HAMATUS; SCAVENGER CARBOXY-PTIO; MITOCHONDRIAL RESPIRATION; TREMATOMUS-BERNACCHII; C-OXIDASE; MECHANISMS; EXPRESSION; TISSUES; NO; REGULATOR</t>
  </si>
  <si>
    <t>In mammalian and non-mammalian vertebrates, nitrite anion, the largest pool of intravascular and tissue nitric oxide storage, represents a key player of many biological processes, including cardiac modulation. As shown by our studies on Antarctic teleosts, nitrite-dependent cardiac regulation is of great relevance also in cold-blooded vertebrates. This study analysed the influence elicited by nitrite on the performance of the perfused beating heart of two Antarctic stenotherm teleosts, the haemoglobinless Chionodraco hamatus (icefish) and the red-blooded Trematomus bemacchii. Since haemoglobin is crucial in nitric oxide homeostasis, the icefish, a naturally occurring genetic knockout for this protein, provides exclusive opportunities to investigate nitric oxide/nitrite signaling. In vivo, nitrite conversion to nitric oxide requires the nitrite reductase activity of xanthine oxidase and cytochrome P-450, thus the involvement of these enzymes was also evaluated. We showed that, in C hamatus and T. bemacchii, nitrite influenced cardiac performance by inducing a concentration-dependent positive inotropic effect which was unaffected by nitric oxide scavenging by PTIO in C hamatus, while it was abolished in T. bemacchii. Specific inhibition of xanthine oxidase and cytochrome P-450 revealed, in the two teleosts, that the nitrite-dependent inotropism required the nitrite reductase activity of both enzymes. We also found that xanthine oxidase is more expressed in C hamatus than in T bemacchii, while the opposite was observed concerning cytochrome P-450. Results suggested that in the heart of C hamatus and T. bemacchii, nitrite is an integral physiological source of nitric oxide with important signaling properties, which require the nitrite reductase activity of xanthine oxidase and cytochrome P-450. (C) 2015 Elsevier Inc. All rights reserved.</t>
  </si>
  <si>
    <t>[Garofalo, Filippo; Amelio, Daniela; Gattuso, Alfonsina; Cerra, Maria Carmela; Pellegrino, Daniela] Univ Calabria, Dept Biol Ecol &amp; Earth Sci, I-87036 Arcavacata Di Rende, CS, Italy</t>
  </si>
  <si>
    <t>University of Calabria</t>
  </si>
  <si>
    <t>Pellegrino, D (corresponding author), Univ Calabria, Dept Biol Ecol &amp; Earth Sci, Physiol Lab, I-87036 Arcavacata Di Rende, CS, Italy.</t>
  </si>
  <si>
    <t>danielapellegrino@unical.it</t>
  </si>
  <si>
    <t>gattuso, alfonsina/ISS-5286-2023</t>
  </si>
  <si>
    <t>Amelio, Daniela/0000-0002-5543-8531; Pellegrino, Daniela/0000-0002-9815-5195; GATTUSO, ALFONSINA/0000-0002-4908-0633; Cerra, Maria Carmela/0000-0002-2091-928X; Garofalo, Filippo/0000-0002-4211-3850</t>
  </si>
  <si>
    <t>Italian National Research Program in Antarctica (PNRA) [PdR 2013/AZ1.10, 2013/AZ1.20.]</t>
  </si>
  <si>
    <t>Italian National Research Program in Antarctica (PNRA)</t>
  </si>
  <si>
    <t>All authors were supported by the Italian National Research Program in Antarctica (PNRA) PdR 2013/AZ1.10 and 2013/AZ1.20.</t>
  </si>
  <si>
    <t>1089-8603</t>
  </si>
  <si>
    <t>1089-8611</t>
  </si>
  <si>
    <t>NITRIC OXIDE-BIOL CH</t>
  </si>
  <si>
    <t>Nitric Oxide-Biol. Chem.</t>
  </si>
  <si>
    <t>10.1016/j.niox.2015.05.002</t>
  </si>
  <si>
    <t>Biochemistry &amp; Molecular Biology; Cell Biology</t>
  </si>
  <si>
    <t>CP9AY</t>
  </si>
  <si>
    <t>WOS:000360187300001</t>
  </si>
  <si>
    <t>Adam, C; King, SD; Vidal, V; Rabinowicz, M; Jalobeanu, A; Yoshida, M</t>
  </si>
  <si>
    <t>Adam, C.; King, S. D.; Vidal, V.; Rabinowicz, M.; Jalobeanu, A.; Yoshida, M.</t>
  </si>
  <si>
    <t>Variation of the subsidence parameters, effective thermal conductivity, and mantle dynamics</t>
  </si>
  <si>
    <t>seafloor subsidence; subsidence rate; ridge depth; effective thermal conductivity; mantle dynamics; dynamic topography</t>
  </si>
  <si>
    <t>RIDGE BASALT CHEMISTRY; SEA-LEVEL; GLOBAL CORRELATIONS; AXIAL DEPTH; TOPOGRAPHY; PACIFIC; MODELS; FLOOR; OCEAN; AGE</t>
  </si>
  <si>
    <t>The subsidence of young seafloor is generally considered to be a passive phenomenon related to the conductive cooling of the lithosphere after its creation at mid-oceanic ridges. Recent alternative theories suggest that the mantle dynamics plays an important role in the structure and depth of the oceanic lithosphere. However, the link between mantle dynamics and seafloor subsidence has still to be quantitatively assessed. Here we provide a statistical study of the subsidence parameters (subsidence rate and ridge depth) for all the oceans. These parameters are retrieved through two independent methods, the positive outliers method, a classical method used in signal processing, and through the MiFil method. From the subsidence rate, we compute the effective thermal conductivity, k(eff), which ranges between 1 and 7 W m(-1) K-1. We also model the mantle flow pattern from the S40RTS tomography model. The density anomalies derived from S40RTS are used to compute the instantaneous flow in a global 3D spherical geometry. We show that departures from the k(eff) = 3 Wm(-1) K-1 standard value are systematically related to mantle processes and not to lithospheric structure. Regions characterized by k(eff) &gt; 3 W m(-1) K-1 are associated with mantle uplifts (mantle plumes or other local anomalies). Regions characterized by k(eff) &lt; 3 Wm(-1) K-1 are related to large-scale mantle downwellings such as the Australia Antarctic Discordance (AAD) or the return flow from the South Pacific Superswell to the East Pacific Rise. This demonstrates that mantle dynamics plays a major role in the shaping of the oceanic seafloor. In particular, the parameters generally considered to quantify the lithosphere structure, such as the thermal conductivity, are not only representative of this structure but also incorporate signals from the mantle convection occurring beneath the lithosphere. The dynamic topography computed from the S40RTS tomography model reproduces the subsidence pattern observed in the bathymetry. Overall we find a good correlation between the subsidence parameters derived from the bathymetry and the dynamic topography. This demonstrates that these parameters are strongly dependent on mantle dynamics. (C) 2015 Elsevier B.V. All rights reserved.</t>
  </si>
  <si>
    <t>[Adam, C.; King, S. D.] Virginia Tech, Dept Geosci, Blacksburg, VA 24061 USA; [Vidal, V.] Univ Lyon, CNRS, Ecole Normale Super Lyon, Phys Lab, Lyon, France; [Rabinowicz, M.] Observ Midi Pyrenees, GET, F-31400 Toulouse, France; [Jalobeanu, A.] BayesMap Solut LLC, Castro Valley, CA USA; [Yoshida, M.] Japan Agcy Marine Earth Sci &amp; Technol JAMSTEC, Dept Deep Earth Struct &amp; Dynam Res, Yokosuka, Kanagawa, Japan</t>
  </si>
  <si>
    <t>Virginia Polytechnic Institute &amp; State University; Ecole Normale Superieure de Lyon (ENS de LYON); Centre National de la Recherche Scientifique (CNRS); Universite de Toulouse; Universite Toulouse III - Paul Sabatier; Japan Agency for Marine-Earth Science &amp; Technology (JAMSTEC)</t>
  </si>
  <si>
    <t>Adam, C (corresponding author), Virginia Tech, Dept Geosci, Blacksburg, VA 24061 USA.</t>
  </si>
  <si>
    <t>ca3@vt.edu; sdk@vt.edu; Valerie.Vidal@ens-lyon.fr; Michel.Rabinowicz@irap.omp.eu; andre.jalobeanu@gmail.com; myoshida@jamstec.go.jp</t>
  </si>
  <si>
    <t>Yoshida, Masaki/B-4920-2013; Yoshida, Masaki/JBJ-7101-2023; King, Scott/B-1220-2008</t>
  </si>
  <si>
    <t>Yoshida, Masaki/0000-0001-6069-5818; Vidal, Valerie/0000-0002-0413-1601; Adam, Claudia/0000-0003-0602-2158; King, Scott/0000-0002-9564-5164</t>
  </si>
  <si>
    <t>NSF [EAR-0968965]; Directorate For Geosciences; Division Of Earth Sciences [1518084] Funding Source: National Science Foundation; Division Of Earth Sciences; Directorate For Geosciences [0968965] Funding Source: National Science Foundation</t>
  </si>
  <si>
    <t>NSF(National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</si>
  <si>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This work has been supported by NSF EAR-0968965. The manuscript has been improved by the comments of D. Hasterok and two other anonymous reviewers. The computations presented here have been performed through the Advanced Research Computing at Virginia Tech. The data obtained through this study are now part of the Integrated Earth Data Applications (IEDA), at http://dx.doi.org/10.1594/IEDA/321917, and are hosted on two websites: http://wwvv.geophys.geos.vt.edu/ and at http://dx.doi.org/10.1594/IEDA/321917.</t>
  </si>
  <si>
    <t>10.1016/j.epsl.2015.06.025</t>
  </si>
  <si>
    <t>CO3CE</t>
  </si>
  <si>
    <t>WOS:000359033400013</t>
  </si>
  <si>
    <t>King, AJ; Schofield, PF; Howard, KT; Russell, SS</t>
  </si>
  <si>
    <t>King, A. J.; Schofield, P. F.; Howard, K. T.; Russell, S. S.</t>
  </si>
  <si>
    <t>Modal mineralogy of CI and CI-like chondrites by X-ray diffraction</t>
  </si>
  <si>
    <t>GEOCHIMICA ET COSMOCHIMICA ACTA</t>
  </si>
  <si>
    <t>INSOLUBLE ORGANIC-MATTER; CARBONACEOUS CHONDRITES; THERMAL METAMORPHISM; AQUEOUS ALTERATION; PARENT BODY; MOSSBAUER-SPECTROSCOPY; HYDROUS ASTEROIDS; CM-CHONDRITES; TAGISH LAKE; PSD-XRD</t>
  </si>
  <si>
    <t>The CI chondrites are some of the most hydrated meteorites available to study, making them ideal samples with which to investigate aqueous processes in the early Solar System. Here, we have used position-sensitive-detector X-ray diffraction (PSD-XRD) to quantify the abundance of minerals in bulk samples of the CI chondrite falls Alais, Orgueil and Ivuna, and the Antarctic CI-like chondrites Y-82162 and Y-980115. We find that Alais, Orgueil and Ivuna are dominated by a mixed serpentine/saponite phyllosilicate (81-84 vol%), plus minor magnetite (6-10%), sulphides (4-7%) and carbonates (&lt;3%). This reflects an extended period of aqueous alteration and the near-complete transformation of anhydrous phases into a secondary mineral assemblage. The similarity in total abundance of phyllosilicate suggests that the CI chondrites all experienced the same degree of aqueous alteration on the parent body. In contrast, Y-82162 contains a highly disordered serpentine/saponite phyllosilicate (68 vol%), sulphide (19%), olivine (11%) and magnetite (2%). This mineralogy is distinct from that of the CI chondrites, attesting to both a different starting mineralogy and alteration history. The structure and relatively low abundance of the phyllosilicate, and the high abundance of olivine, are consistent with previous observations that Y-82162 represents CI-like material that following aqueous alteration suffered thermal metamorphism at temperatures &gt;500 degrees C. Similarly, Y-980115 contains disordered serpentine/saponite (71 vol%), sulphide (19%), olivine (8%) and magnetite (2%), confirming that it too is a thermally metamorphosed CI-like chondrite. We suggest that the CI-like chondrites are derived from a different parent body than the CI chondrites, which underwent short-lived thermal metamorphism due to impacts and/or solar radiation. (C) 2015 The Authors. Published by Elsevier Ltd.</t>
  </si>
  <si>
    <t>[King, A. J.; Schofield, P. F.; Russell, S. S.] Nat Hist Museum, Dept Earth Sci, London SW7 5BD, England; [Howard, K. T.] CUNY, Kingsborough Community Coll, New York, NY 11235 USA; [Howard, K. T.] Amer Museum Nat Hist, Dept Earth &amp; Planetary Sci, New York, NY 10024 USA</t>
  </si>
  <si>
    <t>Natural History Museum London; City University of New York (CUNY) System; American Museum of Natural History (AMNH)</t>
  </si>
  <si>
    <t>King, AJ (corresponding author), Nat Hist Museum, Dept Earth Sci, Cromwell Rd, London SW7 5BD, England.</t>
  </si>
  <si>
    <t>a.king@nhm.ac.uk</t>
  </si>
  <si>
    <t>King, Ashley/0000-0001-6113-5417; Schofield, Paul/0000-0003-0902-0588; Russell, Sara/0000-0001-5531-7847</t>
  </si>
  <si>
    <t>Science and Technology Facilities Council (STFC), UK; NASA cosmochemistry grant [NNX14AG27G]; Science and Technology Facilities Council [ST/J001473/1] Funding Source: researchfish; STFC [ST/J001473/1] Funding Source: UKRI</t>
  </si>
  <si>
    <t>Science and Technology Facilities Council (STFC), UK(UK Research &amp; Innovation (UKRI)Science &amp; Technology Facilities Council (STFC)); NASA cosmochemistry grant; Science and Technology Facilities Council(UK Research &amp; Innovation (UKRI)Science &amp; Technology Facilities Council (STFC)); STFC(UK Research &amp; Innovation (UKRI)Science &amp; Technology Facilities Council (STFC))</t>
  </si>
  <si>
    <t>We thank Kazushige Tomeoka, an anonymous reviewer and the associate editor Eric Quirico for thorough reviews that helped improve this manuscript. Caroline Smith and Deborah Cassey at the Natural History Museum, UK, and Naoya Imae at the National Institute of Polar Research, Japan, are thanked for the samples used in this study. Jens Najorka is thanked for assistance with the PSD-XRD analysis. This work was supported by the Science and Technology Facilities Council (STFC), UK (AJK, PFS, SSR) and NASA cosmochemistry grant NNX14AG27G (KTH).</t>
  </si>
  <si>
    <t>0016-7037</t>
  </si>
  <si>
    <t>1872-9533</t>
  </si>
  <si>
    <t>GEOCHIM COSMOCHIM AC</t>
  </si>
  <si>
    <t>Geochim. Cosmochim. Acta</t>
  </si>
  <si>
    <t>10.1016/j.gca.2015.05.038</t>
  </si>
  <si>
    <t>CN4VF</t>
  </si>
  <si>
    <t>WOS:000358427700011</t>
  </si>
  <si>
    <t>Klages, JP; Kuhn, G; Graham, AGC; Hillenbrand, CD; Smith, JA; Nitsche, FO; Larter, RD; Gohl, K</t>
  </si>
  <si>
    <t>Klages, J. P.; Kuhn, G.; Graham, A. G. C.; Hillenbrand, C. -D.; Smith, J. A.; Nitsche, F. O.; Larter, R. D.; Gohl, K.</t>
  </si>
  <si>
    <t>Palaeo-ice stream pathways and retreat style in the easternmost Amundsen Sea Embayment, West Antarctica, revealed by combined multibeam bathymetric and seismic data</t>
  </si>
  <si>
    <t>GEOMORPHOLOGY</t>
  </si>
  <si>
    <t>West Antarctic Ice Sheet; Glacial landforms; Subglacial geology; Basal thermal regime; Ice streams; Inter-ice stream ridge; Ice sheet retreat; Grounding-zone wedge; Abbot Ice Shelf</t>
  </si>
  <si>
    <t>PINE ISLAND BAY; SCALE GLACIAL LINEATIONS; GROUNDING-LINE RETREAT; SUBMARINE LANDFORMS; RIBBED MORAINES; FLOW DYNAMICS; WEDDELL SEA; ROSS SEA; SHEET; STABILITY</t>
  </si>
  <si>
    <t>Multibeam swath bathymetry data sets collected over the past two decades have been compiled to identify palaeo-ice stream pathways in the easternmost Amundsen Sea Embayment. We mapped similar to 3000 glacial land-forms to reconstruct ice flow in the similar to 250-km-long cross-shelf Abbot Trough. This bathymetric feature was occupied by a large ice stream, which was fed by two tributaries (Cosgrove and Abbot) and reached the continental shelf edge during the last maximum ice sheet advance. Geomorphological mapping has enabled a clear differentiation between subglacial landforms indicating warm- (e.g., megascale glacial lineations) and cold-based (e.g., hill-hole pairs) ice conditions on the continental shelf during the last glaciation. Grounding-zone wedges and recessional moraines, mapped within the palaeo-ice stream troughs and on adjacent sea-floor highs (referred to as inter-ice stream ridges) indicate grounding line stillstands or re-advances of the West Antarctic Ice Sheet during the last deglaciation of the shelf. We observe that the locations of grounding-zone wedges coincide with trough constrictions as well as local topographic highs of harder substrate. This combination of trough 'bottlenecks' and local pinning points on an otherwise retrograde slope is likely to have modified the pace of grounding-line retreat, causing the grounding zone to pause and deposit grounding-zone wedges. The episodic retreat recorded within Abbot Trough corresponds to post-glacial episodic retreat interpreted for the neighbouring Pine Island-Thwaites palaeo-ice stream trough, thus suggesting a uniform pattern of retreat across the eastern Amundsen Sea Embayment Locally, indications are strong that a change in basal thermal regime of the ice from warm- to cold-based conditions occurred prior to final retreat, as hill-hole pairs overprint megascale glacial lineations. Further, the correlation of grounding-zone wedges with geological boundaries emphasises the influence of subglacial geology on ice stream flow. Our new geomorphological map of the easternmost Amundsen Sea Embayment resolves the pathways of palaeo-ice streams that were probably all active during the last maximum extent of the ice sheet, and the extent of adjacent inter-ice stream ridges. It reveals information about the style of, and the basal thermal regime during, the subsequent grounding line retreat Such information provides an important empirical framework by which the accuracy of ice sheet models can be gauged. (C) 2015 Elsevier B.V. All rights</t>
  </si>
  <si>
    <t>[Klages, J. P.; Kuhn, G.; Gohl, K.] Helmholtz Zentrum Polar &amp; Meeresforsch, Alfred Wegener Inst, Marine Geosci, D-27568 Bremerhaven, Germany; [Graham, A. G. C.; Hillenbrand, C. -D.; Smith, J. A.; Larter, R. D.] British Antarctic Survey, Cambridge CB3 0ET, England; [Graham, A. G. C.] Univ Exeter, Coll Life &amp; Environm Sci, Exeter EX4 4RJ, Devon, England; [Nitsche, F. O.] Columbia Univ, Lamont Doherty Earth Observ, Palisades, NY 10964 USA</t>
  </si>
  <si>
    <t>Helmholtz Association; Alfred Wegener Institute, Helmholtz Centre for Polar &amp; Marine Research; UK Research &amp; Innovation (UKRI); Natural Environment Research Council (NERC); NERC British Antarctic Survey; University of Exeter; Columbia University</t>
  </si>
  <si>
    <t>Klages, JP (corresponding author), Helmholtz Zentrum Polar &amp; Meeresforsch, Alfred Wegener Inst, Marine Geosci, Alten Hafen 26, D-27568 Bremerhaven, Germany.</t>
  </si>
  <si>
    <t>Johann.Klages@awi.de</t>
  </si>
  <si>
    <t>Nitsche, Frank O/A-9343-2009</t>
  </si>
  <si>
    <t>Nitsche, Frank O/0000-0002-4137-547X; Gohl, Karsten/0000-0002-9558-2116; Kuhn, Gerhard/0000-0001-6069-7485; Graham, Alastair/0000-0002-2880-2908; Klages, Johann Philipp/0000-0003-0968-1183</t>
  </si>
  <si>
    <t>AWI; Natural Environment Research Council (NERC); NSF [ANT-0838735]; NERC [bas0100030] Funding Source: UKRI; Natural Environment Research Council [bas0100030] Funding Source: researchfish</t>
  </si>
  <si>
    <t>AWI; Natural Environment Research Council (NERC)(UK Research &amp; Innovation (UKRI)Natural Environment Research Council (NERC)); NSF(National Science Foundation (NSF)); NERC(UK Research &amp; Innovation (UKRI)Natural Environment Research Council (NERC)); Natural Environment Research Council(UK Research &amp; Innovation (UKRI)Natural Environment Research Council (NERC))</t>
  </si>
  <si>
    <t>We thank the captains, crews, and scientists who participated in all the research cruises that collected the data for this study. Furthermore, we are much obliged to J.E. Arndt (AWI) for generating an earlier version of the bathymetric grid. This study is part of the Alfred Wegener Institute research programme Polar Regions and Coasts in a changing Earth System (PACES) and the British Antarctic Survey Polar Science for Planet Earth Programme. It was funded by AWI and the Natural Environment Research Council (NERC). F. Nitsche was funded through NSF grant ANT-0838735. Finally, we would like to thank six anonymous reviewers for providing the helpful comments that improved the manuscript.</t>
  </si>
  <si>
    <t>0169-555X</t>
  </si>
  <si>
    <t>1872-695X</t>
  </si>
  <si>
    <t>Geomorphology</t>
  </si>
  <si>
    <t>10.1016/j.geomorph.2015.05.020</t>
  </si>
  <si>
    <t>CQ3OF</t>
  </si>
  <si>
    <t>WOS:000360511200015</t>
  </si>
  <si>
    <t>Lachowycz, SM; Pyle, DM; Gilbert, JS; Mather, TA; Mee, K; Naranjo, JA; Hobbs, LK</t>
  </si>
  <si>
    <t>Lachowycz, Stefan M.; Pyle, David M.; Gilbert, Jennie S.; Mather, Tamsin A.; Mee, Katy; Naranjo, Jose A.; Hobbs, Laura K.</t>
  </si>
  <si>
    <t>Glaciovolcanism at Volcan Sollipulli, southern Chile: Lithofacies analysis and interpretation</t>
  </si>
  <si>
    <t>JOURNAL OF VOLCANOLOGY AND GEOTHERMAL RESEARCH</t>
  </si>
  <si>
    <t>Volcano-ice interaction; Glaciovolcanic lithofacies; Hyaloclastite; Stratovolcano; Caldera; Paleoenvironment reconstruction</t>
  </si>
  <si>
    <t>LAST GLACIAL MAXIMUM; ANTARCTIC ICE-SHEET; LAVA-FED DELTAS; SOUTHWEST ICELAND; COOLING HISTORIES; BRITISH-COLUMBIA; MOUNT-RAINIER; ERUPTIONS; RIDGE; ENVIRONMENTS</t>
  </si>
  <si>
    <t>Magma-ice-meltwater interactions produce diverse landforms and lithofacies, reflecting the multitude of factors that influence glaciovolcanism, including both magmatic (e.g., composition, eruption rate) and glacial (e.g., ice thickness, thermal regime) conditions. This is exemplified by the walls of the partly ice-filled summit caldera of Volcan Sollipulli, a stratovolcano in southern Chile, which include lithofacies from eruptions of a wide range of magma compositions beneath or in contact with ice. Here we analyse these lithofacies and hence propose new interpretations of the eruptive and glacial history of Sollipulli. The facies include a thick, laterally extensive sequence of fragmental glaciovolcanic deposits, comprising massive, mafic lava pillow-bearing hyaloclastite overlain by sills and then hyaloclastic debris flow deposits (similar to Dalsheidi-type sequences). The distribution and thickness of these units indicate an unusual abundance of magma-meltwater interaction for an arc stratovolcano in temperate latitudes, perhaps due to eruptions beneath a thick ice cap. Coherent lava coulees, domes, lobes, and stacks of basaltic andesite-trachydacite composition are present around the top of the caldera rim; these display morphologies and fracture patterns on caldera-facing margins that indicate that the caldera was filled with ice when these lavas were erupted. The lithofacies characterised in this study demonstrate the diversity of glaciovolcanism that is possible at arc stratovolcanoes capped by temperate ice or with ice-filled calderas, and the potential for uncertainties in inference of the palaeoenvironmental conditions of their emplacement. (C) 2015 The Authors. Published by Elsevier B.V.</t>
  </si>
  <si>
    <t>[Lachowycz, Stefan M.; Pyle, David M.; Mather, Tamsin A.] Univ Oxford, Dept Earth Sci, South Parks Rd, Oxford OX1 3AN, Oxon, England; [Gilbert, Jennie S.; Hobbs, Laura K.] Univ Lancaster, Lancaster Environm Ctr, Lancaster LA1 4YQ, England; [Mee, Katy] British Geol Survey, Ctr Environm Sci, Keyworth NG12 5GG, Notts, England; [Naranjo, Jose A.] Serv Nacl Geol &amp; Mineria, Santiago, Chile</t>
  </si>
  <si>
    <t>University of Oxford; Lancaster University; UK Research &amp; Innovation (UKRI); Natural Environment Research Council (NERC); NERC British Geological Survey</t>
  </si>
  <si>
    <t>Lachowycz, SM (corresponding author), Univ Oxford, Dept Earth Sci, South Parks Rd, Oxford OX1 3AN, Oxon, England.</t>
  </si>
  <si>
    <t>stefan.lachowycz@earth.ox.ac.uk; david.pyle@earth.ox.ac.uk; j.s.gilbert@lancaster.ac.uk; tamsin.mather@earth.ox.ac.uk; katy@bgs.ac.uk; jose.naranjo@sernageomin.cl; 1.hobbs@lancaster.ac.uk</t>
  </si>
  <si>
    <t>Pyle, David M/C-5707-2009; Lachowycz, Stefan/H-9542-2013; Gilbert, Jennie/A-3243-2009; Mather, Tamsin A/A-7604-2011</t>
  </si>
  <si>
    <t>Lachowycz, Stefan/0000-0002-4380-1110; Gilbert, Jennie/0000-0002-6277-738X; Mather, Tamsin A/0000-0003-4259-7303; Hobbs, Laura/0000-0002-0344-653X; Pyle, David/0000-0002-2663-9940</t>
  </si>
  <si>
    <t>International Association of Volcanology and Chemistry of the Earth's Interior project; Natural Environment Research Council (NERC) [NE/I013210/1]; NERC [NE/I528485/1]; British Geological Survey University Funding Initiative [S198]; University College Oxford; NERC Centre for the Observation and Modelling of Earthquakes, Volcanoes and Tectonics (COMET); FONDECYT [1960186]; Lancaster University; British Geological Survey; Natural Environment Research Council [NE/I013210/1, bgs05013, NRCF010001, ceh010010] Funding Source: researchfish; NERC [NRCF010001, NE/I013210/1, bgs05013] Funding Source: UKRI</t>
  </si>
  <si>
    <t>International Association of Volcanology and Chemistry of the Earth's Interior project; Natural Environment Research Council (NERC)(UK Research &amp; Innovation (UKRI)Natural Environment Research Council (NERC)); NERC(UK Research &amp; Innovation (UKRI)Natural Environment Research Council (NERC)); British Geological Survey University Funding Initiative; University College Oxford; NERC Centre for the Observation and Modelling of Earthquakes, Volcanoes and Tectonics (COMET); FONDECYT(Comision Nacional de Investigacion Cientifica y Tecnologica (CONICYT)CONICYT FONDECYT); Lancaster University; British Geological Survey; Natural Environment Research Council(UK Research &amp; Innovation (UKRI)Natural Environment Research Council (NERC)); NERC(UK Research &amp; Innovation (UKRI)Natural Environment Research Council (NERC))</t>
  </si>
  <si>
    <t>This work was supported by the International Association of Volcanology and Chemistry of the Earth's Interior project Ice-filled calderas in the 21st Century: consequences of volcanic unrest and environmental change', Natural Environment Research Council (NERC) project 'Tempo of post-glacial volcanism in southern Chile' (NE/I013210/1), and studentships to S.M. Lachowycz from the NERC (NE/I528485/1), British Geological Survey University Funding Initiative (S198), and University College Oxford. D.M. Pyle and TA Mather are supported by and contribute to the NERC Centre for the Observation and Modelling of Earthquakes, Volcanoes and Tectonics (COMET). J.A. Naranjo acknowledges funding from FONDECYT (project 1960186). L.K. Hobbs was supported by a Lancaster University studentship and funding from the British Geological Survey. We thank Neil Slatcher (Lancaster University), Oscar Bustamente (Universidad de Chile), and Nuke Mapu guides for fieldwork assistance, as well as M. Mangan for editorial handling and J.L Smellie and an anonymous reviewer for reviews that greatly improved this article.</t>
  </si>
  <si>
    <t>0377-0273</t>
  </si>
  <si>
    <t>1872-6097</t>
  </si>
  <si>
    <t>J VOLCANOL GEOTH RES</t>
  </si>
  <si>
    <t>J. Volcanol. Geotherm. Res.</t>
  </si>
  <si>
    <t>10.1016/j.jvolgeores.2015.06.021</t>
  </si>
  <si>
    <t>CT2BW</t>
  </si>
  <si>
    <t>WOS:000362608000006</t>
  </si>
  <si>
    <t>Huenerlage, K; Buchholz, F</t>
  </si>
  <si>
    <t>Huenerlage, Kim; Buchholz, Friedrich</t>
  </si>
  <si>
    <t>Thermal limits of krill species from the high-Arctic Kongsfjord (Spitsbergen)</t>
  </si>
  <si>
    <t>Metabolic rates; Respiration; Thysanoessa inermis; Thysanoessa raschii; Meganyctiphanes norvegica; Nematoscelis megalops</t>
  </si>
  <si>
    <t>TEMPERATURE-DEPENDENT BIOGEOGRAPHY; MEGANYCTIPHANES-NORVEGICA; ANTARCTIC KRILL; EUPHAUSIA-SUPERBA; NORTHERN KRILL; CLIMATE-CHANGE; OXYGEN LIMITATION; MOLT CYCLE; BODY-MASS; ZOOPLANKTON</t>
  </si>
  <si>
    <t>The high-Arctic Kongsfjord is mainly influenced by cold Arctic water, but also receives input of warmer water from the Atlantic. In recent years, the proportion of Atlantic inflow from the south has increased. Concurrently, one temperate-boreal (Meganyctiphanes norvegica) and one subtropical-temperate (Nematoscelis megalops) krill species are now regularly found in the Kongsfjord, in addition to the previously prevailing arcto-boreal species Thysanoessa inermis and T. raschii. In light of the recent changes in these species' biogeographic distributions, we compared their physiological tolerances. Using non-invasive optical oxygen sensors, respiration measurements served to characterize metabolic responses to temperature variations. The 2 Thysanoessa spp. appeared more cold-stenotherm than the other 2 krill species: the upper level of their respiratory capacity was reached at 12 degrees C and they were less tolerant of decreasing oxygen concentrations. This finding is consistent with their arcto-boreal distribution. In contrast, M. norvegica and N. megalops exhibited higher tolerance to temperature changes, robust nutritional condition and sexual maturity. Such physiological plasticity may explain the recent northward expansion of these species' geographic range.</t>
  </si>
  <si>
    <t>[Huenerlage, Kim; Buchholz, Friedrich] Alfred Wegener Inst Helmholtz Ctr Polar &amp; Marine, D-27570 Bremerhaven, Germany</t>
  </si>
  <si>
    <t>Helmholtz Association; Alfred Wegener Institute, Helmholtz Centre for Polar &amp; Marine Research</t>
  </si>
  <si>
    <t>Huenerlage, K (corresponding author), Alfred Wegener Inst Helmholtz Ctr Polar &amp; Marine, Handelshafen 12, D-27570 Bremerhaven, Germany.</t>
  </si>
  <si>
    <t>kim.huenerlage@awi.de</t>
  </si>
  <si>
    <t>Huenerlage, Lara Kim/0000-0002-1997-4556</t>
  </si>
  <si>
    <t>French-German AWIPEV project [KOP 124, RIS ID 3451]</t>
  </si>
  <si>
    <t>French-German AWIPEV project</t>
  </si>
  <si>
    <t>We thank the captains of the Kings Bay AS workboat MS 'Teisten'. We are grateful for the professional support by the lab leaders of the Kings Bay Marine Lab, the AWIPEV station leaders and (logistic) engineers at Ny-Alesund, Spitsbergen. The data from the COSYNA data web portal were originally provided by Prof. Dr. Philipp Fischer (AWI), Dr. Gisbert Breitbach (HZG), Prof. Dr. Burkard Baschek (HZG) and Dr. Friedhelm Schroeder (HZG). We are grateful to James A. Bradley (University of Bristol, UK) for the final language edit. This work was supported by the French-German AWIPEV project KOP 124, RIS ID 3451.</t>
  </si>
  <si>
    <t>10.3354/meps11408</t>
  </si>
  <si>
    <t>CR9RJ</t>
  </si>
  <si>
    <t>WOS:000361694000006</t>
  </si>
  <si>
    <t>Oh, ES; Edgar, GJ; Kirkpatrick, JB; Stuart-Smith, RD; Barrett, NS</t>
  </si>
  <si>
    <t>Oh, E. S.; Edgar, G. J.; Kirkpatrick, J. B.; Stuart-Smith, R. D.; Barrett, N. S.</t>
  </si>
  <si>
    <t>Broad-scale impacts of salmon farms on temperate macroalgal assemblages on rocky reefs</t>
  </si>
  <si>
    <t>Aquaculture; Fishes; Benthic macrofauna; Invertebrates; Organic pollution; Tasmania</t>
  </si>
  <si>
    <t>PHYTAL ANIMAL COMMUNITIES; FISH FARM; NUTRIENT ENRICHMENT; POSIDONIA-OCEANICA; FUCUS-VESICULOSUS; SHORE COMMUNITIES; ECOLOGICAL STATUS; WAVE EXPOSURE; RESPONSES; GROWTH</t>
  </si>
  <si>
    <t>Intensive fish culture in open sea pens delivers large amounts of nutrients to coastal environments. Relative to particulate waste impacts, the ecological impacts of dissolved wastes are poorly known despite their potential to substantially affect nutrient-assimilating components of surrounding ecosystems. Broad-scale enrichment effects of salmonid farms on Tasmanian reef communities were assessed by comparing macroalgal cover at four fixed distances from active fish farm leases across 44 sites. Macroalgal assemblages differed significantly between sites immediately adjacent (100 m) to fish farms and reference sites at 5 km distance, while sites at 400 m and 1 km exhibited intermediate characteristics. Epiphyte cover varied consistently with fish farm impacts in both sheltered and exposed locations. The green algae Chaetomorpha spp. predominated near fish farms at swell-exposed sites, whereas filamentous green algae showed elevated densities near sheltered farms. Cover of canopy-forming perennial algae appeared unaffected by fish farm impacts. (C) 2015 Elsevier Ltd. All rights reserved.</t>
  </si>
  <si>
    <t>[Oh, E. S.; Edgar, G. J.; Stuart-Smith, R. D.; Barrett, N. S.] Univ Tasmania, Inst Marine &amp; Antarctic Studies, Hobart, Tas 7001, Australia; [Kirkpatrick, J. B.] Univ Tasmania, Geog &amp; Environm Studies, Hobart, Tas 7001, Australia</t>
  </si>
  <si>
    <t>University of Tasmania; University of Tasmania</t>
  </si>
  <si>
    <t>Oh, ES (corresponding author), IMAS Taroona, Taroona, Tas 7053, Australia.</t>
  </si>
  <si>
    <t>Elizabeth.Oh@utas.edu.au</t>
  </si>
  <si>
    <t>Stuart-Smith, Rick D/M-1829-2013; Edgar, Graham/AAY-3797-2020; Stuart-Smith, Rick/I-5214-2019; Barrett, Neville/J-7593-2014</t>
  </si>
  <si>
    <t>Stuart-Smith, Rick D/0000-0002-8874-0083; Edgar, Graham/0000-0003-0833-9001; Stuart-Smith, Rick/0000-0002-8874-0083; Oh, Elizabeth/0000-0001-7061-5068; Barrett, Neville/0000-0002-6167-1356; Kirkpatrick, James/0000-0003-2763-2692</t>
  </si>
  <si>
    <t>10.1016/j.marpolbul.2015.06.049</t>
  </si>
  <si>
    <t>WOS:000362134100033</t>
  </si>
  <si>
    <t>Shakun, JD; Lea, DW; Lisiecki, LE; Raymo, ME</t>
  </si>
  <si>
    <t>Shakun, Jeremy D.; Lea, David W.; Lisiecki, Lorraine E.; Raymo, Maureen E.</t>
  </si>
  <si>
    <t>An 800-kyr record of global surface ocean δ18O and implications for ice volume-temperature coupling</t>
  </si>
  <si>
    <t>marine oxygen isotope record; glacial cycles; Pleistocene; ice volume; global temperature</t>
  </si>
  <si>
    <t>DEEP-SEA-TEMPERATURE; OXYGEN ISOTOPIC COMPOSITION; CARBON-DIOXIDE; CLIMATE VARIABILITY; ANTARCTIC CLIMATE; GLACIAL CYCLES; LEVEL; FORAMINIFERA; PLIOCENE; PACIFIC</t>
  </si>
  <si>
    <t>The sequence of feedbacks that characterized 100-kyr glacial cycles of the past million years remains uncertain, hampering an understanding of the interconnections between insolation, ice sheets, greenhouse gas forcing, and climate. Critical to addressing this issue is an accurate interpretation of the marine delta O-18 record, the main template for the Ice Ages. This study uses a global compilation of 49 paired sea surface temperature-planktonic delta O-18 records to extract the mean delta O-18 of surface ocean seawater over the past 800 kyr, which we interpret to dominantly reflect global ice volume. The results indicate that global surface temperature, inferred deep ocean temperature, and atmospheric CO2 decrease early during each glacial cycle in close association with one another, whereas major ice sheet growth occurs later in glacial cycles. These relationships suggest that ice volume may have exhibited a threshold response to global cooling, and that global deglaciations do not occur until after the growth of large ice sheets. This phase sequence also suggests that the ice sheets had relatively little feedback on global cooling. Simple modeling shows that the rate of ice volume change through time is largely determined by the combined influence of insolation, temperature, and ice sheet size, with possible implications for the evolution of glacial cycles over the past three million years. (C) 2015 Elsevier B.V. All rights reserved.</t>
  </si>
  <si>
    <t>[Shakun, Jeremy D.] Boston Coll, Dept Earth &amp; Environm Sci, Chestnut Hill, MA 02467 USA; [Lea, David W.; Lisiecki, Lorraine E.] Univ Calif Santa Barbara, Dept Earth Sci, Santa Barbara, CA 93106 USA; [Raymo, Maureen E.] Columbia Univ, Lamont Doherty Earth Observ, Palisades, NY 10964 USA</t>
  </si>
  <si>
    <t>Boston College; University of California System; University of California Santa Barbara; Columbia University</t>
  </si>
  <si>
    <t>Shakun, JD (corresponding author), Boston Coll, Dept Earth &amp; Environm Sci, Chestnut Hill, MA 02467 USA.</t>
  </si>
  <si>
    <t>jeremy.shalcun@bc.edu</t>
  </si>
  <si>
    <t>Raymo, Maureen E/A-1270-2012; Lisiecki, Lorraine E/C-4066-2008</t>
  </si>
  <si>
    <t>Lisiecki, Lorraine/0000-0001-7859-0096</t>
  </si>
  <si>
    <t>NOAA Climate and Global Change Postdoctoral Fellowship; Boston College; NSF [OCE-1260696, OCE-1202632]; Directorate For Geosciences [1260696] Funding Source: National Science Foundation; Division Of Ocean Sciences [1260696] Funding Source: National Science Foundation</t>
  </si>
  <si>
    <t>NOAA Climate and Global Change Postdoctoral Fellowship(National Oceanic Atmospheric Admin (NOAA) - USA); Boston College; NSF(National Science Foundation (NSF)); Directorate For Geosciences(National Science Foundation (NSF)NSF - Directorate for Geosciences (GEO)); Division Of Ocean Sciences(National Science Foundation (NSF)NSF - Directorate for Geosciences (GEO))</t>
  </si>
  <si>
    <t>We gratefully acknowledge the researchers that developed the datasets used here, and the NOAA Paleoclimatology and Pangaea databases. JDS was supported by a NOAA Climate and Global Change Postdoctoral Fellowship and Boston College start-up funds. DWL acknowledges the support of NSF OCE-1260696. MER acknowledges the support of NSF OCE-1202632.</t>
  </si>
  <si>
    <t>10.1016/j.epsl.2015.05.042</t>
  </si>
  <si>
    <t>WOS:000359033400006</t>
  </si>
  <si>
    <t>Huang, YS; Aponte, JC; Zhao, JJ; Tarozo, R; Hallmann, C</t>
  </si>
  <si>
    <t>Huang, Yongsong; Aponte, Jose C.; Zhao, Jiaju; Tarozo, Rafael; Hallmann, Christian</t>
  </si>
  <si>
    <t>Hydrogen and carbon isotopic ratios of polycyclic aromatic compounds in two CM2 carbonaceous chondrites and implications for prebiotic organic synthesis</t>
  </si>
  <si>
    <t>carbonaceous chondrites; Murchison; hydrogen isotopic ratios; PAHs; astrobiology</t>
  </si>
  <si>
    <t>EARLY SOLAR-SYSTEM; AMINO-ACIDS; DEUTERIUM ENRICHMENT; MONOCARBOXYLIC ACIDS; HYDROCARBONS; METEORITES; MATTER; CONSTITUENTS; PARTICLES; EXCHANGE</t>
  </si>
  <si>
    <t>Study of meteoritic organic compounds offers a unique opportunity to understand the origins of the organic matter in the early Solar System. Meteoritic polycyclic aromatic hydrocarbons (PAHs) and heteropolycyclic aromatic compounds (HACs) have been studied for over fifty years, however; their hydrogen stable isotopic ratios (delta D) have never been reported. Compound-specific delta D measurements of PAHs and HACs are important, in part because the carbon isotopic ratios (delta C-13) of various meteoritic PAHs cannot be readily distinguished from their terrestrial counterparts and it is difficult to rule out terrestrial contamination based on carbon isotopic ratios alone. In this study, we have extracted and identified more than sixty PAHs and HACs present in two CM2 carbonaceous chondrites Murchison and LON 94101. Their carbon and hydrogen stable isotopic ratios (delta C-13 and delta D) were measured and used to discuss about their synthetic environments and formation mechanisms. The concentration of aromatic compounds is similar to 30% higher in Murchison than in the Antarctic meteorite LON 94101, but both samples contained similar suites of PAHs and HACs. All PAHs and HACs found exhibited positive delta D values (up to 1100 parts per thousand) consistent with an extraterrestrial origin, indicating the relatively low delta C-13 values are indeed an inherent feature of the meteoritic aromatic compounds. The hydrogen isotopic data suggest aromatic compounds in carbonaceous chondrites were mainly formed in the cold interstellar environments. Molecular level variations in hydrogen and carbon isotopic values offer new insights to the formation pathways for the aromatic compounds in carbonaceous chondrites. (C) 2015 Elsevier B.V. All rights reserved.</t>
  </si>
  <si>
    <t>[Huang, Yongsong; Aponte, Jose C.; Zhao, Jiaju; Tarozo, Rafael] Brown Univ, Dept Earth Environm &amp; Planetary Sci, Providence, RI 02912 USA; [Hallmann, Christian] Univ Bremen, Max Planck Inst Biogeochem, D-28359 Bremen, Germany; [Hallmann, Christian] Univ Bremen, MARUM, D-28359 Bremen, Germany</t>
  </si>
  <si>
    <t>Brown University; Max Planck Society; University of Bremen; University of Bremen</t>
  </si>
  <si>
    <t>Huang, YS (corresponding author), Brown Univ, Dept Earth Environm &amp; Planetary Sci, Providence, RI 02912 USA.</t>
  </si>
  <si>
    <t>yongsong_huang@brown.edu</t>
  </si>
  <si>
    <t>Hallmann, Christian/D-2477-2009; Aponte, Jose C./B-9091-2013</t>
  </si>
  <si>
    <t>Aponte, Jose C./0000-0002-0131-1981; Hallmann, Christian/0000-0003-3696-7371</t>
  </si>
  <si>
    <t>NASA Astrobiology and Exobiology grant [NNX09AM82G]; NASA [NNX09AM82G, 113071] Funding Source: Federal RePORTER</t>
  </si>
  <si>
    <t>NASA Astrobiology and Exobiology grant; NASA(National Aeronautics &amp; Space Administration (NASA))</t>
  </si>
  <si>
    <t>This research was supported by NASA Astrobiology and Exobiology grant NNX09AM82G to YH. JCA is grateful to the NASA Postdoctoral Program Administered by Oak Ridge Associated Universities. The authors would like to thank T. McCoy, L. Welzenbach, and the Smithsonian National Museum of Natural History - Division of Meteorites for providing a fragment of the Murchison meteorite used in this study.</t>
  </si>
  <si>
    <t>10.1016/j.epsl.2015.06.027</t>
  </si>
  <si>
    <t>WOS:000359033400010</t>
  </si>
  <si>
    <t>Parker, RWR; Vázquez-Rowe, I; Tyedmers, PH</t>
  </si>
  <si>
    <t>Parker, Robert W. R.; Vazquez-Rowe, Ian; Tyedmers, Peter H.</t>
  </si>
  <si>
    <t>Fuel performance and carbon footprint of the global purse seine tuna fleet</t>
  </si>
  <si>
    <t>JOURNAL OF CLEANER PRODUCTION</t>
  </si>
  <si>
    <t>Tuna fisheries; Energy use; Fuel use; Life cycle assessment; Purse seine; FADs</t>
  </si>
  <si>
    <t>LIFE-CYCLE ASSESSMENT; ENVIRONMENTAL IMPACTS; FISH; FISHERIES; PRODUCTS; FILLETS; CAUGHT; BEHAVIOR; NORWAY; POINT</t>
  </si>
  <si>
    <t>Modern commercial fisheries are heavily dependent on the input of fossil fuels throughout their supply chains, particularly diesel inputs to fishing vessels. Fuel use intensity of fisheries varies with regard to target species, gears employed, region of fishing, technologies used, skipper behaviour, and other factors. Those fisheries that consume relatively less fuel not only have a lower carbon footprint, up to the point of landing, but are also in a favourable position to meet future fuel and emissions regulations, and may be more resilient to the effects of volatile fuel prices and limited oil resources. We measured fuel inputs to purse seining vessels targeting primarily skipjack (Katsuwonus pelamis) and yellowfin (Thunnus albacores) tuna. Data reported represent 28% of worldwide landings of skipjack and yellowfin by purse seiners in 2009. These vessels burned, on average, 368 L of fuel per tonne of wet weight landings. This corresponds to a fuel-related carbon footprint of 1.1 kg CO2 per landed kg of tuna, lower than that of average marine capture fisheries as well as most forms of land-based animal protein production. Interestingly, the use of FADs in purse seine fisheries for tuna was found to be inversely correlated with efficiency, going against conventional logic that FAD use improves efficiency. This study is the largest snapshot of tuna fuel inputs to date, providing a baseline against which future performance can be measured, and an indicator for consumers concerned about the carbon footprint of their food choices. (C) 2014 Elsevier Ltd. All rights reserved.</t>
  </si>
  <si>
    <t>[Parker, Robert W. R.] Univ Tasmania, Inst Marine &amp; Antarctic Studies, Hobart, Tas, Australia; [Vazquez-Rowe, Ian] Univ Santiago de Compostela, Dept Chem Engn, Santiago De Compostela, Spain; [Vazquez-Rowe, Ian] Pontificia Univ Catolica Peru, Dept Engn, Red Peruana Ciclo Vida, Lima, Peru; [Tyedmers, Peter H.] Dalhousie Univ, Sch Resource &amp; Environm Studies, Halifax, NS, Canada; [Tyedmers, Peter H.] Dalhousie Univ, Coll Sustainabil, Halifax, NS, Canada</t>
  </si>
  <si>
    <t>University of Tasmania; Universidade de Santiago de Compostela; Pontificia Universidad Catolica del Peru; Dalhousie University; Dalhousie University</t>
  </si>
  <si>
    <t>Parker, RWR (corresponding author), IMAS Taroona Private Bag 49, Hobart, Tas 7001, Australia.</t>
  </si>
  <si>
    <t>robert.parker@utas.edu.au</t>
  </si>
  <si>
    <t>Vázquez-Rowe, Ian/JRY-6839-2023; Parker, Robert/J-4476-2012; Tyedmers, Peter/N-1334-2019</t>
  </si>
  <si>
    <t>Parker, Robert/0000-0003-1910-8081; Tyedmers, Peter/0000-0002-5150-0756; Vazquez-Rowe, Ian/0000-0002-7469-2033</t>
  </si>
  <si>
    <t>International Seafood Sustainability Foundation</t>
  </si>
  <si>
    <t>The authors would like to acknowledge the International Seafood Sustainability Foundation for providing financial support and assistance in data collection. Particular appreciation is paid to Dr. Victor Restrepo at ISSF.</t>
  </si>
  <si>
    <t>0959-6526</t>
  </si>
  <si>
    <t>1879-1786</t>
  </si>
  <si>
    <t>J CLEAN PROD</t>
  </si>
  <si>
    <t>J. Clean Prod.</t>
  </si>
  <si>
    <t>10.1016/j.jclepro.2014.05.017</t>
  </si>
  <si>
    <t>Green &amp; Sustainable Science &amp; Technology; Engineering, Environmental; Environmental Sciences</t>
  </si>
  <si>
    <t>Science &amp; Technology - Other Topics; Engineering; Environmental Sciences &amp; Ecology</t>
  </si>
  <si>
    <t>CL5HQ</t>
  </si>
  <si>
    <t>WOS:000356990800050</t>
  </si>
  <si>
    <t>Heinonen, JS; Jennings, ES; Riley, TR</t>
  </si>
  <si>
    <t>Heinonen, Jussi S.; Jennings, Eleanor S.; Riley, Teal R.</t>
  </si>
  <si>
    <t>Crystallisation temperatures of the most Mg-rich magmas of the Karoo LIP on the basis of Al-in-olivine thermometry</t>
  </si>
  <si>
    <t>CHEMICAL GEOLOGY</t>
  </si>
  <si>
    <t>Karoo; Large igneous province; Continental flood basalt; Picrite; Thermometry</t>
  </si>
  <si>
    <t>DRONNING-MAUD-LAND; LARGE IGNEOUS PROVINCES; DYKE SWARM; 40AR/39AR GEOCHRONOLOGY; EAST ANTARCTICA; GIANT OKAVANGO; JURASSIC DYKES; TRACE-ELEMENT; FLOOD BASALTS; MANTLE</t>
  </si>
  <si>
    <t>Calculating reliable temperatures of Mg-rich magmas is problematic because melt composition and KD(Fe-Mg)(ol-liq), the key parameters of many traditional thermometers, are difficult to constrain precisely. The recently developed Al-in-olivine thermometer [Coogan, L.A., Saunders, A.D.,Wilson, R.N., 2014. Aluminium-in-olivine thermometry of primitive basalts: Evidence of an anomalously hot mantle source for large igneous provinces. Chemical Geology 368, 1-10] circumvents these problems by relying on the temperature-dependent exchange of Al between olivine and spinel crystallising in equilibrium with each other. This thermometer is used to re-evaluate the crystallisation temperatures of most Mg-rich magma type identified from the Karoo large igneous province (LIP), known as the Vestfjella depleted ferropicrite suite. Previous temperature estimates for the suite were based on olivine-melt equilibria and indicated anomalously high crystallisation temperatures in excess of 1600 degrees C. We also present crystallisation temperatures for another Antarctic Karoo magma type, Group 3 dykes from Ahlmannryggen, which are derived from a pyroxene-rich mantle source. Our high-precision analysis of Al in olivine-spinel pairs indicate crystallisation temperatures from 1391 +/- 42 degrees C to 1481 +/- 35 degrees C for the Vestfjella depleted ferropicrite suite (Fo(88-92)) and from 1253 +/- 64 degrees C to 1303 +/- 40 degrees C for the Group 3 dykes (Fo(79-82)). Although the maximum temperature estimates for the former are over 100 degrees C lower than the previously presented estimates, they are still similar to 200 degrees C higher than those calculated for mid-ocean ridge basalts using the same method. Although exact mantle potential temperatures are difficult to estimate, the presented results support elevated sub-Gondwanan upper mantle temperatures (generated by a mantle plume or internal mantle heating) during the generation of the Karoo LIP. (C) 2015 Elsevier B.V. All rights reserved.</t>
  </si>
  <si>
    <t>[Heinonen, Jussi S.] Univ Helsinki, Finnish Museum Nat Hist, FIN-00014 Helsinki, Finland; [Jennings, Eleanor S.] Univ Cambridge, Dept Earth Sci, Cambridge CB2 3EQ, England; [Riley, Teal R.] British Antarctic Survey, Cambridge CB3 0ET, England</t>
  </si>
  <si>
    <t>University of Helsinki; University of Cambridge; UK Research &amp; Innovation (UKRI); Natural Environment Research Council (NERC); NERC British Antarctic Survey</t>
  </si>
  <si>
    <t>Heinonen, JS (corresponding author), Univ Helsinki, Finnish Museum Nat Hist, POB 44, FIN-00014 Helsinki, Finland.</t>
  </si>
  <si>
    <t>jussi.s.heinonen@helsinki.fi; esj26@cam.ac.uk; trr@bas.ac.uk</t>
  </si>
  <si>
    <t>; Heinonen, Jussi/L-6152-2013</t>
  </si>
  <si>
    <t>Jennings, Eleanor/0000-0001-9828-810X; Riley, Teal/0000-0002-3333-5021; Heinonen, Jussi/0000-0001-8998-4357</t>
  </si>
  <si>
    <t>Academy of Finland [252652]; Natural Environment Research Council studentship [NE/J500070/1]; Academy of Finland (AKA) [252652] Funding Source: Academy of Finland (AKA); Natural Environment Research Council [bas0100029, 1095644] Funding Source: researchfish; NERC [NE/J500070/1, bas0100029] Funding Source: UKRI</t>
  </si>
  <si>
    <t>Academy of Finland(Research Council of Finland); Natural Environment Research Council studentship(UK Research &amp; Innovation (UKRI)Natural Environment Research Council (NERC)); Academy of Finland (AKA); Natural Environment Research Council(UK Research &amp; Innovation (UKRI)Natural Environment Research Council (NERC)); NERC(UK Research &amp; Innovation (UKRI)Natural Environment Research Council (NERC))</t>
  </si>
  <si>
    <t>Comments by Dante Canil and Klaus Mezger (Editor) greatly improved the manuscript, and a comment by an anonymous reviewer encouraged us to emphasise the importance of the results. Iris Buisman is warmly thanked for her competent management of the microprobe at Cambridge. Riina Puttonen is thanked for picking some of the olivines from crushed whole-rocks for the analyses. Laurence Coogan provided support in constraining the errors for the thermometer. Arto Luttinen is thanked for his general support of the work. This work has been funded by the Academy of Finland (for J.S.H., Grant no. 252652) and a Natural Environment Research Council studentship (for E.S.J., [NE/J500070/1]).</t>
  </si>
  <si>
    <t>0009-2541</t>
  </si>
  <si>
    <t>1872-6836</t>
  </si>
  <si>
    <t>CHEM GEOL</t>
  </si>
  <si>
    <t>Chem. Geol.</t>
  </si>
  <si>
    <t>SEP 14</t>
  </si>
  <si>
    <t>10.1016/j.chemgeo.2015.06.015</t>
  </si>
  <si>
    <t>CP6SK</t>
  </si>
  <si>
    <t>WOS:000360018300004</t>
  </si>
  <si>
    <t>Brand, U; Azmy, K; Griesshaber, E; Bitner, MA; Logan, A; Zuschin, M; Ruggiero, E; Colin, PL</t>
  </si>
  <si>
    <t>Brand, Uwe; Azmy, K.; Griesshaber, E.; Bitner, M. A.; Logan, A.; Zuschin, M.; Ruggiero, E.; Colin, P. L.</t>
  </si>
  <si>
    <t>Carbon isotope composition in modern brachiopod calcite: A case of equilibrium with seawater?</t>
  </si>
  <si>
    <t>Modern brachiopod calcite; delta C-13 values; Equilibrium fractionation; Secondary &amp; tertiary layers; Carbon-isotope associated effects; Dissolved inorganic carbon; Productivity; Upwelling</t>
  </si>
  <si>
    <t>BIOLOGICAL CARBONATES; CHEMICAL DIAGENESIS; STABLE-ISOTOPES; SHELL CALCITE; OXYGEN; FRACTIONATION; C-13; RECORDS; GEOCHEMISTRY; DELTA-C-13</t>
  </si>
  <si>
    <t>We examined a large number of modern, shallow-water articulated brachiopods representing the orders Terebratulida, Rhynchonellida, Thecideida and one inarticulated brachiopod of the order Craniida from polar to tropical regions for their carbon isotope compositions. Based on our detailed investigation, we recommend avoiding fast growth areas such as the youngest shell increments; in addition, the primary layer and transition zone calcites of brachiopods must be avoided because they are in carbon and oxygen isotope disequilibrium with ambient seawater. After adjusting isotope compositions for the Mg effect, we observed no significant difference (p &gt; 0.05) in delta C-13 values between dorsal and ventral valves of our articulated brachiopods. Using the calcite-bicarbonate enrichment factor (epsilon) in conjunction with delta C-13 values of dissolved inorganic carbon of habitat seawater, we conclude that modern shallow-water articulated and some inarticulated brachiopods incorporate oxygen (Brand et al., 2013) and carbon isotopes into shell calcite of secondary and/or tertiary layers in apparent equilibrium with ambient seawater. Within the general concept of equilibrium incorporation, with seawater, shell d13C values are an excellent recorder of local/global seawater environments and water mass circulation. Thus, application of the Mg-effect permits brachiopods to be an extremely powerful archive, and delta C-13 values more precise proxy and tracer of past changes in marine productivity, evolution of seawater carbon chemistry and variation in the global carbon cycle. (C) 2015 Elsevier B.V. All rights reserved.</t>
  </si>
  <si>
    <t>[Brand, Uwe] Brock Univ, Dept Earth Sci, St Catharines, ON L2S 3A1, Canada; [Azmy, K.] Mem Univ Newfoundland, Dept Earth Sci, St John, NF A1B 3X5, Canada; [Griesshaber, E.] Univ Munich, Dept Geo &amp; Umweltwissensch, D-80333 Munich, Germany; [Bitner, M. A.] Polish Acad Sci, Inst Paleobiol, PL-00818 Warsaw, Poland; [Logan, A.] Univ New Brunswick, Ctr Coastal Studies, St John, NB E2L 4L5, Canada; [Zuschin, M.] Univ Vienna, Dept Paleontol, A-1090 Vienna, Austria; [Ruggiero, E.] Univ Naples Federico II, Dipartimento Sci Terra, I-801380 Naples, Italy; [Colin, P. L.] Coral Reef Res Fdn, Koror 96940, Palau</t>
  </si>
  <si>
    <t>Brock University; Memorial University Newfoundland; University of Munich; Polish Academy of Sciences; Institute of Paleobiology of the Polish Academy of Sciences; University of New Brunswick; University of Vienna; University of Naples Federico II</t>
  </si>
  <si>
    <t>Brand, U (corresponding author), Brock Univ, Dept Earth Sci, St Catharines, ON L2S 3A1, Canada.</t>
  </si>
  <si>
    <t>uwe.brand@brocku.ca</t>
  </si>
  <si>
    <t>Bitner, Maria/ABF-5623-2020; Zuschin, Martin/M-9951-2016</t>
  </si>
  <si>
    <t>Bitner, Maria/0000-0002-2864-2967; Zuschin, Martin/0000-0002-5235-0198; Wang, yonghui/0000-0001-8120-2584</t>
  </si>
  <si>
    <t>Brock University Chancellor's Research Chair award [CRC-08]; NSERC [7961-09]</t>
  </si>
  <si>
    <t>Brock University Chancellor's Research Chair award; NSERC(Natural Sciences and Engineering Research Council of Canada (NSERC))</t>
  </si>
  <si>
    <t>We thank the reviewers and editor-in-chief M. Boettcher for their helpful comments that improved the manuscript. M. Lozon (drafting) and M. Ouellette (laboratory) of Brock University, and Patricia Wickham of the University of Ottawa (isotopes) are acknowledged for technical assistance. Other individuals provided valuable field assistance: B. Durzi, T. Durzi, N. Buckles (Cayman Islands), G. Maddock (Bermuda), S. Thomas (Barbados), D. Duggins, D. Willows, W. Krieger (Friday Harbor), G. Lundie, J. Batstone, CNSC (Churchill - Hudson Bay), M. Strong, M. Ines-Buzeta (Bay of Fundy), R. Donnel (OSC-MUN), and A. Zaky (Red Sea). Specimens were collected under license RE-12-23 issued by the Bureau of Marine Resources, Republic of Palau, and under section 52 by the Department of Fisheries and Oceans (Canada) for Bay of Fundy National Marine Park. A special thank you to L. Peck (British Antarctic Survey) who provided specimens from Signy Island. This work was supported by a Brock University Chancellor's Research Chair award CRC-08 and by NSERC grant 7961-09 to UB.</t>
  </si>
  <si>
    <t>10.1016/j.chemgeo.2015.06.021</t>
  </si>
  <si>
    <t>WOS:000360018300009</t>
  </si>
  <si>
    <t>Lee, CW; Kim, JE; Do, H; Kim, RO; Lee, SG; Park, HH; Chang, JH; Yim, JH; Park, H; Kim, IC; Lee, JH</t>
  </si>
  <si>
    <t>Lee, Chang Woo; Kim, Jung Eun; Do, Hackwon; Kim, Ryeo-Ok; Lee, Sung Gu; Park, Hyun Ho; Chang, Jeong Ho; Yim, Joung Han; Park, Hyun; Kim, Il-Chan; Lee, Jun Hyuck</t>
  </si>
  <si>
    <t>Structural basis for the ligand-binding specificity of fatty acid-binding proteins (pFABP4 and pFABP5) in gentoo penguin</t>
  </si>
  <si>
    <t>BIOCHEMICAL AND BIOPHYSICAL RESEARCH COMMUNICATIONS</t>
  </si>
  <si>
    <t>Fatty acid-binding protein; beta-barrel protein; Crystal structure; Gentoo penguin (Pygoscelis papua); X-ray crystallography</t>
  </si>
  <si>
    <t>BACKBONE DYNAMICS; CRYSTAL-STRUCTURE; LIVER</t>
  </si>
  <si>
    <t>Fatty acid-binding proteins (FABPs) are involved in transporting hydrophobic fatty acids between various aqueous compartments of the cell by directly binding ligands inside their beta-barrel cavities. Here, we report the crystal structures of ligand-unbound pFABP4, linoleate-bound pFABP4, and palmitate-bound pFABP5, obtained from gentoo penguin (Pygoscelis papua), at a resolution of 2.1 angstrom, 2.2 angstrom, and 2.3 angstrom, respectively. The pFABP4 and pFABP5 proteins have a canonical beta-barrel structure with two short alpha-helices that form a cap region and fatty acid ligand binding sites in the hydrophobic cavity within the beta-barrel structure. Linoleate-bound pFABP4 and palmitate-bound pFABP5 possess different ligand-binding modes and a unique ligand-binding pocket due to several sequence dissimilarities (A76/L78, T30/M32, underlining indicates pFABP4 residues) between the two proteins. Structural comparison revealed significantly different conformational changes in the beta 3-beta 4 loop region (residues 57-62) as well as the flipped Phe60 residue of pFABP5 than that in pFABP4 (the corresponding residue is Phe58). A ligand-binding study using fluorophore displacement assays shows that pFABP4 has a relatively strong affinity for linoleate as compared to pFABP5. In contrast, pFABP5 exhibits higher affinity for palmitate than that for pFABP4. In conclusion, our high-resolution structures and ligand-binding studies provide useful insights into the ligand-binding preferences of pFABPs based on key protein-ligand interactions. (C) 2015 Elsevier Inc. All rights reserved.</t>
  </si>
  <si>
    <t>[Lee, Chang Woo; Kim, Jung Eun; Do, Hackwon; Kim, Ryeo-Ok; Lee, Sung Gu; Yim, Joung Han; Park, Hyun; Kim, Il-Chan; Lee, Jun Hyuck] Korea Polar Res Inst, Div Polar Life Sci, Inchon 406840, South Korea; [Lee, Chang Woo; Lee, Sung Gu; Park, Hyun; Lee, Jun Hyuck] Univ Sci &amp; Technol, Dept Polar Sci, Inchon 406840, South Korea; [Park, Hyun Ho] Yeungnam Univ, Sch Biotechnol, Dept Biochem, Gyongsan, South Korea; [Park, Hyun Ho] Yeungnam Univ, Grad Sch Biochem, Gyongsan, South Korea; [Chang, Jeong Ho] Kyungpook Natl Univ, Dept Biol Educ, Taegu 702701, South Korea; [Kim, Jung Eun] Sungkyunkwan Univ, Grad Sch, Dept Pharm, Suwon 440746, South Korea</t>
  </si>
  <si>
    <t>Korea Institute of Ocean Science &amp; Technology (KIOST); Korea Polar Research Institute (KOPRI); Yeungnam University; Yeungnam University; Kyungpook National University; Sungkyunkwan University (SKKU)</t>
  </si>
  <si>
    <t>Lee, JH (corresponding author), Korea Polar Res Inst, Div Polar Life Sci, Inchon 406840, South Korea.</t>
  </si>
  <si>
    <t>ickim@kopri.re.kr; junhyucklee@kopri.re.kr</t>
  </si>
  <si>
    <t>park, hyun ho/D-2627-2011</t>
  </si>
  <si>
    <t>Park, Hyun/0000-0002-8055-2010; , Hackwon/0000-0001-7663-2010; park, hyun ho/0000-0001-9928-0847</t>
  </si>
  <si>
    <t>Ministry of Oceans and Fisheries, Korea [PM14050]; Antarctic organisms: Cold-Adaptation Mechanisms and its application grant - Korea Polar Research Institute; Basic Science Research Program through the National Research Foundation of Korea (NRF) - Ministry of Education, Science and Technology [2013R1A1A1061391]</t>
  </si>
  <si>
    <t>Ministry of Oceans and Fisheries, Korea; Antarctic organisms: Cold-Adaptation Mechanisms and its application grant - Korea Polar Research Institute; Basic Science Research Program through the National Research Foundation of Korea (NRF) - Ministry of Education, Science and Technology</t>
  </si>
  <si>
    <t>We would like to thank the staff at the X-ray core facility of Korea Basic Science Institute (KBSI) (Ochang, Korea) and BL-7A of the Pohang Accelerator Laboratory (Pohang, Korea) for their kind help with data collection. This research was supported by a grant for the project titled Korea-Polar Ocean Development: K-POD (project no. PM14050) funded by the Ministry of Oceans and Fisheries, Korea and this work was also supported by the Antarctic organisms: Cold-Adaptation Mechanisms and its application grant (PE15070) funded by the Korea Polar Research Institute and Basic Science Research Program through the National Research Foundation of Korea (NRF) funded by the Ministry of Education, Science and Technology to JHC (2013R1A1A1061391).</t>
  </si>
  <si>
    <t>0006-291X</t>
  </si>
  <si>
    <t>1090-2104</t>
  </si>
  <si>
    <t>BIOCHEM BIOPH RES CO</t>
  </si>
  <si>
    <t>Biochem. Biophys. Res. Commun.</t>
  </si>
  <si>
    <t>SEP 11</t>
  </si>
  <si>
    <t>10.1016/j.bbrc.2015.07.087</t>
  </si>
  <si>
    <t>Biochemistry &amp; Molecular Biology; Biophysics</t>
  </si>
  <si>
    <t>CR5XI</t>
  </si>
  <si>
    <t>WOS:000361417300004</t>
  </si>
  <si>
    <t>Pointing, SB; Büdel, B; Convey, P; Gillman, LN; Körner, C; Leuzinger, S; Vincent, WF</t>
  </si>
  <si>
    <t>Pointing, Stephen B.; Buedel, Burkhard; Convey, Peter; Gillman, Len N.; Koerner, Christian; Leuzinger, Sebastian; Vincent, Warwick F.</t>
  </si>
  <si>
    <t>Biogeography of photoautotrophs in the high polar biome</t>
  </si>
  <si>
    <t>FRONTIERS IN PLANT SCIENCE</t>
  </si>
  <si>
    <t>antarctic; arctic; bryophytes; cryptogams; cyanobacteria; lichen; plantbiogeography</t>
  </si>
  <si>
    <t>SOUTHERN VICTORIA LAND; MCMURDO DRY VALLEYS; CO2 GAS-EXCHANGE; DESICCATION-TOLERANCE; ENVIRONMENTAL-CHANGE; MICROBIAL DIVERSITY; EVOLUTIONARY SPEED; ARCTIC VEGETATION; SPECIES-DIVERSITY; VASCULAR PLANTS</t>
  </si>
  <si>
    <t>The global latitudinal gradient in biodiversity weakens in the high polar biome and so an alternative explanation for distribution of Arctic and Antarctic photoautotrophs is required. Here we identify how temporal, microclimate and evolutionary drivers of biogeography are important, rather than the macroclimate features that drive plant diversity patterns elsewhere. High polar ecosystems are biologically unique, with a more central role for bryophytes, lichens and microbial photoautotrophs over that of vascular plants. Constraints on vascular plants arise mainly due to stature and ontogenetic barriers. Conversely non-vascular plant and microbial photoautotroph distribution is correlated with favorable microclimates and the capacity for poikilohydric dormancy. Contemporary distribution also depends on evolutionary history, with adaptive and dispersal traits as well as legacy influencing biogeography. We highlight the relevance of these findings to predicting future impacts on diversity of polar photoautotrophs and to the current status of plants in Arctic and Antarctic conservation policy frameworks.</t>
  </si>
  <si>
    <t>[Pointing, Stephen B.; Gillman, Len N.; Leuzinger, Sebastian] Auckland Univ Technol, Inst Appl Ecol New Zealand, Sch Appl Sci, Auckland 1142, New Zealand; [Buedel, Burkhard] Univ Kaiserslautern, Dept Biol, D-67663 Kaiserslautern, Germany; [Convey, Peter] British Antarctic Survey, NERC, Cambridge CB3 0ET, England; [Convey, Peter] Univ Malaya, Natl Antarctic Res Ctr, Kuala Lumpur, Malaysia; [Koerner, Christian] Univ Basel, Inst Bot, CH-4056 Basel, Switzerland; [Vincent, Warwick F.] Univ Laval, Ctr Etud Nord, Quebec City, PQ, Canada; [Vincent, Warwick F.] Univ Laval, Dept Biol, Quebec City, PQ G1K 7P4, Canada</t>
  </si>
  <si>
    <t>University of Kaiserslautern; UK Research &amp; Innovation (UKRI); Natural Environment Research Council (NERC); NERC British Antarctic Survey; Universiti Malaya; University of Basel; Laval University; Laval University</t>
  </si>
  <si>
    <t>Pointing, SB (corresponding author), Auckland Univ Technol, Inst Appl Ecol New Zealand, Sch Appl Sci, 34 St Paul St, Auckland 1142, New Zealand.</t>
  </si>
  <si>
    <t>steve.pointing@aut.ac.nz; lgillman@aut.ac.nz</t>
  </si>
  <si>
    <t>Körner, Christian/B-6592-2014; Vincent, Warwick/AAH-6152-2019; Pointing, Stephen/JHT-2500-2023; Convey, Peter/AAV-5728-2020; gillman, len norman/AFW-2302-2022</t>
  </si>
  <si>
    <t>Körner, Christian/0000-0001-7768-7638; Vincent, Warwick/0000-0001-9055-1938; Convey, Peter/0000-0001-8497-9903; gillman, len norman/0000-0002-2283-495X</t>
  </si>
  <si>
    <t>NERC [bas0100036] Funding Source: UKRI; Natural Environment Research Council [bas0100036] Funding Source: researchfish</t>
  </si>
  <si>
    <t>1664-462X</t>
  </si>
  <si>
    <t>FRONT PLANT SCI</t>
  </si>
  <si>
    <t>Front. Plant Sci.</t>
  </si>
  <si>
    <t>10.3389/fpls.2015.00692</t>
  </si>
  <si>
    <t>CR0RY</t>
  </si>
  <si>
    <t>WOS:000361032100001</t>
  </si>
  <si>
    <t>Landschützer, P; Gruber, N; Haumann, A; Rödenbeck, C; Bakker, DCE; van Heuven, S; Hoppema, M; Metzl, N; Sweeney, C; Takahashi, T; Tilbrook, B; Wanninkhof, R</t>
  </si>
  <si>
    <t>Landschutzer, Peter; Gruber, Nicolas; Haumann, Alexander; Rodenbeck, Christian; Bakker, Dorothee C. E.; van Heuven, Steven; Hoppema, Mario; Metzl, Nicolas; Sweeney, Colm; Takahashi, Taro; Tilbrook, Bronte; Wanninkhof, Rik</t>
  </si>
  <si>
    <t>The reinvigoration of the Southern Ocean carbon sink</t>
  </si>
  <si>
    <t>CO2 FLUX VARIABILITY; ATLANTIC-OCEAN; INVERSION; PCO(2); TRENDS</t>
  </si>
  <si>
    <t>Several studies have suggested that the carbon sink in the Southern Ocean-the ocean's strongest region for the uptake of anthropogenic CO2-has weakened in recent decades. We demonstrated, on the basis of multidecadal analyses of surface ocean CO2 observations, that this weakening trend stopped around 2002, and by 2012 the Southern Ocean had regained its expected strength based on the growth of atmospheric CO2. All three Southern Ocean sectors have contributed to this reinvigoration of the carbon sink, yet differences in the processes between sectors exist, related to a tendency toward a zonally more asymmetric atmospheric circulation. The large decadal variations in the Southern Ocean carbon sink suggest a rather dynamic ocean carbon cycle that varies more in time than previously recognized.</t>
  </si>
  <si>
    <t>[Landschutzer, Peter; Gruber, Nicolas; Haumann, Alexander] ETH, Inst Biogeochem &amp; Pollutant Dynam, Environm Phys, Zurich, Switzerland; [Gruber, Nicolas; Haumann, Alexander] ETH, C2SM, Zurich, Switzerland; [Rodenbeck, Christian] Max Planck Inst Biogeochem, D-07745 Jena, Germany; [Bakker, Dorothee C. E.] Univ E Anglia, Sch Environm Sci, Ctr Ocean &amp; Atmospher Sci, Norwich NR4 7TJ, Norfolk, England; [van Heuven, Steven; Hoppema, Mario] Helmholtz Ctr Polar &amp; Marine Res, Alfred Wegener Inst, Bremerhaven, Germany; [Metzl, Nicolas] Univ Paris 06, Sorbonne Univ, CNRS, IRD,MNHN,LOCEAN,IPSL Lab, F-75005 Paris, France; [Sweeney, Colm] Univ Colorado, Cooperat Inst Res Environm Sci, Boulder, CO 80309 USA; [Sweeney, Colm] NOAA, Earth Syst Res Lab, Boulder, CO USA; [Takahashi, Taro] Columbia Univ, Lamont Doherty Earth Observ, Palisades, NY USA; [Tilbrook, Bronte] CSIRO, Hobart, Tas, Australia; [Tilbrook, Bronte] Antarctic Climate &amp; Ecosyst Cooperat Res Ctr, Hobart, Tas, Australia; [Wanninkhof, Rik] NOAA, Atlantic Oceanog &amp; Meteorol Lab, Miami, FL 33149 USA</t>
  </si>
  <si>
    <t>Swiss Federal Institutes of Technology Domain; ETH Zurich; Swiss Federal Institutes of Technology Domain; ETH Zurich; Max Planck Society; University of East Anglia; Helmholtz Association; Alfred Wegener Institute, Helmholtz Centre for Polar &amp; Marine Research; Museum National d'Histoire Naturelle (MNHN); Centre National de la Recherche Scientifique (CNRS); Sorbonne Universite; Institut de Recherche pour le Developpement (IRD); University of Colorado System; University of Colorado Boulder; National Oceanic Atmospheric Admin (NOAA) - USA; Columbia University; Commonwealth Scientific &amp; Industrial Research Organisation (CSIRO); Antarctic Climate &amp; Ecosystems Cooperative Research Centre (ACE CRC); National Oceanic Atmospheric Admin (NOAA) - USA; Atlantic Oceanographic &amp; Meteorological Laboratory (AOML)</t>
  </si>
  <si>
    <t>Landschützer, P (corresponding author), ETH, Inst Biogeochem &amp; Pollutant Dynam, Environm Phys, Zurich, Switzerland.</t>
  </si>
  <si>
    <t>peter.landschuetzer@usys.ethz.ch</t>
  </si>
  <si>
    <t>Tilbrook, Bronte/W-4007-2019; Landschützer, Peter/IQU-3835-2023; Haumann, Alexander/J-6679-2014; Sweeney, Colm/AAE-9291-2019; Gruber, Nicolas/B-7013-2009; Bakker, Dorothee/E-4951-2015; Hoppema, Mario/I-6286-2013</t>
  </si>
  <si>
    <t>Tilbrook, Bronte/0000-0001-9385-3827; Landschützer, Peter/0000-0002-7398-3293; Haumann, Alexander/0000-0002-8218-977X; Gruber, Nicolas/0000-0002-2085-2310; Bakker, Dorothee/0000-0001-9234-5337; metzl, nicolas/0000-0002-1165-1074; Sweeney, Colm/0000-0002-4517-0797; Hoppema, Mario/0000-0002-2326-619X</t>
  </si>
  <si>
    <t>European Union (EU) from the European Commission's Seventh Framework Programme [264879, 283080]; ETH [CH2-01 11-1]; Climate Observation Division of NOAA; NOAA [NA10OAR4320143]; U.S. National Science Foundation's Office of Polar Programs [AOAS 0944761, AOAS 0636975]; Antarctic Climate and Ecosystems CRC; Australian Climate Change Science Program; Integrated Marine Observing System; Institut National des Sciences de l'Univers/Centre National de la Recherche Scientifique; Institut Polaire Francaise for the Ocean Indien Service d'Observation cruises; Office of Polar Programs (OPP); Directorate For Geosciences [1341647] Funding Source: National Science Foundation</t>
  </si>
  <si>
    <t>European Union (EU) from the European Commission's Seventh Framework Programme(European Union (EU)Marie Curie Actions); ETH(ETH Zurich); Climate Observation Division of NOAA; NOAA(National Oceanic Atmospheric Admin (NOAA) - USA); U.S. National Science Foundation's Office of Polar Programs(National Science Foundation (NSF)); Antarctic Climate and Ecosystems CRC(Australian GovernmentDepartment of Industry, Innovation and ScienceCooperative Research Centres (CRC) Programme); Australian Climate Change Science Program; Integrated Marine Observing System; Institut National des Sciences de l'Univers/Centre National de la Recherche Scientifique(Centre National de la Recherche Scientifique (CNRS)); Institut Polaire Francaise for the Ocean Indien Service d'Observation cruises; Office of Polar Programs (OPP); Directorate For Geosciences(National Science Foundation (NSF)NSF - Directorate for Geosciences (GEO))</t>
  </si>
  <si>
    <t>This work was supported by European Union (EU) grant 264879 (CARBOCHANGE) (P.L., N.G., D.C.E.B., M.H., S.v.H., and N.M.) and EU grant 283080 (GEO-CARBON) (P.L. and N.G.), both of which received funding from the European Commission's Seventh Framework Programme. F.A.H. was supportetd by ETH research grant CH2-01 11-1. T.T., R.W., and C.S. acknowledge funding for the pCO2 from ship projects from the Climate Observation Division of NOAA. T.T. and the Ship of Opportunity Observation Program were supported by a grant (NA10OAR4320143) from NOAA. C.S.'s contribution to this research was made possible by support from the U.S. National Science Foundation's Office of Polar Programs (grants AOAS 0944761 and AOAS 0636975). B.T. was funded through the Antarctic Climate and Ecosystems CRC, the Australian Climate Change Science Program, and the Integrated Marine Observing System. N.M. is grateful for support from the Institut National des Sciences de l'Univers/Centre National de la Recherche Scientifique and the Institut Polaire Francaise for the Ocean Indien Service d'Observation cruises. C.R. thanks the providers of atmospheric CO2 measurements and the Deutsches Klimarechenzentrum computing center for their support. SOCAT is an international effort, supported by the International Ocean Carbon Coordination Project, the Surface Ocean Lower Atmosphere Study, and the Integrated Marine Biogeochemistry and Ecosystem Research program, to deliver a uniformly quality-controlled surface ocean CO2 database. The many researchers and funding agencies responsible for the collection of data and quality control are thanked for their contributions to SOCAT. We also thank A. Hogg for fruitful discussions. The surface ocean CO2 observations are available from the SOCAT website (www.socat.info). The sea surface pCO2 and air-sea CO2 flux data leading conclusions of this manuscript are available to the public via the Carbon Dioxide Information Analysis Center (http://cdiac.ornl.gov/oceans/SPCO2_1982_2011_ETH_SOM_FFN.html). The mixed-layer scheme and inversion data supporting the main findings can be obtained from www.bgc-jena.mpg.de/similar to christian.roedenbeck/download-CO2-ocean/ and www.bgc-jena.mpg.de/similar to christian.roedenbeck/download-CO2/. P.L. and N.G. designed the study and wrote the paper together with F.A.H. P.L. developed the neural network estimation and performed the majority of the analyses, assisted by F.A.H. C.R. developed the mixed-layer scheme and the atmospheric inversion. S.v.H., M.H., N.M., C.S., T.T., B.T., and R.W. were responsible for the collection of the majority of the surface ocean CO2 data in the Southern Ocean. D.C.E.B. led the SOCAT synthesis effort that underlies this work. All authors discussed the results and implications and commented on the manuscript at all stages.</t>
  </si>
  <si>
    <t>10.1126/science.aab2620</t>
  </si>
  <si>
    <t>CQ9XH</t>
  </si>
  <si>
    <t>Green Submitted, Green Accepted, Green Published, Bronze</t>
  </si>
  <si>
    <t>WOS:000360968400042</t>
  </si>
  <si>
    <t>Rajkumar, KS; Maheshwari, M; Pallipad, J; Rajak, DR; Kumar, R; Oza, SR</t>
  </si>
  <si>
    <t>Rajkumar, Kamaljit Singh; Maheshwari, Megha; Pallipad, Jayaprasad; Rajak, Dhani Ram; Kumar, Raj; Oza, Sandip Rashmikant</t>
  </si>
  <si>
    <t>Concurrent Use of OSCAT and AltiKa to Characterize Antarctic Ice Surface Features</t>
  </si>
  <si>
    <t>MARINE GEODESY</t>
  </si>
  <si>
    <t>Oceansat-2 scatterometer; SARAL-AltiKa; altimeter; sea ice; ice sheet</t>
  </si>
  <si>
    <t>SHEET; GREENLAND; ENVISAT; ALTIMETRY</t>
  </si>
  <si>
    <t>Radar altimetry provides an important geophysical parameter, backscatter coefficient (sigma(0)), which is useful in studying target surface characteristics. Ku-band (Oceansat-2 scatterometer- OSCAT) and Ka-band (SARAL-AltiKa altimeter) data are concurrently used to characterize polar surface features over the Antarctic region. Maximum-likelihood classification has been employed to classify combined data set (AltiKa and OSCAT) for discrimination among sea ice, open water, and ice sheet (interior and exterior). The sea ice region obtained using the current approach has been compared with sea ice boundary derived from passive microwave data.</t>
  </si>
  <si>
    <t>[Rajkumar, Kamaljit Singh; Maheshwari, Megha; Pallipad, Jayaprasad; Rajak, Dhani Ram; Kumar, Raj; Oza, Sandip Rashmikant] Indian Space Res Org, Ctr Space Applicat, Ocean Sci Div, Earth Ocean Atmosphere Planetary Sci &amp; Applicat A, Ahmadabad 380015, Gujarat, India</t>
  </si>
  <si>
    <t>Department of Space (DoS), Government of India; Indian Space Research Organisation (ISRO); Space Applications Centre (SAC)</t>
  </si>
  <si>
    <t>Oza, SR (corresponding author), Indian Space Res Org, Ctr Space Applicat, Ocean Sci Div, Earth Ocean Atmosphere Planetary Sci &amp; Applicat A, Ahmadabad 380015, Gujarat, India.</t>
  </si>
  <si>
    <t>sandip.r.oza@gmail.com</t>
  </si>
  <si>
    <t>Kumar, Rajendra/KCK-1621-2024; Rajkumar, Kamaljit/I-8045-2013; Maheshwari, Megha/IZE-0688-2023; kumar, Raj/JFS-5911-2023</t>
  </si>
  <si>
    <t>Rajkumar, Kamaljit/0000-0001-8864-3526; Maheshwari, Megha/0000-0002-6413-3828; Maheshwari, Megha/0000-0001-9167-8113</t>
  </si>
  <si>
    <t>0149-0419</t>
  </si>
  <si>
    <t>1521-060X</t>
  </si>
  <si>
    <t>MAR GEOD</t>
  </si>
  <si>
    <t>Mar. Geod.</t>
  </si>
  <si>
    <t>SEP 10</t>
  </si>
  <si>
    <t>10.1080/01490419.2014.1001047</t>
  </si>
  <si>
    <t>Geochemistry &amp; Geophysics; Oceanography; Remote Sensing</t>
  </si>
  <si>
    <t>CS5MY</t>
  </si>
  <si>
    <t>WOS:000362123500035</t>
  </si>
  <si>
    <t>Rémy, F; Flament, T; Michel, A; Blumstein, D</t>
  </si>
  <si>
    <t>Remy, Frederique; Flament, Thomas; Michel, Aurelie; Blumstein, Denis</t>
  </si>
  <si>
    <t>Envisat and SARAL/AltiKa Observations of the Antarctic Ice Sheet: A Comparison Between the Ku-band and Ka-band</t>
  </si>
  <si>
    <t>Satellite Altimetry; ice sheet; Antarctica</t>
  </si>
  <si>
    <t>ERS ALTIMETER MEASUREMENTS; RADAR ALTIMETRY; TEMPORAL VARIABILITY; SATELLITE; BACKSCATTER; SURFACE; SCATTERING; GREENLAND; CRYOSAT-2; ELEVATION</t>
  </si>
  <si>
    <t>The AltiKa altimeter onboard SARAL is a joint CNES/ISRO mission launched in February 2013 that has the same 35days repeat orbit of the previous European altimeters, Envisat, and ERS-1/2. SARAL/AltiKa is thus a unique opportunity to extend the repeat observations of this orbit that have been surveyed since 1991. However, the altimeter operates in Ka-band, which is higher than the previous frequencies, and offers new paths of investigation. The penetration depth is theoretically reduced from around 10m in Ku-band to less than 1m in Ka-band, such that the volume echo originates from the near subsurface. Second, the sharper antenna aperture leads to a narrower leading edge that reduces the impact of the ratio between surface and volume echoes of the height retrieval. Indeed, the spatial and temporal observations of AltiKa at cross-over points and along-track indicate that the impact of backscatter changes on the height decreasesfrom 0.3m/dB for the Ku-band to only 0.05m/dB for the Ka-band. Therefore, the height measurement is stable over time. Moreover, the volume echo in the Ka-band results from the near subsurface layer and is mostly controlled by ice grain size, unlike the Ku-band.</t>
  </si>
  <si>
    <t>[Remy, Frederique; Flament, Thomas; Michel, Aurelie; Blumstein, Denis] CNRS, Lab Etud Geophys &amp; Oceanog Spatiale, F-31400 Toulouse, France; [Michel, Aurelie] Collecte Localisat Satellites, St Agne, France; [Blumstein, Denis] Ctr Natl Etud Spatiales, F-31055 Toulouse, France</t>
  </si>
  <si>
    <t>Universite de Toulouse; Universite Toulouse III - Paul Sabatier; Centre National de la Recherche Scientifique (CNRS); Institut de Recherche pour le Developpement (IRD); Laboratoire d'Etudes en Geophysique et oceanographie spatiales</t>
  </si>
  <si>
    <t>Rémy, F (corresponding author), CNRS, Lab Etud Geophys &amp; Oceanog Spatiale, 14 Av E Belin, F-31400 Toulouse, France.</t>
  </si>
  <si>
    <t>remy.omp@free.fr</t>
  </si>
  <si>
    <t>Flament, Thomas/0000-0001-9702-302X</t>
  </si>
  <si>
    <t>CNES/TOSCA</t>
  </si>
  <si>
    <t>The study belong to the Oscar (Observations des Surfaces Continentales par Altimetrie Radar), funded by the CNES/TOSCA.</t>
  </si>
  <si>
    <t>10.1080/01490419.2014.985347</t>
  </si>
  <si>
    <t>WOS:000362123500036</t>
  </si>
  <si>
    <t>Hurd, CL</t>
  </si>
  <si>
    <t>Hurd, Catriona L.</t>
  </si>
  <si>
    <t>Laboratory seawater studies are justified</t>
  </si>
  <si>
    <t>Univ Tasmania, Inst Marine &amp; Antarctic Studies, Hobart, Tas 7001, Australia</t>
  </si>
  <si>
    <t>Hurd, CL (corresponding author), Univ Tasmania, Inst Marine &amp; Antarctic Studies, Hobart, Tas 7001, Australia.</t>
  </si>
  <si>
    <t>catriona.hurd@utas.edu.au</t>
  </si>
  <si>
    <t>gao, kunshan/G-3374-2010; Hurd, Catriona/J-2411-2013</t>
  </si>
  <si>
    <t>Gao, Kunshan/0000-0001-7365-6332; Hurd, Catriona/0000-0001-9965-4917</t>
  </si>
  <si>
    <t>10.1038/525187c</t>
  </si>
  <si>
    <t>CQ9IM</t>
  </si>
  <si>
    <t>WOS:000360927400017</t>
  </si>
  <si>
    <t>Hauquier, F; Suja, LD; Gutt, J; Veit-Köhler, G; Vanreusel, A</t>
  </si>
  <si>
    <t>Hauquier, Freija; Suja, Laura Duran; Gutt, Julian; Veit-Koehler, Gritta; Vanreusel, Ann</t>
  </si>
  <si>
    <t>Different Oceanographic Regimes in the Vicinity of the Antarctic Peninsula Reflected in Benthic Nematode Communities</t>
  </si>
  <si>
    <t>NATIONAL-PARK BERCHTESGADEN; OLIGOTROPHIC LAKE KONIGSSEE; SOUTH SHETLAND ISLANDS; DEEP-SEA NEMATODES; CLIMATE-CHANGE; MEIOFAUNA DISTRIBUTION; MARINE NEMATODES; ABYSSAL-PLAIN; DRAKE PASSAGE; SHELF WATERS</t>
  </si>
  <si>
    <t>Marine free-living nematode communities were studied at similar depths (similar to 500 m) at two sides of the Antarctic Peninsula, characterised by different environmental and oceanographic conditions. At the Weddell Sea side, benthic communities are influenced by cold deep-water formation and seasonal sea-ice conditions, whereas the Drake Passage side experiences milder oceanic conditions and strong dynamics of the Antarctic Circumpolar Current. This resulted in different surface primary productivity, which contrasted with observed benthic pigment patterns and varied according to the area studied: chlorophyll a concentrations (as a proxy for primary production) were high in the Weddell Sea sediments, but low in the surface waters above; this pattern was reversed in the Drake Passage. Differences between areas were largely mirrored by the nematode communities: nematode densities peaked in Weddell stations and showed deeper vertical occurrence in the sediment, associated with deeper penetration of chlorophyll a and indicative of a strong benthopelagic coupling. Generic composition showed some similarities across both areas, though differences in the relative contribution of certain genera were noted, together with distinct community shifts with depth in the sediment at all locations.</t>
  </si>
  <si>
    <t>[Hauquier, Freija; Suja, Laura Duran; Vanreusel, Ann] Univ Ghent, Marine Biol Res Grp, B-9000 Ghent, Belgium; [Gutt, Julian] Helmholtz Ctr Polar &amp; Marine Res, Alfred Wegener Inst, Bremerhaven, Germany; [Veit-Koehler, Gritta] German Ctr Marine Biodivers Res, Wilhelmshaven, Germany</t>
  </si>
  <si>
    <t>Ghent University; Helmholtz Association; Alfred Wegener Institute, Helmholtz Centre for Polar &amp; Marine Research</t>
  </si>
  <si>
    <t>Hauquier, F (corresponding author), Univ Ghent, Marine Biol Res Grp, B-9000 Ghent, Belgium.</t>
  </si>
  <si>
    <t>freija.hauquier@ugent.be</t>
  </si>
  <si>
    <t>Hauquier, Freija/0000-0002-6606-2162; Gutt, Julian/0000-0003-3773-9370</t>
  </si>
  <si>
    <t>Research Foundation of Flanders [FWO11/ASP/256]; Belgian Science Policy (BELSPO/BRAIN) [BR/132/A1/vERSO]</t>
  </si>
  <si>
    <t>Research Foundation of Flanders(FWO); Belgian Science Policy (BELSPO/BRAIN)</t>
  </si>
  <si>
    <t>FH is a fellow with the Research Foundation of Flanders (no.FWO11/ASP/256; http://www.fwo.be/en/). The presented work contributes to project no. BR/132/A1/vERSO of the Belgian Science Policy (BELSPO/BRAIN; http://www.belspo.be/belspo/index_en.stm). The funders had no role in study design, data collection and analysis, decision to publish, or preparation of the manuscript.</t>
  </si>
  <si>
    <t>e0137527</t>
  </si>
  <si>
    <t>10.1371/journal.pone.0137527</t>
  </si>
  <si>
    <t>CQ9WL</t>
  </si>
  <si>
    <t>WOS:000360965800056</t>
  </si>
  <si>
    <t>Wang, P; Zhang, QH; Li, YM; Zhu, CF; Chen, ZJ; Zheng, SC; Sun, HZ; Liang, Y; Jiang, GB</t>
  </si>
  <si>
    <t>Wang, Pu; Zhang, Qinghua; Li, Yingming; Zhu, Chaofei; Chen, Zhaojing; Zheng, Shucheng; Sun, Huizhong; Liang, Yong; Jiang, Guibin</t>
  </si>
  <si>
    <t>Occurrence of chiral organochlorine compounds in the environmental matrices from King George Island and Ardley Island, west Antarctica</t>
  </si>
  <si>
    <t>PERSISTENT ORGANIC POLLUTANTS; LONG-RANGE TRANSPORT; WATER GAS-EXCHANGE; POLYCHLORINATED-BIPHENYLS; ALPHA-HEXACHLOROCYCLOHEXANE; ENANTIOMERIC SIGNATURES; ETHERS PBDES; AIR; PESTICIDES; FRACTIONS</t>
  </si>
  <si>
    <t>Chiral organochlorine compounds (OCs) were measured in various environmental matrices (air, soil and vegetation) from west Antarctica using high resolution gas chromatography coupled with high resolution mass spectrometry (HRGC/HRMS). They were generally detected at a global background level compared with the previous studies. alpha-HCH and PCB-183 was observed in all the matrices except PCB-183 in two soil samples, while PCB-95, -136, -149, -174, -176 and o,p'-DDT were detected in most air but only a few solid matrices. Enantiomeric fractions (EFs) indicated that nonracemic residues of chiral OCs occurred in all the matrices and a wide variation of the EF values was observed in the vegetation. There was significant discrepancy between the EF values of PCB-183 and the racemic values, indicating that stereoselective depletion of PCB-183 was probably associated with the water-air exchange. The EFs values of alpha-HCH were generally lower than the racemic values but no statistical difference was obtained in all the matrices except lichen, supporting the assumption that water-air exchange may make influence on long-range transport of alpha-HCH.</t>
  </si>
  <si>
    <t>[Wang, Pu; Zhang, Qinghua; Li, Yingming; Zhu, Chaofei; Chen, Zhaojing; Zheng, Shucheng; Sun, Huizhong; Jiang, Guibin] Chinese Acad Sci, Res Ctr Ecoenvironm Sci, State Key Lab Environm Chem &amp; Ecotoxicol, Beijing 100085, Peoples R China; [Liang, Yong] Jianghan Univ, Inst Environm &amp; Hlth, Wuhan 430056, Peoples R China</t>
  </si>
  <si>
    <t>Chinese Academy of Sciences; Research Center for Eco-Environmental Sciences (RCEES); Jianghan University</t>
  </si>
  <si>
    <t>Zhang, QH (corresponding author), Chinese Acad Sci, Res Ctr Ecoenvironm Sci, State Key Lab Environm Chem &amp; Ecotoxicol, Beijing 100085, Peoples R China.</t>
  </si>
  <si>
    <t>qhzhang@rcees.ac.cn</t>
  </si>
  <si>
    <t>zhang, qinghua/HMP-3611-2023; ZHANG, XUCHEN/KBB-7989-2024; Liang, Yong/AAB-3942-2021; liu, yuchen/GYQ-6286-2022</t>
  </si>
  <si>
    <t>zhang, qinghua/0000-0002-9707-4051;</t>
  </si>
  <si>
    <t>National Natural Science Foundation of China [41276195, 21477155]; Young Scientists Fund of RCEES [RCEES-QN-20130005F]; Chinese Academy of Sciences [XDB14010100, YSW2013B01]; State Oceanic Administration, P.R. China [13/14GW05]</t>
  </si>
  <si>
    <t>National Natural Science Foundation of China(National Natural Science Foundation of China (NSFC)); Young Scientists Fund of RCEES; Chinese Academy of Sciences(Chinese Academy of Sciences); State Oceanic Administration, P.R. China</t>
  </si>
  <si>
    <t>The present study was jointly supported by National Natural Science Foundation of China (41276195, 21477155), Young Scientists Fund of RCEES (RCEES-QN-20130005F), Chinese Academy of Sciences (XDB14010100 and YSW2013B01) and the State Oceanic Administration, P.R. China (13/14GW05). We also greatly thank Chinese Arctic and Antarctic Ministration for the arrangement during Chinese Antarctic Expedition.</t>
  </si>
  <si>
    <t>10.1038/srep13913</t>
  </si>
  <si>
    <t>CQ9ZZ</t>
  </si>
  <si>
    <t>WOS:000360978600001</t>
  </si>
  <si>
    <t>Wilson, TW; Ladino, LA; Alpert, PA; Breckels, MN; Brooks, IM; Browse, J; Burrows, SM; Carslaw, KS; Huffman, JA; Judd, C; Kilthau, WP; Mason, RH; McFiggans, G; Miller, LA; Najera, JJ; Polishchuk, E; Rae, S; Schiller, CL; Si, M; Temprado, JV; Whale, TF; Wong, JPS; Wurl, O; Yakobi-Hancock, JD; Abbatt, JPD; Aller, JY; Bertram, AK; Knopf, DA; Murray, BJ</t>
  </si>
  <si>
    <t>Wilson, Theodore W.; Ladino, Luis A.; Alpert, Peter A.; Breckels, Mark N.; Brooks, Ian M.; Browse, Jo; Burrows, Susannah M.; Carslaw, Kenneth S.; Huffman, J. Alex; Judd, Christopher; Kilthau, Wendy P.; Mason, Ryan H.; McFiggans, Gordon; Miller, Lisa A.; Najera, Juan J.; Polishchuk, Elena; Rae, Stuart; Schiller, Corinne L.; Si, Meng; Temprado, Jesus Vergara; Whale, Thomas F.; Wong, Jenny P. S.; Wurl, Oliver; Yakobi-Hancock, Jacqueline D.; Abbatt, Jonathan P. D.; Aller, Josephine Y.; Bertram, Allan K.; Knopf, Daniel A.; Murray, Benjamin J.</t>
  </si>
  <si>
    <t>A marine biogenic source of atmospheric ice-nucleating particles</t>
  </si>
  <si>
    <t>TRANSMISSION X-RAY; SEA-SURFACE MICROLAYER; TRANSPARENT EXOPOLYMER PARTICLES; SPRAY AEROSOL COMPOSITION; DISSOLVED ORGANIC-CARBON; FORMING NUCLEI; MINERAL DUST; ARCTIC-OCEAN; MATTER; WATER</t>
  </si>
  <si>
    <t>The amount of ice present in clouds can affect cloud lifetime, precipitation and radiative properties(1,2). The formation of ice in clouds is facilitated by the presence of airborne ice-nucleating particles(1,2). Sea spray is one of the major global sources of atmospheric particles, but it is unclear to what extent these particles are capable of nucleating ice(3-11). Sea-spray aerosol contains large amounts of organic material that is ejected into the atmosphere during bubble bursting at the organically enriched sea-air interface or sea surface microlayer(12-19). Here we show that organic material in the sea surface microlayer nucleates ice under conditions relevant for mixed-phase cloud and high-altitude ice cloud formation. The ice-nucleating material is probably biogenic and less than approximately 0.2 micrometres in size. We find that exudates separated from cells of the marine diatom Thalassiosira pseudonana nucleate ice, and propose that organic material associated with phytoplankton cell exudates is a likely candidate for the observed ice-nucleating ability of the microlayer samples. Global model simulations of marine organic aerosol, in combination with our measurements, suggest that marine organic material may be an important source of ice-nucleating particles in remote marine environments such as the Southern Ocean, North Pacific Ocean and North Atlantic Ocean.</t>
  </si>
  <si>
    <t>[Wilson, Theodore W.; Brooks, Ian M.; Browse, Jo; Carslaw, Kenneth S.; Judd, Christopher; Temprado, Jesus Vergara; Whale, Thomas F.; Murray, Benjamin J.] Univ Leeds, Sch Earth &amp; Environm, Leeds LS2 9JT, W Yorkshire, England; [Ladino, Luis A.; Wong, Jenny P. S.; Yakobi-Hancock, Jacqueline D.; Abbatt, Jonathan P. D.] Univ Toronto, Dept Chem, Toronto, ON M5S 3H6, Canada; [Alpert, Peter A.; Knopf, Daniel A.] SUNY Stony Brook, Sch Marine &amp; Atmospher Sci, Inst Terr &amp; Planetary Atmospheres, Stony Brook, NY 11794 USA; [Breckels, Mark N.] Univ Essex, Sch Biol Sci, Colchester CO4 3SQ, Essex, England; [Burrows, Susannah M.] Pacific NW Natl Lab, Atmospher Sci &amp; Global Change Div, Richland, WA 99354 USA; [Huffman, J. Alex] Univ Denver, Dept Chem &amp; Biochem, Denver, CO 80208 USA; [Kilthau, Wendy P.; Aller, Josephine Y.] SUNY Stony Brook, Sch Marine &amp; Atmospher Sci, Stony Brook, NY 11794 USA; [Mason, Ryan H.; Polishchuk, Elena; Si, Meng; Bertram, Allan K.] Univ British Columbia, Dept Chem, Vancouver, BC V6T 1Z1, Canada; [McFiggans, Gordon; Najera, Juan J.; Rae, Stuart] Univ Manchester, Sch Earth Atmospher &amp; Environm Sci, Manchester M13 9PL, Lancs, England; [Miller, Lisa A.] Fisheries &amp; Oceans Canada, Inst Ocean Sci, Sidney, BC V8L 4B2, Canada; [Schiller, Corinne L.] Environm Canada, Air Qual Sci Unit, Vancouver, BC V6C 3S5, Canada; [Wurl, Oliver] Leibniz Inst Balt Sea Res Warnemunde, Dept Biol Oceanog, D-18119 Rostock, Germany</t>
  </si>
  <si>
    <t>University of Leeds; University of Toronto; State University of New York (SUNY) System; State University of New York (SUNY) Stony Brook; University of Essex; United States Department of Energy (DOE); Pacific Northwest National Laboratory; University of Denver; State University of New York (SUNY) System; State University of New York (SUNY) Stony Brook; University of British Columbia; University of Manchester; Fisheries &amp; Oceans Canada; Environment &amp; Climate Change Canada; Leibniz Institut fur Ostseeforschung Warnemunde</t>
  </si>
  <si>
    <t>Wilson, TW (corresponding author), Univ Leeds, Sch Earth &amp; Environm, Woodhouse Lane, Leeds LS2 9JT, W Yorkshire, England.</t>
  </si>
  <si>
    <t>theo.w.wilson@gmail.com; luis.ladinomoreno@utoronto.ca</t>
  </si>
  <si>
    <t>Ladino, Luis Antonio./AAF-7614-2019; Brooks, Ian M/E-1378-2012; Burrows, Susannah M./A-7429-2011; Whale, Thomas/C-6205-2015; Wurl, Oliver/AAQ-9972-2021; Murray, Benjamin/C-1219-2010; Wong, Jenny/GQP-8042-2022; Carslaw, Ken S/C-8514-2009; Alpert, Peter Aaron/R-9776-2019; Breckels, Mark N/A-7293-2012; McFiggans, Gordon B/B-8689-2011; Knopf, Daniel A/F-2040-2011; Huffman, Alex/A-7449-2010; Vergara Temprado, Jesus/T-9569-2018; Wilson, Theodore/H-2793-2015</t>
  </si>
  <si>
    <t>Ladino, Luis Antonio./0000-0002-4941-7945; Burrows, Susannah M./0000-0002-0745-7252; Whale, Thomas/0000-0002-1062-2685; Murray, Benjamin/0000-0002-8198-8131; Carslaw, Ken S/0000-0002-6800-154X; Alpert, Peter Aaron/0000-0002-7582-9206; Knopf, Daniel A/0000-0001-7732-3922; Huffman, Alex/0000-0002-5363-9516; Abbatt, Jonathan/0000-0002-3372-334X; Vergara Temprado, Jesus/0000-0002-3105-0946; Aller, Josephine/0000-0003-1549-1108; Wilson, Theodore/0000-0001-9168-5487; Bertram, Allan K./0000-0002-5621-2323; Wong, Jenny Pui Shan/0000-0002-8729-8166; Brooks, Ian/0000-0002-5051-1322; McFiggans, Gordon/0000-0002-3423-7896</t>
  </si>
  <si>
    <t>Office of Science, Office of Basic Energy Sciences of the US Department of Energy [DE-AC02-05CH11231 (ALS-05955)]; Natural Environment Research Council [NE/K004417/1, NE/I020059/1, NE/I013466/1, NE/I028696/1, NE/I019057/1, NE/H009485/1]; European Research Council [240449, 603445]; UK Aerosol Society; National Science Foundation [AGS-1232203]; German Research Foundation [WU585/6-1]; Climate Change and Atmospheric Research Program of the Natural Sciences and Engineering Research Council of Canada; Fisheries and Oceans Canada; Environment Canada; NOAA's Climate Program Office; DOE Office of Science (BER) Earth System Modeling Program; European Research Council (ERC) [240449] Funding Source: European Research Council (ERC); NERC [NE/I028696/1, NE/L007827/1, NE/K004417/1, NE/I020059/1, NE/I013466/1, NE/H009485/1, NE/I028858/1] Funding Source: UKRI; Natural Environment Research Council [NE/H009485/1, NE/I020059/1, NE/L007827/1, NE/K004417/1, NE/I028696/1, 1230241, NE/I028858/1, NE/I013466/1, 1047972] Funding Source: researchfish</t>
  </si>
  <si>
    <t>Office of Science, Office of Basic Energy Sciences of the US Department of Energy(United States Department of Energy (DOE)); Natural Environment Research Council(UK Research &amp; Innovation (UKRI)Natural Environment Research Council (NERC)); European Research Council(European Research Council (ERC)); UK Aerosol Society; National Science Foundation(National Science Foundation (NSF)); German Research Foundation(German Research Foundation (DFG)); Climate Change and Atmospheric Research Program of the Natural Sciences and Engineering Research Council of Canada(Natural Sciences and Engineering Research Council of Canada (NSERC)); Fisheries and Oceans Canada; Environment Canada(CGIAR); NOAA's Climate Program Office(National Oceanic Atmospheric Admin (NOAA) - USA); DOE Office of Science (BER) Earth System Modeling Program(United States Department of Energy (DOE)); European Research Council (ERC)(European Research Council (ERC)Spanish Government); NERC(UK Research &amp; Innovation (UKRI)Natural Environment Research Council (NERC)); Natural Environment Research Council(UK Research &amp; Innovation (UKRI)Natural Environment Research Council (NERC))</t>
  </si>
  <si>
    <t>T.W.W., B.J.M. and T.F.W. acknowledge the assistance provided by the crew and other scientists onboard the R/V Knorr and the RRS James Clark Ross, the British Antarctic Survey, K. Baustian, J. McQuaid, A. Windross, J. Knulst, J. F. Wilson, A. M. Booth, R. Chance, L. J. Carpenter, S. Peppe, D. O'Sullivan, N. Umo, I. Cotton, H. Pearce, H. Price and M. J. Callaghan. The STXM/NEXAFS analysis was performed at the Advanced Light Source (ALS), Lawrence Berkeley National Laboratory supported by the Director, Office of Science, Office of Basic Energy Sciences, of the US Department of Energy under contract no. DE-AC02-05CH11231 (user award to D.A.K./J.Y.A. ALS-05955). STXM analyses were facilitated by A. L. D. Kilcoyne and M. K. Gilles. L. A. L. acknowledges assistance from R. Leaitch, E. Mungall, R. Christensen and J. Li, and the Pacific region Department of Fisheries and Oceans staff. The Marine Boundary Layer sampling site in Ucluelet is jointly supported and maintained by Environment Canada, the British Columbia Ministry of the Environment and Metro Vancouver. We acknowledge funding from the Natural Environment Research Council (NE/K004417/1, NE/I020059/1, NE/I013466/1, NE/I028696/1, NE/I019057/1, NE/H009485/1), the European Research Council (FP7, 240449 ICE, BACCHUS 603445), the UK Aerosol Society, National Science Foundation (AGS-1232203), German Research Foundation (WU585/6-1), the Climate Change and Atmospheric Research Program of the Natural Sciences and Engineering Research Council of Canada (for NETCARE), Fisheries and Oceans Canada, Environment Canada, NOAA's Climate Program Office (for WACS II), and the DOE Office of Science (BER) Earth System Modeling Program.</t>
  </si>
  <si>
    <t>10.1038/nature14986</t>
  </si>
  <si>
    <t>WOS:000360927400035</t>
  </si>
  <si>
    <t>Pedro, S; Xavier, JC; Tavares, S; Trathan, PN; Ratcliffe, N; Paiva, VH; Medeiros, R; Pereira, E; Pardal, MA</t>
  </si>
  <si>
    <t>Pedro, Sara; Xavier, Jose C.; Tavares, Silvia; Trathan, Phil N.; Ratcliffe, Norman; Paiva, Vitor H.; Medeiros, Renata; Pereira, Eduarda; Pardal, Miguel A.</t>
  </si>
  <si>
    <t>Feathers as a Tool to Assess Mercury Contamination in Gentoo Penguins: Variations at the Individual Level</t>
  </si>
  <si>
    <t>BIRD FEATHERS; BODY FEATHERS; EXTERNAL CONTAMINATION; ORGANIC POLLUTANTS; MARINE-ENVIRONMENT; BIOMONITORING TOOL; PYGOSCELIS-PAPUA; STABLE-ISOTOPES; HEAVY-METALS; MOLT</t>
  </si>
  <si>
    <t>Feathers have been widely used to assess mercury contamination in birds as they reflect metal concentrations accumulated between successive moult periods: they are also easy to sample and have minimum impact on the study birds. Moult is considered the major pathway for mercury excretion in seabirds. Penguins are widely believed to undergo a complete, annual moult during which they do not feed. As penguins lose all their feathers, they are expected to have a low individual-variability in feather mercury concentration as all feathers are formed simultaneously from the same somatic reserves. This assumption is central to penguin studies that use feathers to examine the annual or among-individual variation in mercury concentrations in penguins. To test this assumption, we measured the mercury concentrations in 3-5 body feathers of 52 gentoo penguins (Pygoscelis papua) breeding at Bird Island, South Georgia (54 degrees S 38 degrees W). Twenty-five percent of the penguins studied showed substantial within-individual variation in the amount of mercury in their feathers (Coefficient of Variation: 34.7-96.7%). This variation may be caused by differences in moult patterns among individuals within the population leading to different interpretations in the overall population. Further investigation is now needed to fully understand individual variation in penguins' moult.</t>
  </si>
  <si>
    <t>[Pedro, Sara; Tavares, Silvia; Pardal, Miguel A.] Univ Coimbra, Dept Life Sci, Ctr Funct Ecol, Coimbra, Portugal; [Xavier, Jose C.; Paiva, Vitor H.] Univ Coimbra, Dept Life Sci, MARE Marine &amp; Environm Sci Ctr, Coimbra, Portugal; [Xavier, Jose C.; Trathan, Phil N.; Ratcliffe, Norman] British Antarctic Survey, Cambridge CB3 0ET, England; [Medeiros, Renata] Cardiff Univ, Cardiff Sch Biosci, Cardiff CF10 3AX, S Glam, Wales; [Pereira, Eduarda] Univ Aveiro, Dept Chem, Ctr Environm &amp; Marine Studies, P-3800 Aveiro, Portugal</t>
  </si>
  <si>
    <t>Universidade de Coimbra; Universidade de Coimbra; UK Research &amp; Innovation (UKRI); Natural Environment Research Council (NERC); NERC British Antarctic Survey; Cardiff University; Universidade de Aveiro</t>
  </si>
  <si>
    <t>Pedro, S (corresponding author), Univ Coimbra, Dept Life Sci, Ctr Funct Ecol, Coimbra, Portugal.</t>
  </si>
  <si>
    <t>sara.pedro@student.uc.pt</t>
  </si>
  <si>
    <t>Xavier, José/KFB-6739-2024; Paiva, Vitor H./J-1092-2019; Tavares, Sílvia/M-5198-2013; Pereira, Eduarda C/A-5907-2012; Paiva, Vitor Hugo/GRX-9179-2022; Medeiros, Renata/M-8616-2015; Pardal, Miguel Angelo/C-3984-2009</t>
  </si>
  <si>
    <t>Paiva, Vitor H./0000-0001-6368-9579; Medeiros, Renata/0000-0002-5833-309X; Pardal, Miguel Angelo/0000-0001-6048-7007; /0000-0002-9621-6660; Pereira, Eduarda/0000-0002-6046-5243</t>
  </si>
  <si>
    <t>Ministry of Science and Higher Education, Portugal (Fundacao para a Ciencia e a Tecnologia); Tinker Foundation; British Antarctic Survey under CEPH; British Antarctic Survey under SCAR AnT-ERA; British Antarctic Survey under PROPOLAR; British Antarctic Survey under ICED; NERC [bas0100035] Funding Source: UKRI; Natural Environment Research Council [bas0100035] Funding Source: researchfish</t>
  </si>
  <si>
    <t>Ministry of Science and Higher Education, Portugal (Fundacao para a Ciencia e a Tecnologia); Tinker Foundation; British Antarctic Survey under CEPH; British Antarctic Survey under SCAR AnT-ERA; British Antarctic Survey under PROPOLAR; British Antarctic Survey under ICED; NERC(UK Research &amp; Innovation (UKRI)Natural Environment Research Council (NERC)); Natural Environment Research Council(UK Research &amp; Innovation (UKRI)Natural Environment Research Council (NERC))</t>
  </si>
  <si>
    <t>Funding: This research was supported by the Ministry of Science and Higher Education, Portugal (Fundacao para a Ciencia e a Tecnologia, http://www.fct.pt/), the Tinker Foundation (http://www.tinker.org/) and the British Antarctic Survey (http://www.antarctica.ac.uk/), under the research programs CEPH, SCAR AnT-ERA, PROPOLAR and ICED. British Antarctic Survey plays an important role in data collection protocols.</t>
  </si>
  <si>
    <t>SEP 9</t>
  </si>
  <si>
    <t>e0137622</t>
  </si>
  <si>
    <t>10.1371/journal.pone.0137622</t>
  </si>
  <si>
    <t>CQ9KG</t>
  </si>
  <si>
    <t>Green Accepted, Green Submitted, Green Published, gold</t>
  </si>
  <si>
    <t>WOS:000360932800103</t>
  </si>
  <si>
    <t>Stoffel, MA; Caspers, BA; Forcada, J; Giannakara, A; Baier, M; Eberhart-Phillips, L; Müller, C; Hoffman, JI</t>
  </si>
  <si>
    <t>Stoffel, Martin A.; Caspers, Barbara A.; Forcada, Jaume; Giannakara, Athina; Baier, Markus; Eberhart-Phillips, Luke; Mueller, Caroline; Hoffman, Joseph I.</t>
  </si>
  <si>
    <t>Chemical fingerprints encode mother-offspring similarity, colony membership, relatedness, and genetic quality in fur seals</t>
  </si>
  <si>
    <t>chemical communication; mother-offspring recognition; GC-MS; genotype; pinniped</t>
  </si>
  <si>
    <t>EXPLORATORY FACTOR-ANALYSIS; MICROSATELLITE LOCI; KIN RECOGNITION; HETEROZYGOSITY; PREFERENCES; SELECTION; MARKERS; LIONS; ODOR; PUPS</t>
  </si>
  <si>
    <t>Chemical communication underpins virtually all aspects of vertebrate social life, yet remains poorly understood because of its highly complex mechanistic basis. We therefore used chemical fingerprinting of skin swabs and genetic analysis to explore the chemical cues that may underlie mother-offspring recognition in colonially breeding Antarctic fur seals. By sampling mother-offspring pairs from two different colonies, using a variety of statistical approaches and genotyping a large panel of microsatellite loci, we show that colony membership, mother-offspring similarity, heterozygosity, and genetic relatedness are all chemically encoded. Moreover, chemical similarity between mothers and offspring reflects a combination of genetic and environmental influences, the former partly encoded by substances resembling known pheromones. Our findings reveal the diversity of information contained within chemical fingerprints and have implications for understanding mother-offspring communication, kin recognition, and mate choice.</t>
  </si>
  <si>
    <t>[Stoffel, Martin A.; Giannakara, Athina; Eberhart-Phillips, Luke; Hoffman, Joseph I.] Univ Bielefeld, Dept Anim Behav, D-33501 Bielefeld, Germany; [Stoffel, Martin A.] Liverpool John Moores Univ, Fac Sci, Sch Nat Sci &amp; Psychol, Liverpool L3 3AF, Merseyside, England; [Caspers, Barbara A.] Univ Bielefeld, Dept Anim Behav, Arbeitsgrp Olfactory Commun, D-33501 Bielefeld, Germany; [Forcada, Jaume] NERC, British Antarct Survey, Cambridge CB3 OET, England; [Baier, Markus; Mueller, Caroline] Univ Bielefeld, Dept Chem Ecol, D-33501 Bielefeld, Germany</t>
  </si>
  <si>
    <t>University of Bielefeld; Liverpool John Moores University; University of Bielefeld; UK Research &amp; Innovation (UKRI); Natural Environment Research Council (NERC); NERC British Antarctic Survey; University of Bielefeld</t>
  </si>
  <si>
    <t>Caspers, BA (corresponding author), Univ Bielefeld, Dept Anim Behav, Arbeitsgrp Olfactory Commun, D-33501 Bielefeld, Germany.</t>
  </si>
  <si>
    <t>barbara.caspers@uni-bielefeld.de; j_i_hoffman@hotmail.com</t>
  </si>
  <si>
    <t>Caspers, Barbara A/C-5573-2011; Eberhart-Hertel, Luke/H-7894-2019; Forcada, Jaume/GYU-0677-2022; Hoffman, Joseph/K-7725-2012; Muller, Caroline/G-5073-2011</t>
  </si>
  <si>
    <t>Eberhart-Hertel, Luke/0000-0001-7311-6088; Stoffel, Martin/0000-0003-4030-3543; Giannakara, Athina/0000-0002-4132-6643; Hoffman, Joseph/0000-0001-5895-8949; Muller, Caroline/0000-0002-8447-534X; Caspers, Barbara/0000-0002-4380-0476</t>
  </si>
  <si>
    <t>Marie Curie FP7-Reintegration-Grant within the 7th European Community Framework Programme [PCIG-GA-2011-303618]; Deutsche Forschungsgemeinschaft [HO 5122/3-1]; Natural Environment Research Council [bas0100035] Funding Source: researchfish; NERC [bas0100035] Funding Source: UKRI</t>
  </si>
  <si>
    <t>Marie Curie FP7-Reintegration-Grant within the 7th European Community Framework Programme(European Union (EU)); Deutsche Forschungsgemeinschaft(German Research Foundation (DFG)); Natural Environment Research Council(UK Research &amp; Innovation (UKRI)Natural Environment Research Council (NERC)); NERC(UK Research &amp; Innovation (UKRI)Natural Environment Research Council (NERC))</t>
  </si>
  <si>
    <t>We thank Mareike Esser for guidance on the implementation of g2 in R. This research was supported by Marie Curie FP7-Reintegration-Grant within the 7th European Community Framework Programme PCIG-GA-2011-303618 (to J.I.H.) and Deutsche Forschungsgemeinschaft standard Grant HO 5122/3-1 (to J.I.H.). This article contributes to the Polar Science for Planet Earth Ecosystems and Long Term Monitoring and Survey Projects of the British Antarctic Survey, Natural Environment Research Council core funded science programme.</t>
  </si>
  <si>
    <t>SEP 8</t>
  </si>
  <si>
    <t>E5005</t>
  </si>
  <si>
    <t>E5012</t>
  </si>
  <si>
    <t>10.1073/pnas.1506076112</t>
  </si>
  <si>
    <t>CR0FW</t>
  </si>
  <si>
    <t>WOS:000360994900007</t>
  </si>
  <si>
    <t>Crowley, JW; Katz, RF; Huybers, P; Langmuir, CH; Park, SH</t>
  </si>
  <si>
    <t>Crowley, John W.; Katz, Richard F.; Huybers, Peter; Langmuir, Charles H.; Park, Sung-Hyun</t>
  </si>
  <si>
    <t>Response to Comment on Glacial cycles drive variations in the production of oceanic crust</t>
  </si>
  <si>
    <t>Goff comments that faulting is important for creation of abyssal hills and is the dominant process at slow-spreading ridges. We respond that faulting is indeed important but cannot alone explain the bathymetric signal predicted by our models and observed at the Australian-Antarctic Ridge. We show that for intermediate-to fast-spreading ridges, abyssal hill spacing is consistent with the periodicity of the obliquity cycle.</t>
  </si>
  <si>
    <t>[Crowley, John W.; Katz, Richard F.] Univ Oxford, Dept Earth Sci, Oxford OX1 3PR, England; [Crowley, John W.; Huybers, Peter; Langmuir, Charles H.] Harvard Univ, Dept Earth &amp; Planetary Sci, Cambridge, MA 02138 USA; [Park, Sung-Hyun] Korea Polar Res Inst, Div Polar Earth Syst Sci, Inchon, South Korea</t>
  </si>
  <si>
    <t>University of Oxford; Harvard University; Korea Institute of Ocean Science &amp; Technology (KIOST); Korea Polar Research Institute (KOPRI)</t>
  </si>
  <si>
    <t>Katz, RF (corresponding author), Univ Oxford, Dept Earth Sci, Oxford OX1 3PR, England.</t>
  </si>
  <si>
    <t>richard.katz@earth.ox.ac.uk; shpark314@kopri.re.kr</t>
  </si>
  <si>
    <t>Katz, Richard F/D-3364-2009; langmuir, charles/ISV-3278-2023</t>
  </si>
  <si>
    <t>Katz, Richard F/0000-0001-8746-5430; Crowley, John/0000-0001-8655-7907; Huybers, Peter/0000-0002-3734-8145</t>
  </si>
  <si>
    <t>Directorate For Geosciences; Div Atmospheric &amp; Geospace Sciences [1338832] Funding Source: National Science Foundation</t>
  </si>
  <si>
    <t>Directorate For Geosciences; Div Atmospheric &amp; Geospace Sciences(National Science Foundation (NSF)NSF - Directorate for Geosciences (GEO))</t>
  </si>
  <si>
    <t>SEP 4</t>
  </si>
  <si>
    <t>10.1126/science.aab3497</t>
  </si>
  <si>
    <t>CQ5FO</t>
  </si>
  <si>
    <t>WOS:000360628900031</t>
  </si>
  <si>
    <t>Salazar, JF; Barticevic, E</t>
  </si>
  <si>
    <t>Salazar, Juan Francisco; Barticevic, Elias</t>
  </si>
  <si>
    <t>Digital Storytelling Antarctica</t>
  </si>
  <si>
    <t>CRITICAL ARTS-SOUTH-NORTH CULTURAL AND MEDIA STUDIES</t>
  </si>
  <si>
    <t>social imaginary; digital storytelling; Antarctica; citizens and science</t>
  </si>
  <si>
    <t>Over the past two decades, and not unlike other Southern Ocean rim countries, Chile has experienced a series of fundamental changes in its engagement with the Antarctic. This article provides an exploration into how these changes are shaping the formation of new local and national Antarctic social imaginaries. Through an account of a digital storytelling project carried out in the Antarctic Peninsula in 2012 and 2013 with young Chilean students, the article first examines cultural production processes at play in the configuration of a contemporary Antarctic national imaginary in Chile, arguing that such processes operate through a set of overlapping symbolic and material arrangements. Second, it reflects on how a performative focus on the experiences of young people doing science in Antarctica provides an innovative shift for understanding digital storytelling not only in terms of media democracy, but also rethinking its expediency as a novel mode of science diplomacy and democratisation of science. Third, and in framing the creative engagement process, the article considers the importance of bringing attention to thinking about globalism from the southern hemisphere in the context of the increasing significance that the Antarctic region holds for Southern Ocean rim countries. Highlighting the challenge of developing science-citizens interfaces, the article concludes by suggesting that we consider the complex entanglements between geopolitics, science and citizenship in a broader setting if we are to acknowledge that citizens' engagement with critical scientific debates and decisions that affect their futures is today more pertinent than ever.</t>
  </si>
  <si>
    <t>[Salazar, Juan Francisco] Univ Western Sydney, Penrith, NSW 1797, Australia; [Barticevic, Elias] Univ Western Sydney, Penrith, NSW 1797, Australia; [Barticevic, Elias] Chilean Antarctic Inst, Coordinat Unit, Villa Las Estrellas, Chile</t>
  </si>
  <si>
    <t>Western Sydney University; Western Sydney University</t>
  </si>
  <si>
    <t>Salazar, JF (corresponding author), Univ Western Sydney, Penrith, NSW 1797, Australia.</t>
  </si>
  <si>
    <t>j.salazar@westernsydney.edu.au; ebarticevic@inach.cl</t>
  </si>
  <si>
    <t>ROUTLEDGE JOURNALS, TAYLOR &amp; FRANCIS LTD</t>
  </si>
  <si>
    <t>2-4 PARK SQUARE, MILTON PARK, ABINGDON OX14 4RN, OXON, ENGLAND</t>
  </si>
  <si>
    <t>0256-0046</t>
  </si>
  <si>
    <t>1992-6049</t>
  </si>
  <si>
    <t>CRIT ARTS</t>
  </si>
  <si>
    <t>Crit. Arts</t>
  </si>
  <si>
    <t>SEP 3</t>
  </si>
  <si>
    <t>10.1080/02560046.2015.1125087</t>
  </si>
  <si>
    <t>Cultural Studies</t>
  </si>
  <si>
    <t>DF3KV</t>
  </si>
  <si>
    <t>WOS:000371243700002</t>
  </si>
  <si>
    <t>Goordial, J; Raymond-Bouchard, I; Ronholm, J; Shapiro, N; Woyke, T; Whyte, L; Bakermans, C</t>
  </si>
  <si>
    <t>Goordial, Jacqueline; Raymond-Bouchard, Isabelle; Ronholm, Jennifer; Shapiro, Nicole; Woyke, Tanja; Whyte, Lyle; Bakermans, Corien</t>
  </si>
  <si>
    <t>Improved-high-quality draft genome sequence of Rhodococcus sp. JG-3, a eurypsychrophilic Actinobacteria from Antarctic Dry Valley permafrost</t>
  </si>
  <si>
    <t>STANDARDS IN GENOMIC SCIENCES</t>
  </si>
  <si>
    <t>Rhodococcus sp JG-3; Permafrost; Eurypsychrophile; Dry valleys; Antarctica</t>
  </si>
  <si>
    <t>BIODEGRADATION; TEMPERATURES; SYSTEM</t>
  </si>
  <si>
    <t>The actinobacterium Rhodococcus sp. JG-3 is an aerobic, eurypsychrophilic, soil bacterium isolated from permafrost in the hyper arid Upper Dry Valleys of Antarctica. It is yellow pigmented, gram positive, moderately halotolerant and capable of growth from 30 degrees C down to at least -5 degrees C. The 5.28 Mb high-quality-draft genome is arranged into 6 scaffolds, containing 9 contigs and 4998 protein coding genes, with 64 % GC content. Increasing the availability of genome sequences from cold-adapted species is crucial to gaining a better understanding of the molecular traits of cold adaptation in microbes.</t>
  </si>
  <si>
    <t>[Goordial, Jacqueline; Raymond-Bouchard, Isabelle; Ronholm, Jennifer; Whyte, Lyle] McGill Univ, Ste Anne De Bellevue, PQ H9X 3V9, Canada; [Shapiro, Nicole; Woyke, Tanja] DOE Joint Genome Inst, Walnut Creek, CA USA; [Bakermans, Corien] Penn State Univ, Altoona Coll, Altoona, PA USA</t>
  </si>
  <si>
    <t>McGill University; United States Department of Energy (DOE); Pennsylvania Commonwealth System of Higher Education (PCSHE); Pennsylvania State University</t>
  </si>
  <si>
    <t>Whyte, L (corresponding author), McGill Univ, 21,111 Lakeshore Rd, Ste Anne De Bellevue, PQ H9X 3V9, Canada.</t>
  </si>
  <si>
    <t>lyle.whyte@mcgill.ca</t>
  </si>
  <si>
    <t>Ronholm, Jennifer/ABD-6240-2020; Woyke, Tanja/S-7870-2018</t>
  </si>
  <si>
    <t>Bakermans, Corien/0000-0002-3471-2570; Woyke, Tanja/0000-0002-9485-5637; Goordial, Jacqueline/0000-0001-5005-673X</t>
  </si>
  <si>
    <t>NASA ASTEP program; NSF/OPP [B-302-M]; Natural Sciences and Engineering Research Council (NSERC) Discovery Grant Program; NSERC Northern Supplements Program; NSERC CREATE Canadian Astrobiology Training Program (CATP); Office of Science of the U.S. Department of Energy [DE-AC02-05CH11231]</t>
  </si>
  <si>
    <t>NASA ASTEP program(National Aeronautics &amp; Space Administration (NASA)); NSF/OPP(National Science Foundation (NSF)NSF - Directorate for Geosciences (GEO)); Natural Sciences and Engineering Research Council (NSERC) Discovery Grant Program(Natural Sciences and Engineering Research Council of Canada (NSERC)); NSERC Northern Supplements Program(Natural Sciences and Engineering Research Council of Canada (NSERC)); NSERC CREATE Canadian Astrobiology Training Program (CATP)(Natural Sciences and Engineering Research Council of Canada (NSERC)); Office of Science of the U.S. Department of Energy(United States Department of Energy (DOE))</t>
  </si>
  <si>
    <t>This work was supported by the NASA ASTEP program and with field support via NSF/OPP (project B-302-M). Support was provided by the Natural Sciences and Engineering Research Council (NSERC) Discovery Grant Program, NSERC Northern Supplements Program, and NSERC CREATE Canadian Astrobiology Training Program (CATP). The work conducted by the U.S. Department of Energy Joint Genome Institute is supported by the Office of Science of the U.S. Department of Energy under Contract No. DE-AC02-05CH11231. Additional thanks to Marcel Huntemann, James Han, Amy Chen, Nikos Kyrpides, Victor Markowitz, Krishna Palaniappan, Natalia Ivanova, Natalia Mikhailova, Galina Ovchinnikova, Andrew Schaumberg, Amrita Pati, Dimitrios Stamatis, Tatiparthi Reddy, Henrik P. Nordberg, Michael N. Cantor, and Susan X. Hua of JGI.</t>
  </si>
  <si>
    <t>BMC</t>
  </si>
  <si>
    <t>CAMPUS, 4 CRINAN ST, LONDON N1 9XW, ENGLAND</t>
  </si>
  <si>
    <t>1944-3277</t>
  </si>
  <si>
    <t>STAND GENOMIC SCI</t>
  </si>
  <si>
    <t>Stand. Genomic Sci.</t>
  </si>
  <si>
    <t>10.1186/s40793-015-0043-8</t>
  </si>
  <si>
    <t>Genetics &amp; Heredity; Microbiology</t>
  </si>
  <si>
    <t>DA7OK</t>
  </si>
  <si>
    <t>WOS:000367993400001</t>
  </si>
  <si>
    <t>Jung, JH; Park, KM; Yang, EJ; Joo, HM; Jeon, M; Kang, SH; Choi, HG; Park, MH; Min, GS; Kim, S</t>
  </si>
  <si>
    <t>Jung, Jae-Ho; Park, Kyung-Min; Yang, Eun Jin; Joo, Hyoung Min; Jeon, Misa; Kang, Sung-Ho; Choi, Han-Gu; Park, Mi-Hyun; Min, Gi-Sik; Kim, Sanghee</t>
  </si>
  <si>
    <t>Patchy-distributed ciliate (Protozoa) diversity of eight polar communities as determined by 454 amplicon pyrosequencing</t>
  </si>
  <si>
    <t>ANIMAL CELLS AND SYSTEMS</t>
  </si>
  <si>
    <t>community structure; eukaryotic microbial ecology; polar ciliate; pyrosequencing; V4 region</t>
  </si>
  <si>
    <t>RIBOSOMAL-RNA GENE; PROTIST DIVERSITY; QUANTITATIVE PCR; COASTAL WATERS; CILIOPHORA; PLANKTON; ECOSYSTEMS; BIOSPHERE; SEDIMENTS; ECOLOGY</t>
  </si>
  <si>
    <t>To determine ciliate diversity and community structure in the polar ecosystem efficiently, we applied the pyrosequencing technique to the polar samples. To select the appropriate sequencing depth using a ciliate-specific primer, we evaluated different pyrosequencing depths, ranging 4149-112,306 reads. At a 3% distance cutoff for clustering, 750 operational taxonomic units (OTUs) were identified, and 332 were composed of a single read (singletons). The singletons showed a 1.8-fold increase in OTU richness, although their beta diversity showed no significant changes. The ratio of singletons in each sequencing depth was sharply decreased after reaching the sequencing depth of approximately 10,000 reads, and the singletons did not completely disappear even at 73,435 qualified reads. The data set without singletons showed saturated trends in rarefaction curves. In addition, we built a normalized data set without the singletons (1227 readsxeight samples). Among the samples, one brackish water having a broad range of salinity (3-23 PSU) at the Arctic coast presented the highest OTU richness (103), while a temporal pool at the Antarctic coast with a high salinity of 53.4 PSU, showed a relatively lower OTUs (8). Each normalized sample showed a distinct community structure. Interestingly, a freshwater lake on King George Island shared relatively higher OTUs with salt-water samples (72.1%), suggesting a higher inter-relationship with closely located coastal water environment.</t>
  </si>
  <si>
    <t>[Jung, Jae-Ho; Park, Kyung-Min; Park, Mi-Hyun; Min, Gi-Sik] Inha Univ, Dept Biol Sci, Inchon 402751, South Korea; [Jung, Jae-Ho; Park, Kyung-Min; Choi, Han-Gu; Kim, Sanghee] Korea Polar Res Inst KOPRI, Div Life Sci, Inchon 406840, South Korea; [Yang, Eun Jin; Joo, Hyoung Min; Jeon, Misa; Kang, Sung-Ho] Korea Polar Res Inst KOPRI, Div Polar Ocean Sci, Inchon 406840, South Korea; [Jung, Jae-Ho] Gangneung Wonju Natl Univ, Dept Biol, Kangnung 210702, South Korea</t>
  </si>
  <si>
    <t>Inha University; Korea Polar Research Institute (KOPRI); Korea Polar Research Institute (KOPRI); Kangnung Wonju National University</t>
  </si>
  <si>
    <t>Kim, S (corresponding author), Korea Polar Res Inst KOPRI, Div Life Sci, 26 Songdomirae Ro, Inchon 406840, South Korea.</t>
  </si>
  <si>
    <t>sangheekim@kopri.re.kr</t>
  </si>
  <si>
    <t>Park, Mi-Hyun/AAP-9591-2020; Jung, Jae-Ho/L-2849-2016</t>
  </si>
  <si>
    <t>Park, Mi-Hyun/0000-0002-2844-3546; Jung, Jae-Ho/0000-0001-5497-8678; Yang, Eun Jin/0000-0002-8639-5968</t>
  </si>
  <si>
    <t>Inha University; Graduate Program for the Undiscovered Taxa of Korea [1834-302]; Ministry of Environment, Korea; Polar Academic Program (PAP) of KOPRI [PE15020]</t>
  </si>
  <si>
    <t>Inha University; Graduate Program for the Undiscovered Taxa of Korea; Ministry of Environment, Korea; Polar Academic Program (PAP) of KOPRI</t>
  </si>
  <si>
    <t>This study was supported by the Inha University research grant, the Graduate Program for the Undiscovered Taxa of Korea (1834-302), the Ministry of Environment, Korea, and the Polar Academic Program (PAP, PE15020) of KOPRI.</t>
  </si>
  <si>
    <t>1976-8354</t>
  </si>
  <si>
    <t>2151-2485</t>
  </si>
  <si>
    <t>ANIM CELLS SYST</t>
  </si>
  <si>
    <t>Anim. Cells Syst.</t>
  </si>
  <si>
    <t>10.1080/19768354.2015.1082931</t>
  </si>
  <si>
    <t>Cell Biology; Zoology</t>
  </si>
  <si>
    <t>CT0RB</t>
  </si>
  <si>
    <t>WOS:000362502900008</t>
  </si>
  <si>
    <t>Aubin, T; Jouventin, P; Charrier, I</t>
  </si>
  <si>
    <t>Aubin, Thierry; Jouventin, Pierre; Charrier, Isabelle</t>
  </si>
  <si>
    <t>Mother Vocal Recognition in Antarctic Fur Seal Arctocephalus gazella Pups: A Two-Step Process</t>
  </si>
  <si>
    <t>ACOUSTIC COMMUNICATION; IDENTIFY; COLONY</t>
  </si>
  <si>
    <t>In otariids, mother's recognition by pups is essential to their survival since females nurse exclusively their own young and can be very aggressive towards non-kin. Antarctic fur seal, Arctocephalus gazella, come ashore to breed and form dense colonies. During the 4-month lactation period, females alternate foraging trips at sea with suckling period ashore. On each return to the colony, females and pups first use vocalizations to find each other among several hundred conspecifics and olfaction is used as a final check. Such vocal identification has to be highly efficient. In this present study, we investigated the components of the individual vocal signature used by pups to identify their mothers by performing playback experiments on pups with synthetic signals. We thus tested the efficiency of this individual vocal signature by performing propagation tests and by testing pups at different playback distances. Pups use both amplitude and frequency modulations to identify their mother's voice, as well as the energy spectrum. Propagation tests showed that frequency modulations propagated reliably up to 64m, whereas amplitude modulations and spectral content greatly were highly degraded for distances over 8m. Playback on pups at different distances suggested that the individual identification is a two-step process: at long range, pups identified first the frequency modulation pattern of their mother's calls, and other components of the vocal signature at closer range. The individual vocal recognition system developed by Antarctic fur seals is well adapted to face the main constraint of finding kin in a crowd.</t>
  </si>
  <si>
    <t>[Aubin, Thierry; Charrier, Isabelle] Univ Paris 11, NeuroPSI, UMR 9197, F-91405 Orsay, France; [Aubin, Thierry; Charrier, Isabelle] CNRS, F-91405 Orsay, France; [Jouventin, Pierre] CEFE, UMR 5175, F-34293 Montpellier, France</t>
  </si>
  <si>
    <t>Centre National de la Recherche Scientifique (CNRS); CNRS - National Institute for Biology (INSB); Universite Paris Saclay; Centre National de la Recherche Scientifique (CNRS);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t>
  </si>
  <si>
    <t>Aubin, T (corresponding author), Univ Paris 11, NeuroPSI, UMR 9197, F-91405 Orsay, France.</t>
  </si>
  <si>
    <t>thierry.aubin@u-psud.fr</t>
  </si>
  <si>
    <t>CHARRIER, Isabelle/0000-0003-4873-2342</t>
  </si>
  <si>
    <t>French Polar Institute, (IPEV) [ETHOTAAF 354]</t>
  </si>
  <si>
    <t>French Polar Institute, (IPEV)</t>
  </si>
  <si>
    <t>This field research was part of the program ETHOTAAF 354, program funded by the French Polar Institute, (IPEV).</t>
  </si>
  <si>
    <t>SEP 2</t>
  </si>
  <si>
    <t>e0134513</t>
  </si>
  <si>
    <t>10.1371/journal.pone.0134513</t>
  </si>
  <si>
    <t>CQ4ZT</t>
  </si>
  <si>
    <t>WOS:000360613800011</t>
  </si>
  <si>
    <t>Humphries, GRW</t>
  </si>
  <si>
    <t>Humphries, Grant Richard Woodrow</t>
  </si>
  <si>
    <t>Estimating Regions of Oceanographic Importance for Seabirds Using A-Spatial Data</t>
  </si>
  <si>
    <t>PELAGIC SEABIRD; SHEARWATER; HARVEST; TRENDS; OCEAN; CHICK; AVAILABILITY; BEHAVIOR; RAKIURA; COLONY</t>
  </si>
  <si>
    <t>Advances in GPS tracking technologies have allowed for rapid assessment of important oceanographic regions for seabirds. This allows us to understand seabird distributions, and the characteristics which determine the success of populations. In many cases, quality GPS tracking data may not be available; however, long term population monitoring data may exist. In this study, a method to infer important oceanographic regions for seabirds will be presented using breeding sooty shearwaters as a case study. This method combines a popular machine learning algorithm (generalized boosted regression modeling), geographic information systems, long-term ecological data and open access oceanographic datasets. Time series of chick size and harvest index data derived from a long term dataset of Maori 'muttonbirder' diaries were obtained and used as response variables in a gridded spatial model. It was found that areas of the sub-Antarctic water region best capture the variation in the chick size data. Oceanographic features including wind speed and charnock (a derived variable representing ocean surface roughness) came out as top predictor variables in these models. Previously collected GPS data demonstrates that these regions are used as flyways by sooty shearwaters during the breeding season. It is therefore likely that wind speeds in these flyways affect the ability of sooty shearwaters to provision for their chicks due to changes in flight dynamics. This approach was designed to utilize machine learning methodology but can also be implemented with other statistical algorithms. Furthermore, these methods can be applied to any long term time series of population data to identify important regions for a species of interest.</t>
  </si>
  <si>
    <t>[Humphries, Grant Richard Woodrow] Univ Calif Davis, Dept Neurobiol Physiol &amp; Behav, Davis, CA 95616 USA; [Humphries, Grant Richard Woodrow] Univ Otago, Dept Zool, Ctr Sustainabil Agr Food Energy &amp; Environm, Dunedin, New Zealand</t>
  </si>
  <si>
    <t>University of California System; University of California Davis; University of Otago</t>
  </si>
  <si>
    <t>Humphries, GRW (corresponding author), Univ Calif Davis, Dept Neurobiol Physiol &amp; Behav, Davis, CA 95616 USA.</t>
  </si>
  <si>
    <t>grwhumphries@humphriesresearch.com</t>
  </si>
  <si>
    <t>Humphries, Grant/0000-0001-5783-9892</t>
  </si>
  <si>
    <t>National Geographic [WGS249-12]</t>
  </si>
  <si>
    <t>National Geographic(National Geographic Society)</t>
  </si>
  <si>
    <t>This project was funded by National Geographic, grant# WGS249-12 on behalf of the Waitt Foundation and the Department of Zoology at the University of Otago. The funders had no role in study design, data collection and analysis, decision to publish, or preparation of the manuscript.</t>
  </si>
  <si>
    <t>e0137241</t>
  </si>
  <si>
    <t>10.1371/journal.pone.0137241</t>
  </si>
  <si>
    <t>WOS:000360613800115</t>
  </si>
  <si>
    <t>Seppälä, A; Clilverd, MA</t>
  </si>
  <si>
    <t>Seppala, Annika; Clilverd, Mark A.</t>
  </si>
  <si>
    <t>Response: Commentary: Energetic particle forcing of the Northern Hemisphere winter stratosphere: comparison to solar irradiance forcing</t>
  </si>
  <si>
    <t>FRONTIERS IN PHYSICS</t>
  </si>
  <si>
    <t>energetic particle precipitation; stratosphere; dynamics; solar cycle; solar variability</t>
  </si>
  <si>
    <t>[Seppala, Annika] Finnish Meteorol Inst, Earth Observat, Helsinki, Finland; [Clilverd, Mark A.] British Antarctic Survey NERC, Cambridge, England</t>
  </si>
  <si>
    <t>Finnish Meteorological Institute; UK Research &amp; Innovation (UKRI); Natural Environment Research Council (NERC); NERC British Antarctic Survey</t>
  </si>
  <si>
    <t>Seppälä, A (corresponding author), Finnish Meteorol Inst, Earth Observat, Helsinki, Finland.</t>
  </si>
  <si>
    <t>Seppälä, Annika/C-8031-2014</t>
  </si>
  <si>
    <t>Seppälä, Annika/0000-0002-5028-8220</t>
  </si>
  <si>
    <t>Natural Environment Research Council [bas0100031] Funding Source: researchfish; NERC [bas0100031] Funding Source: UKRI</t>
  </si>
  <si>
    <t>FRONTIERS RESEARCH FOUNDATION</t>
  </si>
  <si>
    <t>EPFL SCIENCE PARK, BLDG D, LAUSANNE, 1015, SWITZERLAND</t>
  </si>
  <si>
    <t>2296-424X</t>
  </si>
  <si>
    <t>FRONT PHYS</t>
  </si>
  <si>
    <t>Front. Physics</t>
  </si>
  <si>
    <t>10.3389/fphy.2015.00069</t>
  </si>
  <si>
    <t>Physics, Multidisciplinary</t>
  </si>
  <si>
    <t>Physics</t>
  </si>
  <si>
    <t>EB3MS</t>
  </si>
  <si>
    <t>gold, Green Accepted</t>
  </si>
  <si>
    <t>WOS:000387269600001</t>
  </si>
  <si>
    <t>Pedersen, LER; McLoughlin, N; Vullum, PE; Thorseth, IH</t>
  </si>
  <si>
    <t>Pedersen, Leif-Erik Rydland; McLoughlin, Nicola; Vullum, Per Erik; Thorseth, Ingunn H.</t>
  </si>
  <si>
    <t>Abiotic and candidate biotic micro-alteration textures in subseafloor basaltic glass: A high-resolution in-situ textural and geochemical investigation</t>
  </si>
  <si>
    <t>Biosignatures; Alteration textures; FIB-TEM (focused ion beam transmission electron microscopy); Volcanic glass; Zeolite</t>
  </si>
  <si>
    <t>SEA-FLOOR BASALT; VOLCANIC GLASS; DEEP; LIFE; DIVERSITY; BIOSIGNATURES; MICROANALYSIS; INTERFACE; ISOTOPE; ROCKS</t>
  </si>
  <si>
    <t>The oceanic crust provides one of the largest habitats for subsurface microbial life on earth, where lithoautotrophs utilize redox gradients between reduced elements in volcanic rocks and oxygenated seawater to form the basis of a deepmicrobial biosphere. Progressive alteration of the oceanic crust is argued to be in part microbially mediated, but identifying robust textural and geochemical biosignatures with good fossilization potential is challenging. This study investigates pillow basalts from the Antarctic Australian Discordance (AAD) at the South East Indian Ridge (SEIR) containing candidate textural biosignatures in alteration products of the glassy margins (Thorseth et al., 2003). Samples include 2.5 Ma dredged seafloor basalts, and 18-28 Ma drill core samples from the Ocean Drilling Program (ODP) Leg 187. The focused ion beam (FIB) technique was used to prepare electron transparent foils across spherical microtextures in zeolite filled fractures and altered glass (palagonite), and across microtunnels at the interface of fresh and altered glass. Transmission electron microscopy (TEM) was used to map chemical and ultrastructural variations and to evaluate both biotic and abiotic origins of the candidate textural biosignatures in the FIB prepared foils. Three foils were cut from zeolite hosted, hollow microspheres, which comprise purely Fe-oxyhydroxides, or mixed Mn-Mg, and Fe-Mn oxyhydroxides. Themicrospheres are 1 to 4 mu m across, with a radiating ultrastructure, and have a denser inner surface and a more porous outer surface, suggesting outwards growth from a spherical initial surface. Amorphous organic carbon is associated with some of the microtextures both on the inner and outer walls. These microtextures are interpreted as mineral encrusted microbial cells. A FIB-foil was also cut from palagonite-hosted microspheres, which are more irregular in shape and partially infilled by palagonite. Amorphous organic carbon is abundant in the vicinity of the microtextures but is spatially unrelated, and may be derived from several sources. The results indicate that maturation of the palagonite, involving dehydration and recrystallization, overprints and destroys potential biosignatures in this alteration phase. In contrast, the zeolite-hosted microtextures appear to have a higher preservation potential. Tubular microtextures in the glass at the alteration front comparable to argued bioalteration textures are also abundant in the AAD basalts. However, their angular cross-sectional shape and lack of bio-elements in the palagonite infill, mean that an abiotic origin cannot be excluded. In summary, FIB-TEM provides multiple high-resolution lines of information to characterize alteration textures in ocean floor basalts. Comparing the evidence obtained from glass hosted microtunnels, zeolite and palagonite hosted microspheres we conclude that the zeolite hosted microtextures are the strongest candidate biosignature. The combination of the size, rim ultrastructure, and elemental composition is consistent with an origin as cell encrustations, resulting from the biologically induced mineralization of microbial cells that inhabited fractures in pillow lavas both at the seafloor and the subseafloor stage. (C) 2015 Elsevier B.V. All rights reserved.</t>
  </si>
  <si>
    <t>[Pedersen, Leif-Erik Rydland; McLoughlin, Nicola; Thorseth, Ingunn H.] Univ Bergen, Dept Earth Sci, Bergen, Norway; [Pedersen, Leif-Erik Rydland; McLoughlin, Nicola; Thorseth, Ingunn H.] Univ Bergen, Ctr Geobiol, Bergen, Norway; [Vullum, Per Erik] SINTEF Mat &amp; Chem, Trondheim, Norway</t>
  </si>
  <si>
    <t>University of Bergen; University of Bergen; SINTEF</t>
  </si>
  <si>
    <t>Pedersen, LER (corresponding author), Univ Bergen, Dept Earth Sci, Bergen, Norway.</t>
  </si>
  <si>
    <t>Leif-Erik.Pedersen@geo.uib.no</t>
  </si>
  <si>
    <t>McLoughlin, Nicola/0000-0003-0410-5160; Vullum, Per Erik/0000-0001-7968-4879</t>
  </si>
  <si>
    <t>NorFab grant [2013/4651]; project NORTEM within program INFRASTRUCTURE of Research Council of Norway (RCN) [197405]; RCN; Bergen Research Foundation; UiB grant; Centre for Geobiology; UiB</t>
  </si>
  <si>
    <t>NorFab grant; project NORTEM within program INFRASTRUCTURE of Research Council of Norway (RCN); RCN; Bergen Research Foundation; UiB grant; Centre for Geobiology; UiB</t>
  </si>
  <si>
    <t>We thank Egil Eriksen for assistance on the SEM and TEM, Eugene Grosch and Rolf Birger Pedersen for constructive and interesting discussions, Alden Ross Denny and Bjarte Hannisdal for helping with Matlab, and Anja Schreiber (GFZ Potsdam) for making FIB foils from the volcanic glass. Work on the FIB in Trondheim was supported by NorFab grant 2013/4651, and by the project NORTEM (Grant 197405) within the program INFRASTRUCTURE of the Research Council of Norway (RCN). NORTEM was co-funded by the RCN and the project partners NTNU, UiO and SINTEF. Financial support for this work was received from a Bergen Research Foundation and UiB grant to Nicola McLoughlin and from the Centre for Geobiology, funded by RCN and UiB. Also Jeff Alt, an anonymous reviewer, and Jeremy Fein are thanked for constructive feedback that greatly improved the manuscript.</t>
  </si>
  <si>
    <t>10.1016/j.chemgeo.2015.06.005</t>
  </si>
  <si>
    <t>CO3NH</t>
  </si>
  <si>
    <t>WOS:000359064300011</t>
  </si>
  <si>
    <t>Cenizo, M; Hospitaleche, CA; Reguero, M</t>
  </si>
  <si>
    <t>Cenizo, Marcos; Acosta Hospitaleche, Carolina; Reguero, Marcelo</t>
  </si>
  <si>
    <t>Diversity of pseudo-toothed birds (Pelagornithidae) from the Eocene of Antarctica</t>
  </si>
  <si>
    <t>JOURNAL OF PALEONTOLOGY</t>
  </si>
  <si>
    <t>PACIFIC BASIN RECORD; SEYMOUR ISLAND; MIDDLE EOCENE; AVES; MIOCENE; ODONTOPTERYGIFORMES; PALEOGENE; STERNUM</t>
  </si>
  <si>
    <t>The Antarctic pelagornithid record is restricted to few isolated remains from the Eocene of Seymour Island in the Antarctic Peninsula. Here we report the oldest Antarctic pseudo-toothed bird. It is represented by an incomplete humerus lacking its proximal end, which comes from the lower Eocene levels of the La Meseta Formation (Seymour Island). This new specimen facilitates a review of all known pelagornithids from this continent. Antarctic pelagornithids were classified into two morphotypes that exhibit a mix of putative plesiomorphic and derived characters. Considering the worldwide pelagornithid record and according to estimated wingspans, four approximate size-types were identified. The oldest Antarctic specimens (two fragmentary humeri, middle Ypresian) were assigned to morphotype 1 and correspond to the large size-type. The younger materials (Bartonian/?Priabonian) here assigned to morphotype 2 (some cranial remains, fragmentary tarsometatarsus and humerus) correspond to the giant size-type and represent one of the largest known pseudo-toothed birds. Even though species level phylogenetic affinities of Pelagornithidae remain poorly resolved, three key evolutionary events can be recognized: (1) the disappearance of Dasornis in the Early Eocene and the appearance of more advanced forms with a trend to the specialization of large soaring capacity, (2) the origin of Pelagornis sensu lato species in the early Oligocene, and (3) the appearance and dominance of a highly specialized terminal group at Mio/Pliocene time span.</t>
  </si>
  <si>
    <t>[Cenizo, Marcos] Museo Hist Nat Prov La Pampa, Div Paleontol, Pellegrini 180, RA-6300 Santa Rosa, La Pampa, Argentina; [Cenizo, Marcos] Univ Maimonides, CEBBAD, Dept Ciencias Nat &amp; Antropol, Fdn Hist Nat Felix Azara, Buenos Aires, DF, Argentina; [Acosta Hospitaleche, Carolina; Reguero, Marcelo] Univ Nacl La Plata, Fac Ciencias Nat &amp; Museo, Div Paleontol Vertebrados, RA-1900 La Plata, Buenos Aires, Argentina; [Acosta Hospitaleche, Carolina; Reguero, Marcelo] Consejo Nacl Invest Cient &amp; Tecn, RA-1033 Buenos Aires, DF, Argentina; [Reguero, Marcelo] Inst Antartico Argentino, Buenos Aires, DF, Argentina</t>
  </si>
  <si>
    <t>National University of La Plata; Museo La Plata; Consejo Nacional de Investigaciones Cientificas y Tecnicas (CONICET); Instituto Antartico Argentino</t>
  </si>
  <si>
    <t>Cenizo, M (corresponding author), Museo Hist Nat Prov La Pampa, Div Paleontol, Pellegrini 180, RA-6300 Santa Rosa, La Pampa, Argentina.</t>
  </si>
  <si>
    <t>cenizomarcos@yahoo.com.ar; acostacaro@fcnym.unlp.edu.ar; mreguero@dna.gov.ar</t>
  </si>
  <si>
    <t>Cenizo, Marcos/M-5144-2019; Acosta Hospitaleche, Carolina/E-5740-2017; Reguero, Marcelo A./JHS-4893-2023</t>
  </si>
  <si>
    <t>Cenizo, Marcos/0000-0001-9301-0205; Acosta Hospitaleche, Carolina/0000-0002-2614-1448;</t>
  </si>
  <si>
    <t>Instituto Antartico Argentino; Consejo Nacional de Investigaciones Cientificas y Tecnicas; Agencia Nacional de Promocion Cientifica y Tecnologica; Universidad Nacional de La Plata</t>
  </si>
  <si>
    <t>Instituto Antartico Argentino; Consejo Nacional de Investigaciones Cientificas y Tecnicas(Consejo Nacional de Investigaciones Cientificas y Tecnicas (CONICET)); Agencia Nacional de Promocion Cientifica y Tecnologica(ANPCyTSpanish Government); Universidad Nacional de La Plata(National University of La Plata)</t>
  </si>
  <si>
    <t>We thank the logistic support of the Direccion Nacional del Antartico and Fuerza Aerea Argentina during field work in Antarctica. Especially to Cecilia Deschamps and Federico Agnolin for their assistance with English version. The suggestions and comments provided by the associate editor Daniel Ksepka, Estelle Bourdon and an anonymous reviewer improved the quality of the manuscript and are appreciated. The Instituto Antartico Argentino supported this project along with grants from the Consejo Nacional de Investigaciones Cientificas y Tecnicas, Agencia Nacional de Promocion Cientifica y Tecnologica, and Universidad Nacional de La Plata.</t>
  </si>
  <si>
    <t>0022-3360</t>
  </si>
  <si>
    <t>1937-2337</t>
  </si>
  <si>
    <t>J PALEONTOL</t>
  </si>
  <si>
    <t>J. Paleontol.</t>
  </si>
  <si>
    <t>SEP</t>
  </si>
  <si>
    <t>10.1017/jpa.2015.48</t>
  </si>
  <si>
    <t>DN0QH</t>
  </si>
  <si>
    <t>WOS:000376768000010</t>
  </si>
  <si>
    <t>Raksha, NG; Gladun, DV; Savchuk, OM; Ostapchenko, LI</t>
  </si>
  <si>
    <t>Raksha, N. G.; Gladun, D. V.; Savchuk, O. M.; Ostapchenko, L. I.</t>
  </si>
  <si>
    <t>COLLAGENOLYTIC ACTIVITY IN TISSUE EXTRACT OF PARBORLASIA CORRUGATUSFROM ANTARCTIC REGION</t>
  </si>
  <si>
    <t>BIOMEDICAL RESEARCH AND THERAPY</t>
  </si>
  <si>
    <t>Marine hydrobiont; Gel filtration chromatography; Zymographic technique; Collagenolytic; Trypsin-like activities</t>
  </si>
  <si>
    <t>MATRIX</t>
  </si>
  <si>
    <t>Marine organisms have been recognized as rich sources of bioactive compounds with valuable biotechnology potential. Enzymes extracted from marine hydrobionts have gained much attention because of their unique quite specific properties that determined their profound applications in chemical, medical, food industries and molecular biology experiments. In this regard, our work focused on investigation of proteolytic potential of marine hydrobionts. At first, tissue extract of Antarctic hydrobiont Parborlasia corrugatus was separated by gel filtration chromatography on a Superdex-75 PG. Further zymography with using gelatin as substrate revealed the presence of clear band that can indicate about active enzymes. It had been shown the presence of collagenolytic activity in all eight fractions obtained after chromatographic separation of tissue extract. Trypsin-like (L-BApNA hydrolyzing) was found only in first fraction. Our results let us assume that P. corrugatus can be regarded as potential source of enzymes for practical use.</t>
  </si>
  <si>
    <t>[Raksha, N. G.; Gladun, D. V.; Savchuk, O. M.; Ostapchenko, L. I.] Taras Shevchenko Natl Univ Kyiv, ESC Inst Biol, 64-13 Volodymyrska Str, UA-01601 Kiev, Ukraine</t>
  </si>
  <si>
    <t>Ministry of Education &amp; Science of Ukraine; Taras Shevchenko National University of Kyiv</t>
  </si>
  <si>
    <t>Raksha, NG (corresponding author), Taras Shevchenko Natl Univ Kyiv, ESC Inst Biol, 64-13 Volodymyrska Str, UA-01601 Kiev, Ukraine.</t>
  </si>
  <si>
    <t>natahenkudina@gmail.com</t>
  </si>
  <si>
    <t>Ostapchenko, Liudmyla/ISV-1878-2023; Savchuk, Olexiy/GQH-1456-2022; Savchuk, Olexiy/K-2863-2014; Savchuk, Olexiy/M-5589-2019; Dmytro, Gladun/AAH-8719-2020; Raksha, Nataliia/IST-3176-2023; Raksha, Nataliia/H-9806-2018</t>
  </si>
  <si>
    <t>Ostapchenko, Liudmyla/0000-0001-7181-6048; Savchuk, Olexiy/0000-0003-3621-6981; Savchuk, Olexiy/0000-0003-3621-6981; Savchuk, Olexiy/0000-0003-3621-6981; Raksha, Nataliia/0000-0001-6654-771X</t>
  </si>
  <si>
    <t>BIOMEDPRESS</t>
  </si>
  <si>
    <t>HO CHI MINH</t>
  </si>
  <si>
    <t>BIOMEDPRESS, HO CHI MINH, 00000, VIETNAM</t>
  </si>
  <si>
    <t>2198-4093</t>
  </si>
  <si>
    <t>BIOMED RES THER</t>
  </si>
  <si>
    <t>Biomed. Res. Ther.</t>
  </si>
  <si>
    <t>10.7603/s40730-015-0021-1</t>
  </si>
  <si>
    <t>Medicine, Research &amp; Experimental</t>
  </si>
  <si>
    <t>Research &amp; Experimental Medicine</t>
  </si>
  <si>
    <t>DF9FM</t>
  </si>
  <si>
    <t>WOS:000371666400001</t>
  </si>
  <si>
    <t>Estebenet, MSG; Guerstein, GR; Casadío, S</t>
  </si>
  <si>
    <t>Gonzalez Estebenet, M. Sol; Raquel Guerstein, G.; Casadio, Silvio</t>
  </si>
  <si>
    <t>BIOSTRATIGRAPHIC AND PALEOENVIRONMENTAL STUDY OF RIO TURBIO FORMATION (MIDDLE-UPPER EOCENE) IN SOUTHWEST OF PATAGONIA (ARGENTINA) BASED ON DINOFLAGELLATE CYSTS</t>
  </si>
  <si>
    <t>REVISTA BRASILEIRA DE PALEONTOLOGIA</t>
  </si>
  <si>
    <t>dinoflagellate cysts; middle-late Eocene; Drake Passage; biostratigraphy; paleoenvironment</t>
  </si>
  <si>
    <t>SANTA-CRUZ PROVINCE; TIERRA-DEL-FUEGO; SOUTHERN-OCEAN; DRAKE PASSAGE; SEA; RECONSTRUCTIONS; STRATIGRAPHY; CIRCULATION; ANTARCTICA; GREENHOUSE</t>
  </si>
  <si>
    <t>During the middle and late Eocene the Austral Basin, in southern Patagonia (Argentina), was flooded by an Atlantic Ocean transgression, which was responsible for the deposition of the upper member of the Rio Turbio Formation. We have analyzed the dinoflagellate cyst assemblages from this stratigraphic section in order to provide a biostratigraphic framework and reconstruct the paleogeographic and paleoceanographic conditions in this area. Dinoflagellate cyst events recorded were compared and interpreted based taking into account other records recognized for the South Pacific Ocean. The comparison allowed us to suggest an age between 45.5 Ma (mid-Lutetian) and 33.5 Ma (Priabonian) for the upper member of the Rio Turbio Formation. We recognized three zones of dinoflagellate cysts. Zone I presents an alternating dominance between Enneadocysta dictyostila, Deflandrea antarctica and Vozzhennikovia apertura indicating two sea level rises. Zone II is dominated by V apertura suggesting high trophic levels and cool waters in a shallow-marine coastal environment. The lower part of the Zone III shows a high abundance of Turbiosphaera filosa with different morphotypes, which may correspond to physicochemical changes in the water column. The uppermost part of the Zone III is characterized by Protoperidinaceae and typical forms of T. filosa suggesting an oceanic environment influenced by upwelling processes. Zones I and II are defined by the dominance of middle Eocene endemic-Antarctic assemblage, while Zone III shows a significant replacement of these taxa by cosmopolitan species. This turnover seems to be forced by the deepening of the Southern Atlantic Ocean gateways and the changes in the ocean circulation patterns.</t>
  </si>
  <si>
    <t>[Gonzalez Estebenet, M. Sol; Raquel Guerstein, G.] Univ Nacl Sur, CONICET, Dept Geol, Inst Geol Sur, San Juan 670,B80001CN Bahia Blanca, RA-8000 Bahia Blanca, Buenos Aires, Argentina; [Casadio, Silvio] Univ Nacl Rio Negro, CONICET, RA-8332 General Roca, Rio Negro, Argentina</t>
  </si>
  <si>
    <t>National University of the South; Consejo Nacional de Investigaciones Cientificas y Tecnicas (CONICET); Consejo Nacional de Investigaciones Cientificas y Tecnicas (CONICET)</t>
  </si>
  <si>
    <t>Estebenet, MSG (corresponding author), Univ Nacl Sur, CONICET, Dept Geol, Inst Geol Sur, San Juan 670,B80001CN Bahia Blanca, RA-8000 Bahia Blanca, Buenos Aires, Argentina.</t>
  </si>
  <si>
    <t>sol.gonzalezestebenet@uns.edu.ar; raquel.guerstein@uns.edu.ar; scasadio@conicet.gov.ar</t>
  </si>
  <si>
    <t>SOC BRASILEIRA PALEONTOLOGIA</t>
  </si>
  <si>
    <t>SAO LEOPOLDO</t>
  </si>
  <si>
    <t>PPGEO UNISINOS, AV UNISINOS 950, SAO LEOPOLDO, RS 93022-000, BRAZIL</t>
  </si>
  <si>
    <t>1519-7530</t>
  </si>
  <si>
    <t>2236-1715</t>
  </si>
  <si>
    <t>REV BRAS PALEONTOLOG</t>
  </si>
  <si>
    <t>Rev. Bras. Paleontol.</t>
  </si>
  <si>
    <t>SEP-DEC</t>
  </si>
  <si>
    <t>10.4072/rbp.2015.3.08</t>
  </si>
  <si>
    <t>DC3LY</t>
  </si>
  <si>
    <t>WOS:000369122000008</t>
  </si>
  <si>
    <t>McAllister, JD; Barnett, A; Lyle, JM; Semmens, JM</t>
  </si>
  <si>
    <t>McAllister, Jaime D.; Barnett, Adam; Lyle, Jeremy M.; Semmens, Jayson M.</t>
  </si>
  <si>
    <t>Examining the functional role of current area closures used for the conservation of an overexploited and highly mobile fishery species</t>
  </si>
  <si>
    <t>ICES JOURNAL OF MARINE SCIENCE</t>
  </si>
  <si>
    <t>acoustic telemetry; functional role; Galeorhinus galeus; nursery area</t>
  </si>
  <si>
    <t>SHARK NURSERY AREAS; MARINE RESERVES; MORTALITY; RECOVERY</t>
  </si>
  <si>
    <t>Protecting essential habitats through the implementation of area closures has been recognized as a useful management tool for rebuilding overfished populations and minimizing habitat degradation. School shark (Galeorhinus galeus) have suffered significant stock declines in Australia; however, recent stock assessments suggest the population may have stabilized and the protection of closed nursery areas has been identified as a key management strategy to rebuilding their numbers. Young-of-the-year (YOY) and juvenile G. galeus were acoustically tagged and monitored to determine ontogenetic differences in residency and seasonal use of an important protected nursery area (Shark Refuge Area or SRA) in southeastern Tasmania. Both YOY and juvenile G. galeus showed a distinct seasonal pattern of occurrence in the SRA with most departing the area during winter and only a small proportion of YOY (33%) and no juveniles returning the following spring, suggesting areas outside the SRA may also be important during these early life-history stages. While these behaviors confirm SRAs continue to function as essential habitat during G. galeus early life history, evidence of YOY and juveniles emigrating from these areas within their first 1-2 years and the fact that few YOY return suggest that these areas may only afford protection for a more limited amount of time than previously thought. Determining the importance of neighbouring coastal waters and maintaining the use of traditional fisheries management tools are therefore required to ensure effective conservation of G. galeus during early life history.</t>
  </si>
  <si>
    <t>[McAllister, Jaime D.; Barnett, Adam; Lyle, Jeremy M.; Semmens, Jayson M.] Univ Tasmania, Inst Marine &amp; Antarct Studies, Fisheries &amp; Aquaculture Ctr, Hobart, Tas 7001, Australia; [Barnett, Adam] Deakin Univ, Sch Life &amp; Environm Sci, Melbourne, Vic 3125, Australia; [Barnett, Adam] James Cook Univ, Ctr Trop Water Aquat Ecosyst Res TropWATER, Estuary &amp; Coastal Wetland Ecol Lab, Townsville, Qld 4811, Australia</t>
  </si>
  <si>
    <t>University of Tasmania; Deakin University; James Cook University</t>
  </si>
  <si>
    <t>McAllister, JD (corresponding author), Univ Tasmania, Inst Marine &amp; Antarct Studies, Fisheries &amp; Aquaculture Ctr, Private Bag 49, Hobart, Tas 7001, Australia.</t>
  </si>
  <si>
    <t>jaime.mcallister@utas.edu.au</t>
  </si>
  <si>
    <t>; Lyle, Jeremy/J-7170-2014</t>
  </si>
  <si>
    <t>, Adam/0000-0001-7430-8428; Semmens, Jayson/0000-0003-1742-6692; Lyle, Jeremy/0000-0001-9670-5854</t>
  </si>
  <si>
    <t>Winifred Violet Scott Foundation; Save Our Seas Foundation; Holsworth Wildlife Research Endowment</t>
  </si>
  <si>
    <t>We thank E. Forbes, D. Jones, and R. French for their dedicated assistance with fieldwork particularly the long, cold days diving to maintain the acoustic receiver array. The Australian Animal Tagging and Monitoring System (AATAMS), in collaboration with the Ocean Tracking Network (OTN), Institute for Marine and Antarctic Studies (IMAS), and Commonwealth Scientific and Industrial Research Organisation (CSIRO) Marine and Atmospheric Research, deploy and maintain the Maria and Flinders Island arrays. AATAMS also provided the data from the detections of our sharks on these arrays. This study was supported by grants from the Winifred Violet Scott Foundation to JMS and Save Our Seas Foundation to J.M.S. and A.B. and the Holsworth Wildlife Research Endowment to J.D.M.</t>
  </si>
  <si>
    <t>1054-3139</t>
  </si>
  <si>
    <t>1095-9289</t>
  </si>
  <si>
    <t>ICES J MAR SCI</t>
  </si>
  <si>
    <t>ICES J. Mar. Sci.</t>
  </si>
  <si>
    <t>SEP-OCT</t>
  </si>
  <si>
    <t>10.1093/icesjms/fsv079</t>
  </si>
  <si>
    <t>DB1EU</t>
  </si>
  <si>
    <t>WOS:000368251600007</t>
  </si>
  <si>
    <t>Mendo, T; Lyle, JM; Moltschaniwskyj, NA; Semmens, JM</t>
  </si>
  <si>
    <t>Mendo, T.; Lyle, J. M.; Moltschaniwskyj, N. A.; Semmens, J. M.</t>
  </si>
  <si>
    <t>Early post-settlement mortality of the scallop Pecten fumatus and the role of algal mats as a refuge from predation</t>
  </si>
  <si>
    <t>bivalves; habitat complexity; macroalgae; predation; submersed vegetation</t>
  </si>
  <si>
    <t>JUVENILE BAY SCALLOPS; HABITAT COMPLEXITY; PREY SIZE; TETHERING EXPERIMENTS; COMMERCIAL SCALLOP; ASTERIAS-VULGARIS; SEA STARS; MARINE; SETTLEMENT; RECRUITMENT</t>
  </si>
  <si>
    <t>Early post-settlement mortality is one of the main processes determining distribution and abundance patterns of marine benthic invertebrates. Most scallops have an attached phase as spat before they release the byssus and move onto the soft sediments. Thus, spat differ from other stages of life in their use of microhabitat, lack of mobility, and therefore in their vulnerability to mortality processes such as predation. However, the contribution of predation to explain levels of mortality experienced by spat and early juvenile scallops is unknown. Complex habitats such as seagrasses and algae provide a substrate upon which spat can attach and might confer an advantage as a refuge from predation. This study investigates the contribution of early post-settlement predation on abundance of Pecten fumatus and determines the role of the algae Hincksia sordida as a refuge from predation. Data were collected using field observations, a predator exclusion experiment, and tethering techniques. Mortality of up to 85% during the first weeks after settlement appeared to have prevented the establishment of an adult population at our study site. Mats of the macroalgae H. sordida provided a settlement substrate for P. fumatus spat. However, increased algal biomass did not provide greater protection from predation to juvenile scallops than lower algal biomass. Our study suggests that prey survival in submersed vegetation is likely to be dynamic among years, and affected by prey behaviour and density as well as the characteristics of the submerged vegetation.</t>
  </si>
  <si>
    <t>[Mendo, T.; Lyle, J. M.; Semmens, J. M.] Univ Tasmania, Inst Marine &amp; Antarctic Studies, Fisheries &amp; Aquaculture Ctr, Hobart, Tas 7001, Australia; [Moltschaniwskyj, N. A.] Univ Newcastle, Sch Environm &amp; Life Sci, Ourimbah, NSW 2260, Australia</t>
  </si>
  <si>
    <t>University of Tasmania; University of Newcastle</t>
  </si>
  <si>
    <t>Mendo, T (corresponding author), Univ Tasmania, Inst Marine &amp; Antarctic Studies, Fisheries &amp; Aquaculture Ctr, Private Bag 49, Hobart, Tas 7001, Australia.</t>
  </si>
  <si>
    <t>taniamendow@yahoo.com</t>
  </si>
  <si>
    <t>Mendo, Tania/AAH-7734-2020; Moltschaniwskyj, Natalie/AAB-7236-2019; Lyle, Jeremy/J-7170-2014</t>
  </si>
  <si>
    <t>Mendo, Tania/0000-0003-4397-2064; Lyle, Jeremy/0000-0001-9670-5854; Semmens, Jayson/0000-0003-1742-6692; Moltschaniwskyj, Natalie/0000-0001-9709-9876</t>
  </si>
  <si>
    <t>Tasmanian Fishwise Community Grants Scheme; Endeavour International Postgraduate Research Scholarship (EIPRS)</t>
  </si>
  <si>
    <t>Tasmanian Fishwise Community Grants Scheme; Endeavour International Postgraduate Research Scholarship (EIPRS)(Australian Government)</t>
  </si>
  <si>
    <t>Assistance in the field and laboratory was provided by Lara Marcus, Amelia Fowles, Luis Henriquez, Daniela Farias, Ivan Hinojosa, Alyce Hancock, Sarah Pyke, Luisa Forbes, Simon Talbot, Mike Porteus, and Dane Jones. Comments and valuable suggestions on early drafts of the manuscript were provided by Nick Jones. We would also like to thank three anonymous reviewers for their valuable suggestions. This study was supported by funding from the Tasmanian Fishwise Community Grants Scheme and the first author was supported by an Endeavour International Postgraduate Research Scholarship (EIPRS).</t>
  </si>
  <si>
    <t>10.1093/icesjms/fsv095</t>
  </si>
  <si>
    <t>WOS:000368251600015</t>
  </si>
  <si>
    <t>Brogioni, M; Macelloni, G; Montomoli, F; Jezek, KC</t>
  </si>
  <si>
    <t>Brogioni, Marco; Macelloni, Giovanni; Montomoli, Francesco; Jezek, Kenneth C.</t>
  </si>
  <si>
    <t>Simulating Multifrequency Ground-Based Radiometric Measurements at Dome C-Antarctica</t>
  </si>
  <si>
    <t>IEEE JOURNAL OF SELECTED TOPICS IN APPLIED EARTH OBSERVATIONS AND REMOTE SENSING</t>
  </si>
  <si>
    <t>13th Specialist Meeting on Microwave Radiometry and Remote Sensing of the Environment (MicroRad)</t>
  </si>
  <si>
    <t>MAR 24-27, 2014</t>
  </si>
  <si>
    <t>Pasadena, CA</t>
  </si>
  <si>
    <t>Antarctica; Dome C; electromagnetic models; ice sheet; snow; soil moisture; and ocean salinity (SMOS)</t>
  </si>
  <si>
    <t>MICROWAVE BRIGHTNESS TEMPERATURE; COMPLEX DIELECTRIC-CONSTANT; RADIATIVE-TRANSFER THEORY; MODELING TIME-SERIES; SNOW ACCUMULATION; EAST ANTARCTICA; EMISSION; VARIABILITY; DENSITY; FIRN</t>
  </si>
  <si>
    <t>Recent interest by the research community in investigating Antarctica at low microwave frequency is stimulated by the availability of new satellite-borne radiometers. Special attention has been paid to the Dome C region of the East Antarctic Plateau, which was selected by the European Space Agency (ESA) as a calibration and validation test site for the soil moisture and ocean salinity (SMOS) mission. In order to support this mission and better characterize the site, several surface and airborne campaigns were conducted. Analysis of microwave measurements collected by ground-based radiometers at Dome C during the DOMEX experiments reveals that ice-sheet parameter-profiles have a significant impact on the microwave emission even at low frequencies. In order to assess this observation, a theoretical analysis of microwave emission was carried out using the multilayer dense medium radiative transfer theory under the quasi-crystalline approximation with coherent potentials and ice-sheet geophysical-parameter profiles (i.e., temperature, density, layering, and grain size) collected in the Dome C area. The electromagnetic model was used to fit the angular distribution of microwave observations collected at C-and L-bands at Dome C. The analysis identifies the variability in the snow density vertical profile as a major factor in determining the microwave signature of the snow emission at both L-and C-bands. A secondary role is played by the snow grain radius profile that appreciably influences C-band.</t>
  </si>
  <si>
    <t>[Brogioni, Marco; Macelloni, Giovanni; Montomoli, Francesco] CNR, Carrara Inst Appl Phys, I-50019 Florence, Italy; [Jezek, Kenneth C.] Ohio State Univ, Byrd Polar Res Ctr, Columbus, OH 43210 USA</t>
  </si>
  <si>
    <t>Consiglio Nazionale delle Ricerche (CNR); Istituto di Fisica Applicata Nello Carrara (IFAC-CNR); Istituto di Fisiologia Clinica (IFC-CNR); University System of Ohio; Ohio State University</t>
  </si>
  <si>
    <t>Brogioni, M (corresponding author), CNR, Carrara Inst Appl Phys, I-50019 Florence, Italy.</t>
  </si>
  <si>
    <t>g.macelloni@ifac.cnr.it</t>
  </si>
  <si>
    <t>Macelloni, Giovanni/B-7518-2015; Montomoli, Francesco/IXX-0140-2023; Brogioni, Marco/Q-6583-2019</t>
  </si>
  <si>
    <t>Brogioni, Marco/0000-0001-6232-6020; MACELLONI, GIOVANNI/0000-0002-9738-7939</t>
  </si>
  <si>
    <t>European Space Agency (ESA) [20066/06/NL/EL, 22046/08/NL/EL, 4000105872/12/NL/FF]; Italian Programma Nazionale Ricerche in Antartide (PNRA)</t>
  </si>
  <si>
    <t>European Space Agency (ESA)(European Space Agency); Italian Programma Nazionale Ricerche in Antartide (PNRA)</t>
  </si>
  <si>
    <t>This work was supported in part by the European Space Agency (ESA contracts 20066/06/NL/EL, 22046/08/NL/EL, and 4000105872/12/NL/FF) and in part by the Italian Programma Nazionale Ricerche in Antartide (PNRA).</t>
  </si>
  <si>
    <t>1939-1404</t>
  </si>
  <si>
    <t>2151-1535</t>
  </si>
  <si>
    <t>IEEE J-STARS</t>
  </si>
  <si>
    <t>IEEE J. Sel. Top. Appl. Earth Observ. Remote Sens.</t>
  </si>
  <si>
    <t>10.1109/JSTARS.2015.2427512</t>
  </si>
  <si>
    <t>Engineering, Electrical &amp; Electronic; Geography, Physical; Remote Sensing; Imaging Science &amp; Photographic Technology</t>
  </si>
  <si>
    <t>Engineering; Physical Geography; Remote Sensing; Imaging Science &amp; Photographic Technology</t>
  </si>
  <si>
    <t>CZ8AW</t>
  </si>
  <si>
    <t>WOS:000367323300018</t>
  </si>
  <si>
    <t>Calvo, N; Polvani, LM; Solomon, S</t>
  </si>
  <si>
    <t>Calvo, N.; Polvani, L. M.; Solomon, S.</t>
  </si>
  <si>
    <t>On the surface impact of Arctic stratospheric ozone extremes</t>
  </si>
  <si>
    <t>ENVIRONMENTAL RESEARCH LETTERS</t>
  </si>
  <si>
    <t>ozone variability; stratosphere-troposphere coupling; chemistry-dynamical coupling</t>
  </si>
  <si>
    <t>CLIMATE TRENDS; TEMPERATURE; DEPLETION; MODEL</t>
  </si>
  <si>
    <t>A comprehensive stratosphere-resolving atmospheric model, with interactive stratospheric ozone chemistry, coupled to ocean, sea ice and land components is used to explore the tropospheric and surface impacts of large springtime ozone anomalies in the Arctic stratosphere. Coupling between the Antarctic ozone hole and Southern Hemisphere climate has been identified in numerous studies, but connections of Arctic ozone loss to surface climate have been more difficult to elucidate. Analyzing an ensemble of historical integrations with all known natural and anthropogenic forcings specified over the period 1955-2005, we find that extremely low stratospheric ozone changes are able to produce large and robust anomalies in tropospheric wind, temperature and precipitation in April and May over large portions of the Northern Hemisphere (most notably over the North Atlantic and Eurasia). Further, these ozone-induced surface anomalies are obtained only in the last two decades of the 20th century, when high concentrations of ozone depleting substances generate sufficiently strong stratospheric temperature anomalies to impact the surface climate. Our findings suggest that coupling between chemistry and dynamics is essential for a complete representation of surface climate variability and climate change not only in Antarctica but also in the Arctic.</t>
  </si>
  <si>
    <t>[Calvo, N.] Univ Complutense Madrid, Fac Ciencias Fis, Dept Fis Tierra 2, E-28040 Madrid, Spain; [Polvani, L. M.] Columbia Univ, Dept Earth &amp; Environm Sci, Dept Appl Phys &amp; Appl Math, New York, NY USA; [Polvani, L. M.] Columbia Univ, Lamont Doherty Earth Observ, New York, NY USA; [Solomon, S.] MIT, Dept Earth Atmospher &amp; Planetary Sci, Cambridge, MA USA</t>
  </si>
  <si>
    <t>Complutense University of Madrid; Columbia University; Columbia University; Massachusetts Institute of Technology (MIT)</t>
  </si>
  <si>
    <t>Calvo, N (corresponding author), Univ Complutense Madrid, Fac Ciencias Fis, Dept Fis Tierra 2, E-28040 Madrid, Spain.</t>
  </si>
  <si>
    <t>CALVO FERNANDEZ, NATALIA/0000-0001-6213-1864</t>
  </si>
  <si>
    <t>US National Science Foundation [1419667]; Spanish Ministry of Economy and Competitiveness through MATRES [CGL2012-34221]; European Project [603557-STRATOCLIM, FP7-ENV.2013.6.1-2]; Directorate For Geosciences; Div Atmospheric &amp; Geospace Sciences [1419667] Funding Source: National Science Foundation</t>
  </si>
  <si>
    <t>US National Science Foundation(National Science Foundation (NSF)); Spanish Ministry of Economy and Competitiveness through MATRES; European Project; Directorate For Geosciences; Div Atmospheric &amp; Geospace Sciences(National Science Foundation (NSF)NSF - Directorate for Geosciences (GEO))</t>
  </si>
  <si>
    <t>The WACCM4 simulations analyzed in this study where performed thanks to high-performance computing support from Yellowstone (ark:/85065/d7wd3xhc), provided by the Computational and Information Systems Laboratory at the National Center for Atmospheric Research (NCAR), which is sponsored by the US National Science Foundation. The authors thank Dr D R Marsh and Dr R Neely for kindly providing the model simulations and Dr D Ivy for providing the plot of ozone data presented in the supplement. NC acknowledges partial support from the Spanish Ministry of Economy and Competitiveness through the MATRES (CGL2012-34221) project and the European Project 603557-STRATOCLIM under program FP7-ENV.2013.6.1-2. The work of LMP is funded in part by a grant of the US National Science Foundation to Columbia University. The work of SS is funded in part by grant 1419667 of the US National Science Foundation to MIT.</t>
  </si>
  <si>
    <t>1748-9326</t>
  </si>
  <si>
    <t>ENVIRON RES LETT</t>
  </si>
  <si>
    <t>Environ. Res. Lett.</t>
  </si>
  <si>
    <t>10.1088/1748-9326/10/9/094003</t>
  </si>
  <si>
    <t>CZ5KJ</t>
  </si>
  <si>
    <t>WOS:000367141000006</t>
  </si>
  <si>
    <t>Ads, AG; Bergada, P; Regué, JR; Alsina-Pagès, RM; Pijoan, JL; Altadill, D; Badia, D; Graells, S</t>
  </si>
  <si>
    <t>Ads, A. G.; Bergada, P.; Regue, J. R.; Alsina-Pages, R. M.; Pijoan, J. L.; Altadill, D.; Badia, D.; Graells, S.</t>
  </si>
  <si>
    <t>Vertical and oblique ionospheric soundings over the long haul HF link between Antarctica and Spain</t>
  </si>
  <si>
    <t>RADIO SCIENCE</t>
  </si>
  <si>
    <t>PATHS; FOF2</t>
  </si>
  <si>
    <t>This paper presents a comparative study between the oblique sounding results, the International Telecommunication Union Rec533 HF prediction model, and the vertical sounding results of a transequatorial long haul link. The long haul link is a 12,760 km link between the Spanish Antarctic Station, SAS, located in the Livingston Island and the Ebro Observatory (OE) in Spain. The data were collected during three consecutive surveys (2009/2010, 2010/2011, and 2011/2012). The ionospheric channel from the SAS to the OE is studied in terms of frequency availability as function of time using the measurements of an oblique incidence sounder (OIS) and measurements of several vertical incidence sounding stations (VIS) placed near the estimated radiopropagation path. The results obtained show promising correlations between VIS and OIS measurements and led us to think that the frequency of largest availability for this particular long haul radio link can be estimated from the VIS sounding measurements.</t>
  </si>
  <si>
    <t>[Ads, A. G.; Bergada, P.; Regue, J. R.; Alsina-Pages, R. M.; Pijoan, J. L.; Badia, D.; Graells, S.] Univ Ramon Llull, GR SETAD, Barcelona, Spain; [Altadill, D.] Univ Ramon Llull, CSIC, Observ Ebre, Roquetes, Spain</t>
  </si>
  <si>
    <t>Universitat Ramon Llull; Consejo Superior de Investigaciones Cientificas (CSIC); Universitat Ramon Llull; Ebre Observatory</t>
  </si>
  <si>
    <t>Alsina-Pagès, RM (corresponding author), Univ Ramon Llull, GR SETAD, Barcelona, Spain.</t>
  </si>
  <si>
    <t>ralsina@salleurl.edu</t>
  </si>
  <si>
    <t>Badia, David/ABF-4258-2021; Altadill, David/K-9309-2014; Alsina-Pagès, Rosa Ma/M-6099-2017; Pijoan, Joan Lluis/S-3319-2018</t>
  </si>
  <si>
    <t>Badia, David/0000-0002-4792-8688; Altadill, David/0000-0001-7730-385X; Alsina-Pagès, Rosa Ma/0000-0003-2261-5471; Pijoan, Joan Lluis/0000-0002-1796-8216</t>
  </si>
  <si>
    <t>Spanish Government [CGL2006-12437-C02, CTM2008-03536-E, CTM2009-13843-C02, CTM2010-21312-C03]; FPI from the Spanish Government [BES-2008-00948]</t>
  </si>
  <si>
    <t>Spanish Government(Spanish Government); FPI from the Spanish Government</t>
  </si>
  <si>
    <t>This work has been funded by the Spanish Government under the projects CGL2006-12437-C02, CTM2008-03536-E, CTM2009-13843-C02, and CTM2010-21312-C03. A.G. Ads has an FPI grant of BES-2008-00948 from the Spanish Government. Data are available at IGME (Instituto Geologico y Minero de Espana) after registration.</t>
  </si>
  <si>
    <t>0048-6604</t>
  </si>
  <si>
    <t>1944-799X</t>
  </si>
  <si>
    <t>RADIO SCI</t>
  </si>
  <si>
    <t>Radio Sci.</t>
  </si>
  <si>
    <t>10.1002/2015RS005773</t>
  </si>
  <si>
    <t>Astronomy &amp; Astrophysics; Geochemistry &amp; Geophysics; Meteorology &amp; Atmospheric Sciences; Remote Sensing; Telecommunications</t>
  </si>
  <si>
    <t>CW6PW</t>
  </si>
  <si>
    <t>WOS:000365120700006</t>
  </si>
  <si>
    <t>Pansu, J; Winkworth, RC; Hennion, F; Gielly, L; Taberlet, P; Choler, P</t>
  </si>
  <si>
    <t>Pansu, Johan; Winkworth, Richard C.; Hennion, Francoise; Gielly, Ludovic; Taberlet, Pierre; Choler, Philippe</t>
  </si>
  <si>
    <t>Long-lasting modification of soil fungal diversity associated with the introduction of rabbits to a remote sub-Antarctic archipelago</t>
  </si>
  <si>
    <t>BIOLOGY LETTERS</t>
  </si>
  <si>
    <t>environmental DNA; invasive species; Kerguelen Islands; metabarcoding; soil communities</t>
  </si>
  <si>
    <t>DNA</t>
  </si>
  <si>
    <t>During the late nineteenth century, Europeans introduced rabbits to many of the sub-Antarctic islands, environments that prior to this had been devoid of mammalian herbivores. The impacts of rabbits on indigenous ecosystems are well studied; notably, they cause dramatic changes in plant communities and promote soil erosion. However, the responses of fungal communities to such biotic disturbances remain unexplored. We used metabarcoding of soil extracellular DNA to assess the diversity of plant and fungal communities at sites on the sub-Antarctic Kerguelen Islands with contrasting histories of disturbance by rabbits. Our results suggest that on these islands, the simplification of plant communities and increased erosion resulting from the introduction of rabbits have driven compositional changes, including diversity reductions, in indigenous soil fungal communities. Moreover, there is no indication of recovery at sites from which rabbits were removed 20 years ago. These results imply that introduced herbivores have long-lasting and multifaceted effects on fungal biodiversity as well as highlight the low resiliency of sub-Antarctic ecosystems.</t>
  </si>
  <si>
    <t>[Pansu, Johan; Gielly, Ludovic; Taberlet, Pierre; Choler, Philippe] Univ Grenoble Alpes, LECA, F-38000 Grenoble, France; [Pansu, Johan; Gielly, Ludovic; Taberlet, Pierre; Choler, Philippe] CNRS, LECA, F-38000 Grenoble, France; [Winkworth, Richard C.] Unitec Inst Technol, Dept Nat Sci, Auckland, New Zealand; [Winkworth, Richard C.] Massey Univ, Inst Fundamental Sci, Palmerston North, New Zealand; [Hennion, Francoise] Univ Rennes 1, CNRS, UMR ECOBIO, F-35042 Rennes, France</t>
  </si>
  <si>
    <t>Communaute Universite Grenoble Alpes; Universite Grenoble Alpes (UGA); Communaute Universite Grenoble Alpes; Universite Grenoble Alpes (UGA); Centre National de la Recherche Scientifique (CNRS); Universite Savoie Mont Blanc; Unitec NZ; Massey University; Centre National de la Recherche Scientifique (CNRS); Universite de Rennes</t>
  </si>
  <si>
    <t>Pansu, J (corresponding author), Univ Grenoble Alpes, LECA, F-38000 Grenoble, France.</t>
  </si>
  <si>
    <t>johan.pansu@gmail.com</t>
  </si>
  <si>
    <t>Choler, Philippe/A-7270-2008; Gielly, Ludovic/ADQ-6036-2022; Taberlet, Pierre/D-1178-2010; Hennion, Francoise/P-3356-2014</t>
  </si>
  <si>
    <t>Choler, Philippe/0000-0002-9062-2721; Winkworth, Richard/0000-0001-5394-3094; Hennion, Francoise/0000-0001-5355-5614</t>
  </si>
  <si>
    <t>Institut Polaire Paul Emile Victor (IPEV) Programme 136</t>
  </si>
  <si>
    <t>We thank the Institut Polaire Paul Emile Victor (IPEV) Programme 136 (led by M. Lebouvier) for financial support and fieldwork coordination.</t>
  </si>
  <si>
    <t>1744-9561</t>
  </si>
  <si>
    <t>1744-957X</t>
  </si>
  <si>
    <t>BIOL LETTERS</t>
  </si>
  <si>
    <t>Biol. Lett.</t>
  </si>
  <si>
    <t>SEP 1</t>
  </si>
  <si>
    <t>10.1098/rsbl.2015.0408</t>
  </si>
  <si>
    <t>CW1SS</t>
  </si>
  <si>
    <t>WOS:000364772300004</t>
  </si>
  <si>
    <t>Hervás, M; Alsina-Pagès, RM; Orga, F; Altadill, D; Pijoan, JL; Badia, D</t>
  </si>
  <si>
    <t>Hervas, Marcos; Ma Alsina-Pages, Rosa; Orga, Ferran; Altadill, David; Lluis Pijoan, Joan; Badia, David</t>
  </si>
  <si>
    <t>Narrowband and Wideband Channel Sounding of an Antarctica to Spain Ionospheric Radio Link</t>
  </si>
  <si>
    <t>REMOTE SENSING</t>
  </si>
  <si>
    <t>geomagnetism; remote sensors; HF; ionosphere; channel sounding; Antarctica</t>
  </si>
  <si>
    <t>COMMUNICATION; PERFORMANCE; SPREAD</t>
  </si>
  <si>
    <t>La Salle and Ebro Observatory have been involved in remote sensing projects in Antarctica for the last 11 years (approximately one solar cycle). The Ebro Observatory has been monitoring and analyzing the geomagnetic and the ionospheric activity in the Antarctic Spanish station Juan Carlos I (ASJI) (62.7 degrees S, 299.6 degrees E) for more than eighteen and ten years, respectively. La Salle has two main goals in the project. The first one is the data transmission and reception from Antarctica to Spain to obtain a historical series of measurements of channel sounding of this 12,760-km ionospheric HF (high frequency) radio link. The second one is the establishment of a stable data low power communication system between the ASJI and Cambrils, Spain (41.0 degrees N, 1.0 degrees E), to transmit the data from the remote sensors located on the island. In this paper, both narrowband and wideband soundings have been carried out to figure out the channel availability performed using a frequency range from 2 to 30 MHz with 0.5 MHz step during the 24 h of the day, encompassing wider channel measurements than previously done, in terms of hours and frequency. This paper presents the results obtained for the austral summer in 2014, using a monopole antenna at the transmitter and an inverted V on the receiver side. These results led us to the final physical layer design for the long haul link, dividing the day into two parts: daytime, with low data throughput design, and nighttime, reaching high data throughput.</t>
  </si>
  <si>
    <t>[Hervas, Marcos; Ma Alsina-Pages, Rosa; Orga, Ferran; Lluis Pijoan, Joan; Badia, David] Univ Ramon Llull, GR SETAD La Salle, Barcelona 08022, Spain; [Altadill, David] Univ Ramon Llull, Observ Ebre, CSIC, Roquetes 43520, Spain</t>
  </si>
  <si>
    <t>Hervás, M (corresponding author), Univ Ramon Llull, GR SETAD La Salle, Quatre Camins 30, Barcelona 08022, Spain.</t>
  </si>
  <si>
    <t>mhervas@salleurl.edu; ralsina@salleurl.edu; forga@salleurl.edu; daltadill@obsebre.es; joanp@salleurl.edu; david@salleurl.edu</t>
  </si>
  <si>
    <t>Hervás, Marcos/K-7016-2015; Altadill, David/K-9309-2014; Orga, Ferran/ABF-8135-2021; Alsina-Pagès, Rosa Ma/M-6099-2017; Hervás, Marcos/JAC-5391-2023; Badia, David/ABF-4258-2021; Pijoan, Joan Lluis/S-3319-2018</t>
  </si>
  <si>
    <t>Hervás, Marcos/0000-0003-2021-9264; Altadill, David/0000-0001-7730-385X; Orga, Ferran/0000-0001-7364-733X; Alsina-Pagès, Rosa Ma/0000-0003-2261-5471; Badia, David/0000-0002-4792-8688; Pijoan, Joan Lluis/0000-0002-1796-8216</t>
  </si>
  <si>
    <t>Spanish Government [CTM2010-21312-C03-03, CTM2010-21312-C03-01]; Universitat Ramon Llull [2014-URL-Trac-018]</t>
  </si>
  <si>
    <t>Spanish Government(Spanish Government); Universitat Ramon Llull</t>
  </si>
  <si>
    <t>This research has been supported by the Spanish Government under Projects CTM2010-21312-C03-03 and -C03-01, and by Universitat Ramon Llull under the Project 2014-URL-Trac-018. In addition to the authors of this paper, the following people have been part of the research groups of these projects: Ahmed Ads, Raul Bardaji, Estefania Blanch, Oscar Cid, Juan Jose Curto, Simo Graells, Miguel Ibanez, Joan Mauricio, Santiago Marsal, Joan Ramon Regue, Xavier Rosell, Marti Salvador, Antoni Segarra, Jose Germon Sole and Joan Miquel Torta.</t>
  </si>
  <si>
    <t>MDPI</t>
  </si>
  <si>
    <t>ST ALBAN-ANLAGE 66, CH-4052 BASEL, SWITZERLAND</t>
  </si>
  <si>
    <t>2072-4292</t>
  </si>
  <si>
    <t>REMOTE SENS-BASEL</t>
  </si>
  <si>
    <t>Remote Sens.</t>
  </si>
  <si>
    <t>10.3390/rs70911712</t>
  </si>
  <si>
    <t>Environmental Sciences; Geosciences, Multidisciplinary; Remote Sensing; Imaging Science &amp; Photographic Technology</t>
  </si>
  <si>
    <t>Environmental Sciences &amp; Ecology; Geology; Remote Sensing; Imaging Science &amp; Photographic Technology</t>
  </si>
  <si>
    <t>CT0UA</t>
  </si>
  <si>
    <t>WOS:000362511400035</t>
  </si>
  <si>
    <t>Stukel, MR; Asher, E; Couto, N; Schofield, O; Strebel, S; Tortell, P; Ducklow, HW</t>
  </si>
  <si>
    <t>Stukel, Michael R.; Asher, Elizabeth; Couto, Nicole; Schofield, Oscar; Strebel, Stefanie; Tortell, Philippe; Ducklow, Hugh W.</t>
  </si>
  <si>
    <t>The imbalance of new and export production in the western Antarctic Peninsula, a potentially leaky ecosystem</t>
  </si>
  <si>
    <t>Southern Ocean; western Antarctic Peninsula; vertical flux; biogeochemistry; thorium-234; carbon export</t>
  </si>
  <si>
    <t>PARTICULATE ORGANIC-CARBON; BIOLOGICAL PRODUCTION-RATES; CONTINENTAL-SHELF; UPPER OCEAN; NITRIFICATION RATES; MARINE ECOSYSTEM; PARTICLE EXPORT; TH-234 RATIOS; WATER COLUMN; ARABIAN SEA</t>
  </si>
  <si>
    <t>To quantify the balance between new production and vertical nitrogen export of sinking particles, we measured nitrate uptake, net nitrate drawdown, O-2/Ar-based net community production, sediment trap flux, and Th-234 export at a coastal site near Palmer Station, Antarctica, during the phytoplankton growing season from October 2012 to March 2013. We also measured nitrate uptake and Th-234 export throughout the northern western Antarctic Peninsula (WAP) region on a cruise in January 2013. We used a nonsteady state Th-234 equation with temporally varying upwelling rates and an irradiance-based phytoplankton production model to correct our export and new production estimates in the complex coastal site near Palmer Station. Results unequivocally showed that nitrate uptake and net community production were significantly greater than the sinking particle export on region-wide spatial scales and season-long temporal scales. At our coastal site, new production (10517.4mgNm(-2)d(-1), meanstandard error) was 5.3 times greater than vertical nitrogen export (20.42.4mgNm(-2)d(-1)). On the January cruise in the northern WAP, new production (47.914.4mgNm(-2)d(-1)) was 2.4 times greater than export (19.9 +/- 1.4mgNm(-2)d(-1)). Much of this imbalance can be attributed to diffusive losses of particulate nitrogen from the surface ocean due to diapycnal mixing, indicative of a leaky WAP ecosystem. If these diffusive losses are common in other systems where new production exceeds export, it may be necessary to revise current estimates of the ocean's biological pump.</t>
  </si>
  <si>
    <t>[Stukel, Michael R.] Florida State Univ, Dept Earth Ocean &amp; Atmospher Sci, Tallahassee, FL 32306 USA; [Asher, Elizabeth; Tortell, Philippe] Univ British Columbia, Dept Earth Ocean &amp; Atmospher Sci, Vancouver, BC V5Z 1M9, Canada; [Couto, Nicole; Schofield, Oscar] Rutgers State Univ, Dept Marine &amp; Coastal Sci, New Brunswick, NJ 08903 USA; [Strebel, Stefanie] Marine Biol Lab, Woods Hole, MA 02543 USA; [Tortell, Philippe] Univ British Columbia, Dept Bot, Vancouver, BC, Canada; [Ducklow, Hugh W.] Columbia Univ, Lamont Doherty Earth Observ, Palisades, NY USA</t>
  </si>
  <si>
    <t>State University System of Florida; Florida State University; University of British Columbia; Rutgers University System; Rutgers University New Brunswick; Marine Biological Laboratory - Woods Hole; University of British Columbia; Columbia University</t>
  </si>
  <si>
    <t>Stukel, MR (corresponding author), Florida State Univ, Dept Earth Ocean &amp; Atmospher Sci, Tallahassee, FL 32306 USA.</t>
  </si>
  <si>
    <t>mstukel@fsu.edu</t>
  </si>
  <si>
    <t>Stukel, Michael R/F-9029-2013; Schofield, Oscar/H-4169-2018</t>
  </si>
  <si>
    <t>Tortell, Philippe/0000-0003-0212-2151; Stukel, Michael/0000-0002-7696-6739; Schofield, Oscar/0000-0003-2359-4131</t>
  </si>
  <si>
    <t>NSF Antarctic Sciences from the Antarctic Organisms and Ecosystems Program [1340886, 1440435]; Directorate For Geosciences; Division Of Polar Programs [1340886] Funding Source: National Science Foundation</t>
  </si>
  <si>
    <t>NSF Antarctic Sciences from the Antarctic Organisms and Ecosystems Program(National Science Foundation (NSF)NSF - Directorate for Geosciences (GEO)); Directorate For Geosciences; Division Of Polar Programs(National Science Foundation (NSF)NSF - Directorate for Geosciences (GEO))</t>
  </si>
  <si>
    <t>This work would not have been possible without the dedicated assistance of the captain, crew, and technicians of the ARSV Laurence M. Gould. We are also indebted to the USAP staff at Palmer station, particularly Julie Jackson, Dave Moore, and Mark Dalberth who enabled us to repeatedly sample the ocean despite difficult conditions. In addition, we would like to thank Matthew Erickson, Naomi Shelton, Filipa Carvalho, Mikaela Provost, Shellie Bench, Sven Kranz, Jodi Young, Joanna Goldman, and Sarah Laperriere for their assistance throughout the project. We appreciated the comments of our Editor and two anonymous reviewers. This work was funded by NSF Antarctic Sciences 1340886 and 1440435 from the Antarctic Organisms and Ecosystems Program to HWD. Data sets can be found online at the Palmer LTER Datazoo website http://oceaninformatics.ucsd.edu/datazoo/data/pallter/datasets or requested by e-mailing mstukel@fsu.edu.</t>
  </si>
  <si>
    <t>10.1002/2015GB005211</t>
  </si>
  <si>
    <t>CU7GD</t>
  </si>
  <si>
    <t>WOS:000363703800005</t>
  </si>
  <si>
    <t>Closset, I; Cardinal, D; Bray, SG; Thil, F; Djouraev, I; Rigual-Hernández, AS; Trull, TW</t>
  </si>
  <si>
    <t>Closset, Ivia; Cardinal, Damien; Bray, Stephen G.; Thil, Francois; Djouraev, Irina; Rigual-Hernandez, Andres S.; Trull, Thomas W.</t>
  </si>
  <si>
    <t>Seasonal variations, origin, and fate of settling diatoms in the Southern Ocean tracked by silicon isotope records in deep sediment traps</t>
  </si>
  <si>
    <t>silicon isotopes; Southern Ocean; GEOTRACES; seasonal variations; settling rates; diatoms</t>
  </si>
  <si>
    <t>POLAR FRONTAL ZONES; ZOOPLANKTON FECAL PELLETS; PACIFIC SECTOR; BIOGENIC SILICA; MARINE SNOW; IRON FERTILIZATION; PARTICLE SINKING; ANTARCTIC ZONE; CARBON EXPORT; SI CYCLE</t>
  </si>
  <si>
    <t>The Southern Ocean plays a pivotal role in the control of atmospheric CO2 levels, via both physical and biological sequestration processes. The biological carbon transfer to the ocean interior is tightly coupled to the availability of other elements, especially iron as a trace-limiting nutrient and dissolved silicon as the mineral substrate that allows diatoms to dominate primary production. Importantly, variations in the silicon cycling are large but not well understood. Here we use Si-30 measurements to track seasonal flows of silica to the deep sea, as captured by sediment trap time series, for the three major zones (Antarctic, AZ; Polar Frontal, PFZ; and Sub-Antarctic, SAZ) of the open Southern Ocean. Variations in the exported flux of biogenic silica (BSi) and its Si-30 composition reveal a range of insights, including that (i) the sinking rate of BSi exceeds 200md(-1) in summer in the AZ yet decreases to very low values in winter that allow particles to remain in the water column through to the following spring, (ii) occasional vertical mixing events affect the Si-30 composition of exported BSi in both the SAZ and AZ, and (iii) the Si-30 signature of diatoms is well conserved through the water column despite strong BSi and particulate organic carbon (POC) attenuation at depth and is closely linked to the Si consumption in surface waters. With the strong coupling observed between BSi and POC fluxes in PFZ and AZ, these data provide new constraints for application to biogeochemical models of seasonal controls on production and export.</t>
  </si>
  <si>
    <t>[Closset, Ivia; Cardinal, Damien] Sorbonne Univ, Univ Paris 06, LOCEAN Lab, CNRS IRD MNHN, Paris, France; [Bray, Stephen G.; Trull, Thomas W.] Univ Tasmania, Antarctic Climate &amp; Ecosyst Cooperat Res Ctr, Hobart, Tas, Australia; [Trull, Thomas W.] CSIRO Oceans &amp; Atmosphere Flagship, Hobart, Tas, Australia; [Thil, Francois] CNRS, Lab Sci Climat &amp; Environm, Gif Sur Yvette, France; [Djouraev, Irina] Sorbonne Univ, Univ Paris 06, IRD, CNRS MNHN,LOCEAN Lab,IRD France Nord, Bondy, France; [Rigual-Hernandez, Andres S.] Macquarie Univ, Dept Biol Sci, N Ryde, NSW, Australia</t>
  </si>
  <si>
    <t>Institut de Recherche pour le Developpement (IRD); Sorbonne Universite; Museum National d'Histoire Naturelle (MNHN); Antarctic Climate &amp; Ecosystems Cooperative Research Centre (ACE CRC); University of Tasmania; Commonwealth Scientific &amp; Industrial Research Organisation (CSIRO); CEA; Centre National de la Recherche Scientifique (CNRS); Universite Paris Saclay; Institut de Recherche pour le Developpement (IRD); Museum National d'Histoire Naturelle (MNHN); Sorbonne Universite; Macquarie University</t>
  </si>
  <si>
    <t>Closset, I (corresponding author), Sorbonne Univ, Univ Paris 06, LOCEAN Lab, CNRS IRD MNHN, Paris, France.</t>
  </si>
  <si>
    <t>ivia.closset@locean-ipsl.upmc.fr</t>
  </si>
  <si>
    <t>Cardinal, Damien/AAM-6215-2021; Rigual-Hernández, Andrés/E-2041-2018</t>
  </si>
  <si>
    <t>Cardinal, Damien/0000-0003-1238-8412; Rigual-Hernández, Andrés/0000-0003-1521-3896; Closset, Ivia/0000-0002-6286-3296</t>
  </si>
  <si>
    <t>Australian Integrated Marine Observing System; European Union [294146]; GEOTRACES program; Australian Antarctic Climate and Ecosystems Cooperative Research Centre, Australian Antarctic Sciences [1156, 2256]; Australian Marine National Facility; U.S. NSF Office of Polar Programs; Belgian Science and Policy Organisation</t>
  </si>
  <si>
    <t>Australian Integrated Marine Observing System; European Union(European Union (EU)); GEOTRACES program; Australian Antarctic Climate and Ecosystems Cooperative Research Centre, Australian Antarctic Sciences(Australian GovernmentDepartment of Industry, Innovation and ScienceCooperative Research Centres (CRC) Programme); Australian Marine National Facility; U.S. NSF Office of Polar Programs(National Science Foundation (NSF)); Belgian Science and Policy Organisation</t>
  </si>
  <si>
    <t>Data for this paper are available in the supporting information Data Set S1. Sediment trap and deployments, augmented by surface biogeochemical and meteorological moorings, are ongoing at the 47 degrees S site under the auspices of the Australian Integrated Marine Observing System (www.imos.org.au). Ocean color analyses and visualizations used in this paper were produced with the Giovanni online data system, developed and maintained by the NASA GES. The research leading to these results has received funding from the European Union Seventh Framework Program under grant agreement 294146 (MuSiCC Marie Curie CIG) and is part of the GEOTRACES program. The SAZ sediment trap program received support from the Australian Antarctic Climate and Ecosystems Cooperative Research Centre, Australian Antarctic Sciences awards 1156 and 2256, the Australian Marine National Facility, the U.S. NSF Office of Polar Programs, and the Belgian Science and Policy Organisation. The authors are especially grateful to Jean-Baptiste Sallee who provided monthly averaged mixed layer depths extracted from the Argo data set and two anonymous reviewers for their constructive comments on the manuscript.</t>
  </si>
  <si>
    <t>10.1002/2015GB005180</t>
  </si>
  <si>
    <t>Bronze, Green Published, Green Accepted</t>
  </si>
  <si>
    <t>WOS:000363703800010</t>
  </si>
  <si>
    <t>Galea, HR; Ferry, R</t>
  </si>
  <si>
    <t>Galea, Horia R.; Ferry, Romain</t>
  </si>
  <si>
    <t>Notes on some hydroids (Cnidaria) from Martinique, with descriptions of five new species</t>
  </si>
  <si>
    <t>REVUE SUISSE DE ZOOLOGIE</t>
  </si>
  <si>
    <t>Hydrozoa; Lesser Antilles; French West Indies; Caribbean</t>
  </si>
  <si>
    <t>EUROPEAN ATHECATE HYDROIDS; MEDUSAE HYDROZOA; COAST; TUBULARIIDAE; ADDITIONS; EVOLUTION; REVISION; FAUNA</t>
  </si>
  <si>
    <t>The present report supplements a series of earlier accounts on the hydrozoan fauna of the French Lesser Antilles, and discusses 16 species of hydroids from Martinique. Of these, five are new to science: Hydractinia promiscua, Halecium plicatm, Dynamena bimorpha, Antennella quaterna and Monostaechas bertoti. The medusoid gonophores of Ralpharia gorgoniae Petersen, 1990 are described in detail. The female gonothecae of Halecium labiatum Billard, 1933, recorded for the second time, are redescribed. Characters of the trophosome and the cnidome composition allowed a reliable identification of Halecium lightbourni Calder, 1991, a species whose previously unknown gonothecae are here described for the first time. A reexamination of the type of Dynamena tropica Stechow, 1926 proved that it is conspecific with D. crisioides Lamouroux, 1824. Sertularia notabilis Fraser, 1947 is included in the synonymy of S. hattorii Leloup, 1940, and arguments for doing so are provided. The so called variety pusilla Ritchie, 1910, associated for a long time with Hincksella cylindrica (Bale, 1888), is raised to species, as H. pusilla (Ritchie, 1910), and their distinguishing characters are emphasized. Clytia edentzda Gibbons &amp; Ryland, 1991 is found for the second time, extending its known range of distribution.</t>
  </si>
  <si>
    <t>[Galea, Horia R.] Hydrozoan Res Lab, F-83170 Tourves, France; [Ferry, Romain] Univ Antilles Guyane, Dept Sci Interfac, AIHP GEODE BIOSPHERES EA929, F-97275 Schoelcher, Martinique, France; [Ferry, Romain] Assoc Oceanvironnement, F-97233 Schoelcher, Martinique, France</t>
  </si>
  <si>
    <t>Galea, HR (corresponding author), Hydrozoan Res Lab, 405 Chemin Gatiers, F-83170 Tourves, France.</t>
  </si>
  <si>
    <t>horia.galea@gmail.com</t>
  </si>
  <si>
    <t>DEAL Martinique [2014041-0043]; PADI Foundation, Beverly Hills, California, USA [7826]</t>
  </si>
  <si>
    <t>DEAL Martinique; PADI Foundation, Beverly Hills, California, USA</t>
  </si>
  <si>
    <t>This study was made possible through a grant from DEAL Martinique (order 2014041-0043), and we are indebted to Fabien Vedie for supporting our project. Additional funding (grant #7826) was received by HRG from the PADI Foundation, Beverly Hills, California, USA. Marine biologist Sue Scott (Lochcarron, UK) and Dr David Barnes (British Antarctic Survey, UK) kindly provided additional material used in this study. Sincere thanks are due to Drs Dale Calder (Royal Ontario Museum, Toronto, Canada) and Peter Schuchert (MENG, Switzerland) for their thorough reading of the manuscript and their helpful suggestions.</t>
  </si>
  <si>
    <t>MUSEUM HISTOIRE NATURELLE</t>
  </si>
  <si>
    <t>GENEVA 6</t>
  </si>
  <si>
    <t>CASE POSTALE 6434, ATTN:DENISE MAIER ADMN REV SUISSE DE ZOOLOGIE, CH-L211 GENEVA 6, SWITZERLAND</t>
  </si>
  <si>
    <t>0035-418X</t>
  </si>
  <si>
    <t>REV SUISSE ZOOL</t>
  </si>
  <si>
    <t>Rev. Suisse Zool.</t>
  </si>
  <si>
    <t>10.5281/zenodo.29998</t>
  </si>
  <si>
    <t>CU5VL</t>
  </si>
  <si>
    <t>WOS:000363600000005</t>
  </si>
  <si>
    <t>Cava, D; Giostra, U; Katul, G</t>
  </si>
  <si>
    <t>Cava, Daniela; Giostra, Umberto; Katul, Gabriel</t>
  </si>
  <si>
    <t>Characteristics of Gravity Waves over an Antarctic Ice Sheet during an Austral Summer</t>
  </si>
  <si>
    <t>ATMOSPHERE</t>
  </si>
  <si>
    <t>Antarctica; gravity waves; multiresolution decomposition; stable boundary layer; turbulent fluxes</t>
  </si>
  <si>
    <t>STABLE BOUNDARY-LAYER; ATMOSPHERIC SURFACE-LAYER; TURBULENCE STRUCTURE; LOWER TROPOSPHERE; FLUX; STATISTICS; FLOW; PERTURBATIONS; MOTION; SHELF</t>
  </si>
  <si>
    <t>While occurrences of wavelike motion in the stable boundary layer due to the presence of a significant restoring buoyancy force are rarely disputed, their modalities and interaction with turbulence remain a subject of active research. In this work, the characteristics of gravity waves and their impact on flow statistics, including turbulent fluxes, are presented using data collected above an Antarctic Ice sheet during an Austral Summer. Antarctica is an ideal location for exploring the characteristics of gravity waves because of persistent conditions of strong atmospheric stability in the lower troposphere. Periods dominated by wavelike motion have been identified by analysing time series measured by fast response instrumentation. The nature and characteristic of the dominant wavy motions are investigated using Fourier cross-spectral indicators. Moreover, a multi-resolution decomposition has been applied to separate gravity waves from turbulent fluctuations in case of a sufficiently defined spectral gap. Statistics computed after removing wavy disturbances highlight the large impact of gravity waves on second order turbulent quantities including turbulent flux calculations.</t>
  </si>
  <si>
    <t>[Cava, Daniela] CNR, ISAC, I-73100 Lecce, Italy; [Giostra, Umberto] Univ Urbino Carlo Bo, Dept Basic Sci DiSBeF, I-61029 Urbino, Italy; [Giostra, Umberto] CINFAI Natl Interuniv Consortium Phys Atmosphere, I-62029 Tolentino, Italy; [Katul, Gabriel] Duke Univ, Nicholas Sch Environm, Durham, NC 27708 USA</t>
  </si>
  <si>
    <t>Consiglio Nazionale delle Ricerche (CNR); Istituto di Scienze dell'Atmosfera e del Clima (ISAC-CNR); University of Urbino; Duke University</t>
  </si>
  <si>
    <t>Cava, D (corresponding author), CNR, ISAC, Str Prov Lecce Monteroni Km 1-2, I-73100 Lecce, Italy.</t>
  </si>
  <si>
    <t>d.cava@le.isac.cnr.it; umberto.giostra@uniurb.it; gaby@duke.edu</t>
  </si>
  <si>
    <t>GIOSTRA, Umberto/JQV-7857-2023; Cava, Daniela/H-7576-2018; Katul, Gabriel G/A-7210-2008</t>
  </si>
  <si>
    <t>GIOSTRA, Umberto/0000-0001-8399-8715; Cava, Daniela/0000-0003-0676-3749; Katul, Gabriel G/0000-0001-9768-3693</t>
  </si>
  <si>
    <t>PNRA (Progetto Nazionale di Ricerche in Antartide) under the Project: ABLCLIMAT Artide ed Antartide: influenza dello strato limite atmosferico sul clima</t>
  </si>
  <si>
    <t>This work was supported by PNRA (Progetto Nazionale di Ricerche in Antartide) under the Project: ABLCLIMAT Artide ed Antartide: influenza dello strato limite atmosferico sul clima.</t>
  </si>
  <si>
    <t>MDPI AG</t>
  </si>
  <si>
    <t>POSTFACH, CH-4005 BASEL, SWITZERLAND</t>
  </si>
  <si>
    <t>2073-4433</t>
  </si>
  <si>
    <t>ATMOSPHERE-BASEL</t>
  </si>
  <si>
    <t>Atmosphere</t>
  </si>
  <si>
    <t>10.3390/atmos6091271</t>
  </si>
  <si>
    <t>CT1GQ</t>
  </si>
  <si>
    <t>WOS:000362546500002</t>
  </si>
  <si>
    <t>Koremenos, B</t>
  </si>
  <si>
    <t>Koremenos, Barbara</t>
  </si>
  <si>
    <t>The Role of State Leadership in the Incidence of International Governance</t>
  </si>
  <si>
    <t>GLOBAL POLICY</t>
  </si>
  <si>
    <t>To understand leadership in international governance, I begin at the structural level with state actors. A simple framework that relies on state interests and material power can shed light on why powerful states take on leadership roles in some negotiations (e.g. arms control) but not in others (e.g. human rights). States attempting to cooperate to realize joint interests or solve problems often face a set of common and persistent obstacles. These obstacles, which I call 'cooperation problems', can make otherwise beneficial cooperation difficult to achieve. I argue that the particular combination of underlying cooperation problems present in an issue affects a powerful state's desire to take on a leadership position with respect to the incidence of international cooperation - that is, agenda setting by putting forth the first draft of an international agreement addressing the issue and remaining in control of subsequent drafts. Because, from a policy point of view, the most interesting cases are those that involve distribution problems, I focus on the following two combinations of problems: distribution with coordination and distribution without coordination. I use the examples of the Nuclear Nonproliferation Treaty, the Antarctic Treaty, the Convention on the Elimination of Racial Discrimination and the Convention Against Torture to illustrate the theoretical discussion.</t>
  </si>
  <si>
    <t>Univ Michigan, Polit Sci, Ann Arbor, MI 48109 USA</t>
  </si>
  <si>
    <t>University of Michigan System; University of Michigan</t>
  </si>
  <si>
    <t>Koremenos, B (corresponding author), Univ Michigan, Polit Sci, Ann Arbor, MI 48109 USA.</t>
  </si>
  <si>
    <t>Koremenos, Barbara/ABE-7503-2020</t>
  </si>
  <si>
    <t>1758-5880</t>
  </si>
  <si>
    <t>1758-5899</t>
  </si>
  <si>
    <t>GLOB POLICY</t>
  </si>
  <si>
    <t>Glob. Policy</t>
  </si>
  <si>
    <t>10.1111/1758-5899.12246</t>
  </si>
  <si>
    <t>International Relations; Political Science</t>
  </si>
  <si>
    <t>International Relations; Government &amp; Law</t>
  </si>
  <si>
    <t>CT8JB</t>
  </si>
  <si>
    <t>WOS:000363060600007</t>
  </si>
  <si>
    <t>Matulka, AM; Afanasyev, YD</t>
  </si>
  <si>
    <t>Matulka, A. M.; Afanasyev, Y. D.</t>
  </si>
  <si>
    <t>Zonal jets in equilibrating baroclinic instability on the polar beta-plane: Experiments with altimetry</t>
  </si>
  <si>
    <t>baroclinic instability; laboratory experiment; submesoscale eddies; beta plane; Rhines scale</t>
  </si>
  <si>
    <t>TURBULENCE; DYNAMICS</t>
  </si>
  <si>
    <t>Results from the laboratory experiments on the evolution of baroclinically unstable flows generated in a rotating tank with topographic -effect are presented. We study zonal jets of alternating direction which occur in these flows. The primary system we model includes lighter fluid in the South and heavier fluid in the North with resulting slow meridional circulation and fast mean zonal motion. In a two-layer system, the velocity shear between the layers results in baroclinic instability which equilibrates with time and, due to interaction with -effect generates zonal jets. This system is archetypal for various geophysical systems including the general circulation and jet streams in the Earth's atmosphere, the Antarctic Circumpolar Current, or the areas in the vicinity of western boundary currents where baroclinic instability and multiple zonal jets are observed. The gradient of the surface elevation and the thickness of the upper layer are measured in the experiments using the Altimetric Imaging Velocimetry and the Optical Thickness Velocimetry techniques, respectively. Barotropic and baroclinic velocity fields are then derived from the measured quantities. The results demonstrate that the zonal jets are driven by eddy forcing due to continuously created baroclinic perturbations. The flow is baroclinic to a significant degree and the jets are surface intensified. The meridional wavelength of the jets varies linearly with the baroclinic radius of deformation and is also in a good agreement with a modified Rhines scale. This suggests a linear dependence of the perturbation velocity in the equilibrated baroclinically unstable flow on the -parameter.</t>
  </si>
  <si>
    <t>[Matulka, A. M.; Afanasyev, Y. D.] Mem Univ Newfoundland, St John, NF, Canada</t>
  </si>
  <si>
    <t>Memorial University Newfoundland</t>
  </si>
  <si>
    <t>Afanasyev, YD (corresponding author), Mem Univ Newfoundland, St John, NF, Canada.</t>
  </si>
  <si>
    <t>afanai@mun.ca</t>
  </si>
  <si>
    <t>Afanasyev, Yakov D/D-2629-2014</t>
  </si>
  <si>
    <t>Natural Sciences and Engineering Research Council of Canada</t>
  </si>
  <si>
    <t>Natural Sciences and Engineering Research Council of Canada(Natural Sciences and Engineering Research Council of Canada (NSERC)CGIAR)</t>
  </si>
  <si>
    <t>Y.D.A. gratefully acknowledges the support by the Natural Sciences and Engineering Research Council of Canada. Experimental data are available on request from YDA (afanai@mun.ca).</t>
  </si>
  <si>
    <t>10.1002/2015JC011083</t>
  </si>
  <si>
    <t>CU4BF</t>
  </si>
  <si>
    <t>WOS:000363470300014</t>
  </si>
  <si>
    <t>Nakata, K; Ohshima, KI; Nihashi, S; Kimura, N; Tamura, T</t>
  </si>
  <si>
    <t>Nakata, Kazuki; Ohshima, Kay I.; Nihashi, Sohey; Kimura, Noriaki; Tamura, Takeshi</t>
  </si>
  <si>
    <t>Variability and ice production budget in the Ross Ice Shelf Polynya based on a simplified polynya model and satellite observations</t>
  </si>
  <si>
    <t>coastal polynya; AMSR-E; sea-ice production; ice drift; frazil ice</t>
  </si>
  <si>
    <t>LAWRENCE ISLAND POLYNYA; TIME-DEPENDENT MODEL; ANTARCTIC SEA-ICE; COASTAL POLYNYAS; MOTION; WIND; THICKNESS; IMAGERY; OCEAN; SIZE</t>
  </si>
  <si>
    <t>We examined to what degree a simplified polynya model can explain a real polynya based on satellite-derived sea-ice data. In the model, the polynya area, defined as the frazil ice production region, is determined by a balance between the offshore consolidated ice drift and frazil ice production. We used daily polynya area, ice production, and ice drift data derived from AMSR-E. The study area is the Ross Ice Shelf Polynya (RISP), which has the highest sea-ice production in the Southern Ocean. As a modification of the original model to apply the available satellite data set, we introduced the lag time by which produced frazil ice is transported and accumulated at the polynya edge. The model represents a half (48-60%) of the polynya variability when using a lag time of 1.5 days. The frazil ice collection depth at the polynya edge, a key parameter in the model, is estimated to be approximate to 16 cm. The expansion of the RISP is achieved by ice divergence, and the contraction is achieved mostly by ice production. Both the wind and the remaining components (mainly regarded as the ocean current component) in the ice divergence are larger in the western part of the RISP, which explains the larger extent there. In the one-dimensional frame, assuming that the frazil ice produced within the RISP transforms into consolidated ice with a thickness of 16 cm, the frazil ice production (approximate to 1.7 x 10(3) m(2) d(-1)) within the RISP approximately balances the export (approximate to 1.6 x 10(3) m(2) d(-1)) of consolidated thin ice from the RISP edge.</t>
  </si>
  <si>
    <t>[Nakata, Kazuki] Hokkaido Univ, Grad Sch Environm Sci, Sapporo, Hokkaido, Japan; [Ohshima, Kay I.] Hokkaido Univ, Inst Low Temp Sci, Sapporo, Hokkaido 060, Japan; [Nihashi, Sohey] Tomakomai Coll, Natl Inst Technol, Dept Mech Engn, Tomakomai, Japan; [Kimura, Noriaki; Tamura, Takeshi] Natl Inst Polar Res, Tachikawa, Tokyo, Japan; [Kimura, Noriaki] Univ Tokyo, Grad Sch Frontier Sci, Kashiwa, Chiba, Japan; [Tamura, Takeshi] Grad Univ Adv Studies, Dept Polar Sci, Tachikawa, Tokyo, Japan; [Tamura, Takeshi] Univ Tasmania, Antarct Climate &amp; Ecosyst Cooperat Res Ctr, Hobart, Tas, Australia</t>
  </si>
  <si>
    <t>Hokkaido University; Hokkaido University; Research Organization of Information &amp; Systems (ROIS); National Institute of Polar Research (NIPR) - Japan; University of Tokyo; Graduate University for Advanced Studies - Japan; University of Tasmania</t>
  </si>
  <si>
    <t>Nakata, K (corresponding author), Hokkaido Univ, Grad Sch Environm Sci, Sapporo, Hokkaido, Japan.</t>
  </si>
  <si>
    <t>kazuki-nakata@lowtem.hokudai.ac.jp</t>
  </si>
  <si>
    <t>Ohshima, Kay I/D-6909-2012</t>
  </si>
  <si>
    <t>Nakata, Kazuki/0000-0002-4298-1148</t>
  </si>
  <si>
    <t>European Space Agency (ESA) under the ESA project [6130]; Japanese Ministry of Education, Culture, Sports, Science and Technology [25241001, 26740007]; Grants-in-Aid for Scientific Research [26740007, 15H05116, 25241001] Funding Source: KAKEN</t>
  </si>
  <si>
    <t>European Space Agency (ESA) under the ESA project; 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</si>
  <si>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We acknowledge Alexander D. Fraser for his careful reading of the manuscript. We also thank Takenobu Toyota and Katsushi Iwamoto for their instructive comments. The AMSR-E brightness temperature and ice concentration data were provided by the National Snow and Ice Data Center (NSIDC), University of Colorado, Boulder, Colorado (http://nsidc.org/data/amsre/). The ECMWF ERA-interim data were obtained from the ECMWF data server (http://apps.ecmwf.int/datasets/data/interim-full-daily/). The Envisat ASAR data were provided by the European Space Agency (ESA) under the ESA project (ID 6130). Sea-ice data used for producing the results herein may be requested by contacting the authors. Sea-ice production data will be uploaded in the website (http://wwwod.lowtem.hokudai.ac.jp/polar-seaflux/). This work was supported by the fund from the Grant-in-Aids for Scientific Research (25241001 and 26740007) of the Japanese Ministry of Education, Culture, Sports, Science and Technology.</t>
  </si>
  <si>
    <t>10.1002/2015JC010894</t>
  </si>
  <si>
    <t>Green Accepted, Bronze, Green Published</t>
  </si>
  <si>
    <t>WOS:000363470300020</t>
  </si>
  <si>
    <t>Schreider, AA</t>
  </si>
  <si>
    <t>Schreider, Al. A.</t>
  </si>
  <si>
    <t>Paleogeodynamics of the Bransfield Strait</t>
  </si>
  <si>
    <t>OCEANOLOGY</t>
  </si>
  <si>
    <t>ANTARCTIC PENINSULA; CRUSTAL STRUCTURE; WEST ANTARCTICA; INITIAL-STAGES; BASIN; EVOLUTION; RIFT; PROPAGATION; LITHOSPHERE; MAGMATISM</t>
  </si>
  <si>
    <t>The axes of zones split off between the northern continental slope of the Bransfield Basin and its southern slope belonging to the Antarctic Peninsula are reconstructed by determining the Euler poles and rotation angles that describe the splitting-off process. The revealed difference in the depths of joined isobaths of up to a hundred of meters reflects the different-scale slippage of peripheral parts of the continental crust from the main body of the Antarctic Peninsula along the plane of the through-lithosphere fracture. On the basis of paleogeodynamic reconstruction, it is possible to reconstruct also the initial bottom topography before the splitting off of the slipping fragments. It is shown that peripheral areas towered initially over the main surface of the shelf of the Antarctic Peninsula for many tens of meters. The locations of tectonic distortions along both borders of the strait due to transtension are reconstructed.</t>
  </si>
  <si>
    <t>NIIgazekonomika Co Ltd, Res Inst Econ &amp; Management Gas Ind, Moscow, Russia</t>
  </si>
  <si>
    <t>Schreider, AA (corresponding author), NIIgazekonomika Co Ltd, Res Inst Econ &amp; Management Gas Ind, Moscow, Russia.</t>
  </si>
  <si>
    <t>aschr@ocean.ru</t>
  </si>
  <si>
    <t>Russian Foundation for Basic Research [11-05-00066-a]</t>
  </si>
  <si>
    <t>Russian Foundation for Basic Research(Russian Foundation for Basic Research (RFBR)Spanish Government)</t>
  </si>
  <si>
    <t>This work was supported by the Russian Foundation for Basic Research, project no. 11-05-00066-a.</t>
  </si>
  <si>
    <t>0001-4370</t>
  </si>
  <si>
    <t>1531-8508</t>
  </si>
  <si>
    <t>OCEANOLOGY+</t>
  </si>
  <si>
    <t>Oceanology</t>
  </si>
  <si>
    <t>10.1134/S0001437015050148</t>
  </si>
  <si>
    <t>CU1BZ</t>
  </si>
  <si>
    <t>WOS:000363255400012</t>
  </si>
  <si>
    <t>Artamonova, KV; Gangnus, IA; Maslennikov, VV; Torgunova, NI</t>
  </si>
  <si>
    <t>Artamonova, K. V.; Gangnus, I. A.; Maslennikov, V. V.; Torgunova, N. I.</t>
  </si>
  <si>
    <t>Hydrochemical research in Antarctic waters during the 59th Russian Antarctic Expedition</t>
  </si>
  <si>
    <t>[Artamonova, K. V.; Gangnus, I. A.; Maslennikov, V. V.; Torgunova, N. I.] Russian Fed Res Inst Fisheries &amp; Oceanog, Moscow, Russia</t>
  </si>
  <si>
    <t>Research lnstitute of Fisheries &amp; Oceanography</t>
  </si>
  <si>
    <t>Artamonova, KV (corresponding author), Russian Fed Res Inst Fisheries &amp; Oceanog, Moscow, Russia.</t>
  </si>
  <si>
    <t>ksusha@vniro.ru</t>
  </si>
  <si>
    <t>Artamonova, Ksenia/AAT-9263-2021</t>
  </si>
  <si>
    <t>Artamonova, Ksenia/0000-0001-5036-7087</t>
  </si>
  <si>
    <t>Russian Foundation for Basic Research [14-05-31148 mol_a]</t>
  </si>
  <si>
    <t>This work was supported by the Russian Foundation for Basic Research (project no. 14-05-31148 mol_a).</t>
  </si>
  <si>
    <t>10.1134/S000143701505001X</t>
  </si>
  <si>
    <t>WOS:000363255400018</t>
  </si>
  <si>
    <t>Fedorova, AD; Popov, AV; Rubchenya, AV</t>
  </si>
  <si>
    <t>Fedorova, A. D.; Popov, A. V.; Rubchenya, A. V.</t>
  </si>
  <si>
    <t>The features of long-term variability of water thermohaline characteristics in the North Atlantic and Greenland Sea in 1950-2012</t>
  </si>
  <si>
    <t>RUSSIAN METEOROLOGY AND HYDROLOGY</t>
  </si>
  <si>
    <t>Thermohaline structure of water; long-term variability; the dome of bottom and deep waters; the North Atlantic; the Greenland Sea</t>
  </si>
  <si>
    <t>Considered are the results of studying the variability of water thermohaline structure at different time scales. Time series and cross-sections are analyzed in the chosen test areas and trends are obtained. The analysis of autocorrelation functions and spectral density of the data enabled identifying the main periods of the variability of temperature and salinity in each area under study. The area of the dome of bottom and deep waters is considered in detail. The TS-analysis and analysis of spatial cross-sections were carried out to study comprehensively the processes of salinization and warming of water in the recent two decades. The effects of advection from the adjacent areas are also studied by means of cross-correlation and wavelet analyses.</t>
  </si>
  <si>
    <t>[Fedorova, A. D.; Rubchenya, A. V.] St Petersburg State Univ, St Petersburg 199034, Russia; [Fedorova, A. D.] Nansen Environm &amp; Remote Sensing Ctr, St Petersburg 199034, Russia; [Popov, A. V.] Arctic &amp; Antarctic Res Inst, St Petersburg 199397, Russia</t>
  </si>
  <si>
    <t>Saint Petersburg State University; Nansen Environmental &amp; Remote Sensing Center (NERSC); Arctic &amp; Antarctic Research Institute</t>
  </si>
  <si>
    <t>Fedorova, AD (corresponding author), St Petersburg State Univ, Univ Skaya Nab 7-9, St Petersburg 199034, Russia.</t>
  </si>
  <si>
    <t>a_fedorova@niersc.spb.ru</t>
  </si>
  <si>
    <t>Rubchenia, Andrej/F-9235-2013</t>
  </si>
  <si>
    <t>Rubchenia, Andrej/0000-0002-3996-8372</t>
  </si>
  <si>
    <t>1068-3739</t>
  </si>
  <si>
    <t>1934-8096</t>
  </si>
  <si>
    <t>RUSS METEOROL HYDRO+</t>
  </si>
  <si>
    <t>Russ. Meteorol. Hydrol.</t>
  </si>
  <si>
    <t>10.3103/S1068373915090046</t>
  </si>
  <si>
    <t>CT6EJ</t>
  </si>
  <si>
    <t>WOS:000362904500004</t>
  </si>
  <si>
    <t>Michael, PE; Tuck, GN; Strutton, P; Hobday, A</t>
  </si>
  <si>
    <t>Michael, Pamela E.; Tuck, Geoffrey N.; Strutton, Peter; Hobday, Alistair</t>
  </si>
  <si>
    <t>Environmental associations with broad-scale Japanese and Taiwanese pelagic longline effort in the southern Indian and Atlantic Oceans</t>
  </si>
  <si>
    <t>FISHERIES OCEANOGRAPHY</t>
  </si>
  <si>
    <t>climate indices; generalized additive model; isotherm; multi-species fleet; sea ice; season; target species; Tuna</t>
  </si>
  <si>
    <t>BLUEFIN TUNA; YELLOWFIN TUNA; CLIMATE VARIABILITY; NONLINEAR RELATIONSHIPS; POPULATION-DYNAMICS; TIME-SERIES; UNIT-EFFORT; CATCH; FISHERY; ABUNDANCE</t>
  </si>
  <si>
    <t>Tunas are globally important to fisheries because of their broad distribution and high market value. However, these characteristics also complicate their management, owing to difficulties estimating population size and sustainable harvest levels. Fishing effort data can be difficult to interpret, as the magnitude and distribution of effort are the result of multiple factors, including environmental variation and targeting different species. Yet, resolving patterns in fishing effort may provide information enabling the setting of sustainable harvest levels, the management of bycatch and the projection of potential responses to environmental change. To better understand the allocation of fishing effort, we evaluated Japanese and Taiwanese longline effort in the southern Indian and Atlantic Oceans and their relationships to the environment using generalized additive models. The variables evaluated included sea surface temperature (SST), sea ice extent, climate indices, and seasonal cycles, and the results were interpreted in physical, ecological, and management contexts. Our findings indicated hierarchical relationships are impacting fishing effort, with a seasonal cycle an important component of most models, which we hypothesize relates to variation in species targeting. This was often followed by finer-scale environmental indices, including isotherms and sea ice, indicating region-specific dynamics impacting the magnitude and distribution of fishing effort. Additionally, effort in some regions was associated with climate indices, highlighting interannual variation. This first quantitative description of the environmental associations of multi-species tuna fleets in the Southern Ocean is a step towards an improved understanding of fleet behaviour.</t>
  </si>
  <si>
    <t>[Michael, Pamela E.; Strutton, Peter] Univ Tasmania, CSIRO, Inst Marine &amp; Antarctic Studies, UTas Quantitat Marine Sci Program, Hobart, Tas, Australia; [Tuck, Geoffrey N.; Hobday, Alistair] CSIRO, Oceans &amp; Atmosphere Flagship, Hobart, Tas, Australia; [Strutton, Peter] Australian Res Council Ctr Excellence Climate Sys, Hobart, Tas, Australia</t>
  </si>
  <si>
    <t>Commonwealth Scientific &amp; Industrial Research Organisation (CSIRO); University of Tasmania; Commonwealth Scientific &amp; Industrial Research Organisation (CSIRO)</t>
  </si>
  <si>
    <t>Michael, PE (corresponding author), Univ Tasmania, CSIRO, Inst Marine &amp; Antarctic Studies, UTas Quantitat Marine Sci Program, Hobart, Tas, Australia.</t>
  </si>
  <si>
    <t>pamela.michael@utas.edu.au</t>
  </si>
  <si>
    <t>Hobday, Alistair/A-1460-2012; Tuck, Geoff/E-2356-2012; Strutton, Peter/C-4466-2011</t>
  </si>
  <si>
    <t>Michael, Pamela/0000-0003-4420-864X; Tuck, Geoff/0000-0002-3640-6147; Strutton, Peter/0000-0002-2395-9471</t>
  </si>
  <si>
    <t>1054-6006</t>
  </si>
  <si>
    <t>1365-2419</t>
  </si>
  <si>
    <t>FISH OCEANOGR</t>
  </si>
  <si>
    <t>Fish Oceanogr.</t>
  </si>
  <si>
    <t>10.1111/fog.12123</t>
  </si>
  <si>
    <t>Fisheries; Oceanography</t>
  </si>
  <si>
    <t>CS8SX</t>
  </si>
  <si>
    <t>WOS:000362359900006</t>
  </si>
  <si>
    <t>Moles, J; Núñez-Pons, L; Taboada, S; Figuerola, B; Cristobo, J; Avila, C</t>
  </si>
  <si>
    <t>Moles, Juan; Nunez-Pons, Laura; Taboada, Sergi; Figuerola, Blanca; Cristobo, Javier; Avila, Conxita</t>
  </si>
  <si>
    <t>Anti-predatory chemical defences in Antarctic benthic fauna</t>
  </si>
  <si>
    <t>STAR ODONTASTER-VALIDUS; TUBE-FOOT RESPONSES; SECONDARY METABOLITES; NATURAL-PRODUCTS; FEEDING REPELLENCE; MARINE ORGANISMS; SOUTHERN-OCEAN; PARBORLASIA-CORRUGATUS; ENERGETIC COMPOSITION; PERKNASTER-FUSCUS</t>
  </si>
  <si>
    <t>Antarctic benthic communities are largely structured by predation, which leads to the development of mechanisms of repellence. Among those mechanisms, chemical defences are quite extensive, yet poorly understood. To increase knowledge about the role of chemical defences in the Southern Ocean ecosystems, we assessed the incidence of feeding repellents in sessile and vagile invertebrates from nine phyla: Porifera, Cnidaria, Nemertea, Annelida, Mollusca, Bryozoa, Echinodermata, Hemichordata, and Tunicata (Ascidiacea). Samples were collected at depths of 120-789 m in the eastern Weddell Sea and Bouvet Island, and at depths ranging 0-100 m in the South Shetland Islands. When possible, specimens were dissected to study anatomical allocation of repellents. The common, eurybathic sea star Odontaster validus was chosen to perform feeding repellence bioassays, using diethyl ether (lipophilic) and butanol (hydrophilic) extracts from these samples. Among the 75 species tested, 52 % were studied for the first time for anti-predatory properties. Results provide further evidence of the prevalence of defensive metabolites in Antarctic organisms, with 47 % of the species exhibiting significant repellence within their lipophilic extracts. They also suggest a wider use of nonpolar defensive chemicals. Sessile taxa displayed highest repellence activities, with ascidians, cnidarians, and sponges being the most chemically protected. Overall, the present study indicates that natural products by mediating trophic interactions between prey and their potential predators play an important role in structuring Antarctic benthic ecosystems.</t>
  </si>
  <si>
    <t>[Moles, Juan; Nunez-Pons, Laura; Taboada, Sergi; Figuerola, Blanca; Avila, Conxita] Univ Barcelona, Fac Biol, Dept Anim Biol Invertebrates, E-08028 Barcelona, Spain; [Moles, Juan; Nunez-Pons, Laura; Taboada, Sergi; Figuerola, Blanca; Avila, Conxita] Univ Barcelona, Fac Biol, Biodivers Res Inst IrBIO, E-08028 Barcelona, Spain; [Nunez-Pons, Laura] Univ Hawaii, Hawaii Inst Marine Biol, Kaneohe, HI 96744 USA; [Cristobo, Javier] Spanish Inst Oceanog IEO, Oceanog Ctr Gijon, Gijon 33212, Spain</t>
  </si>
  <si>
    <t>University of Barcelona; University of Barcelona; University of Hawaii System</t>
  </si>
  <si>
    <t>Moles, J (corresponding author), Univ Barcelona, Fac Biol, Dept Anim Biol Invertebrates, Av Diagonal 643, E-08028 Barcelona, Spain.</t>
  </si>
  <si>
    <t>moles.sanchez@gmail.com</t>
  </si>
  <si>
    <t>Figuerola, Blanca/C-6252-2015; Moles, Juan/H-4786-2018; Taboada, Sergi/AAB-9390-2021; Cristobo, Javier/M-1949-2014; Avila, Conxita/B-9466-2008</t>
  </si>
  <si>
    <t>Figuerola, Blanca/0000-0003-4731-9337; Moles, Juan/0000-0003-4511-4055; Taboada, Sergi/0000-0003-1669-1152; Avila, Conxita/0000-0002-5489-8376</t>
  </si>
  <si>
    <t>Spanish government through the ECOQUIM; Spanish government through the ACTIQUIM [REN2003-00545, REN2002-12006EANT, CGL2004-03356/ANT, CGL2007-65453, CTM2010-17415/ANT]; Spanish Government (MEC) [BES-2011-045325]</t>
  </si>
  <si>
    <t>Spanish government through the ECOQUIM; Spanish government through the ACTIQUIM; Spanish Government (MEC)(Spanish Government)</t>
  </si>
  <si>
    <t>We thank Prof W. Arntz, T. Brey, and the crew of the R/V Polarstern for allowing our participation in the Antarctic cruises ANT XV/3 and XXI/2 (AWI, Bremerhaven, Germany). Special thanks are given to C. Angulo, M. Bas, A. Riesgo, and J. Vazquez for laboratory and field support. Also, thanks are due to M. Ballesteros, P. Rios, M. Varela, M. Edo, N. Anadon, and A. A. Ramos-Espla for help with the taxonomical identification of the samples. Thanks are also due to the Unidad de Tecnologia Marina (CSIC), as well as the Bentart Project (IEO) team, the BIO-Las Palmas and the BIO-Hesperides crews, and the Gabriel de Castilla Spanish Antarctic Base for providing logistic support during the Antarctic cruises. We are also thankful to the editor and reviewers for their suggestions to improve the paper. Funding was provided by the Spanish government through the ECOQUIM and ACTIQUIM Projects (REN2003-00545, REN2002-12006EANT, CGL2004-03356/ANT, CGL2007-65453, and CTM2010-17415/ANT). J. M. was supported by a Grant of the Spanish Government (MEC; BES-2011-045325).</t>
  </si>
  <si>
    <t>10.1007/s00227-015-2714-9</t>
  </si>
  <si>
    <t>CS8FO</t>
  </si>
  <si>
    <t>WOS:000362321800009</t>
  </si>
  <si>
    <t>Castro, SP; Carvalho, MA</t>
  </si>
  <si>
    <t>Castro, Susan P.; Carvalho, Marcelo A.</t>
  </si>
  <si>
    <t>Santonian dinocyst assemblages of the Santa Marta Formation, Antarctic Peninsula: Inferences for paleoenvironments and paleoecology</t>
  </si>
  <si>
    <t>ANAIS DA ACADEMIA BRASILEIRA DE CIENCIAS</t>
  </si>
  <si>
    <t>Santonian dinocysts; Antarctica; Cretaceous; Santa Marta Formation; dinocyst blooms</t>
  </si>
  <si>
    <t>JAMES-ROSS-ISLAND; DINOFLAGELLATE CYSTS; BASIN; STRATIGRAPHY; EVOLUTION</t>
  </si>
  <si>
    <t>To better understand the paleoenvironments of the lower-middle Santonian, dinocyst data were obtained from the Santa Marta Formation, Larsen Basin, James Ross Island, Antarctic Peninsula. This study provides the first available quantitative dinocyst data for the Santa Marta Formation, which should more clearly reflect detailed changes in paleoenvironments, as recorded by fluctuations in diversity and abundance. To record the Santonian dinocyst assemblages from the Larsen Basin, 30 samples from an outcrop of the Lachman Crags Member (LC section) were analyzed. These assemblages are dominated by peridiniacean dinocysts typical of the Isabelidinium flora. A lower-middle Santonian age was determined after the recognition of Odontochitina porifera and Isabelidinium cretaceum zones. Cluster analysis based on quantitative data, yielded five dinocyst assemblages: Manumiella, Heterosphaeridium, Chlamydophorella, Isabelidinium and Odontochitina. Two Santonian blooms, Isabelidinium and Odontochitina, recognized in other regions were also recorded in the studied section. The stratigraphic distribution shows an alternation between the assemblages, distinguishing in the section six intervals. The high abundance of the Manumiella assemblage at the uppermost interval of the section represents the shallower setting, whereas the high abundance of Odontochitina at the middle part of the section represents the deepest setting.</t>
  </si>
  <si>
    <t>[Castro, Susan P.; Carvalho, Marcelo A.] Univ Fed Rio de Janeiro, Museu Nacl, Dept Geol &amp; Paleontol, Lab Paleoecol Vegetal, BR-22040040 Rio De Janeiro, RJ, Brazil; [Castro, Susan P.] Univ Fed Rio de Janeiro, Ilha Fundao, Inst Geociencias, Programa Posgrad, BR-21949900 Rio De Janeiro, RJ, Brazil</t>
  </si>
  <si>
    <t>Universidade Federal do Rio de Janeiro; Universidade Federal do Rio de Janeiro</t>
  </si>
  <si>
    <t>Castro, SP (corresponding author), Univ Fed Rio de Janeiro, Museu Nacl, Dept Geol &amp; Paleontol, Lab Paleoecol Vegetal, Quinta Boa Vista S-N, BR-22040040 Rio De Janeiro, RJ, Brazil.</t>
  </si>
  <si>
    <t>susanpcastro@yahoo.com.br</t>
  </si>
  <si>
    <t>Carvalho, Marcelo A/G-8463-2015</t>
  </si>
  <si>
    <t>Coordenacao de Aperfeicoamento de Pessoal de Nivel Superior (CAPES); Conselho Nacional de Desenvolvimento Cientifico e Tecnologico (CNPq) [301573/2013-1]; Fundacao Carlos Chagas Filho de Amparo a Pesquisa do Estado do Rio de Janeiro (FAPERJ) [E-26/103.028/2008]</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</si>
  <si>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Carlos Chagas Filho de Amparo a Pesquisa do Estado do Rio de Janeiro (FAPERJ)(Fundacao Carlos Chagas Filho de Amparo a Pesquisa do Estado do Rio De Janeiro (FAPERJ))</t>
  </si>
  <si>
    <t>This study was supported by the Coordenacao de Aperfeicoamento de Pessoal de Nivel Superior (CAPES) scholarship to S.P. Castro, by the Conselho Nacional de Desenvolvimento Cientifico e Tecnologico (CNPq) grant no. 301573/2013-1 to M. Carvalho, the Fundacao Carlos Chagas Filho de Amparo a Pesquisa do Estado do Rio de Janeiro (FAPERJ) grant no. E-26/103.028/2008 to M. Carvalho. We thank Petrobras geologist Dr. Mitsuru Arai for his valuable suggestions about dinocyst ecology. We thank the anonymous reviewers for their valuable suggestions.</t>
  </si>
  <si>
    <t>ACAD BRASILEIRA DE CIENCIAS</t>
  </si>
  <si>
    <t>RIO JANEIRO</t>
  </si>
  <si>
    <t>RUA ANFILOFIO DE CARVALHO, 29, 3 ANDAR, 20030-060 RIO JANEIRO, BRAZIL</t>
  </si>
  <si>
    <t>0001-3765</t>
  </si>
  <si>
    <t>1678-2690</t>
  </si>
  <si>
    <t>AN ACAD BRAS CIENC</t>
  </si>
  <si>
    <t>An. Acad. Bras. Cienc.</t>
  </si>
  <si>
    <t>10.1590/0001-3765201520140651</t>
  </si>
  <si>
    <t>CS1QI</t>
  </si>
  <si>
    <t>Green Submitted, gold</t>
  </si>
  <si>
    <t>WOS:000361842000009</t>
  </si>
  <si>
    <t>Preston, LJ; Johnson, D; Cockell, CS; Grady, MM</t>
  </si>
  <si>
    <t>Preston, Louisa J.; Johnson, Diane; Cockell, Charles S.; Grady, Monica M.</t>
  </si>
  <si>
    <t>Fourier Transform Infrared Spectral Detection of Life in Polar Subsurface Environments and Its Application to Mars Exploration</t>
  </si>
  <si>
    <t>APPLIED SPECTROSCOPY</t>
  </si>
  <si>
    <t>Fourier transform infrared spectroscopy; FT-IR; Biosignature; Organics; Cryptoendoliths; Antarctica; Mars</t>
  </si>
  <si>
    <t>CRYPTOENDOLITHIC MICROBIAL ENVIRONMENT; RAMAN-SPECTROSCOPIC DETECTION; DESERT; IDENTIFICATION; DEPOSITS</t>
  </si>
  <si>
    <t>Cryptoendolithic lichen communities of the Dry Valleys, Antarctica, survive in an extremely inhospitable environment, finding refuge in microscopic niches where conditions suitable for life exist. Such within-rock communities may have evolved on Mars when conditions for life on the surface deteriorated to such an extent that they could no longer survive. Fourier transform infrared spectroscopy of unprepared whole-rock Antarctic Beacon sand-stones was used to vertically profile molecular vibrations of fatty acids, proteins, and carboxylic acids created by endolithic communities. Spectral biosignatures were found localized to lichen-rich areas and were absent in crustal regions and the bulk rock substrate. These cryptoendolithic profiles will aid similar spectroscopic investigations of organic biosignatures during future Martian subsurface studies and will help in the identification of similar communities in other localities across the Earth.</t>
  </si>
  <si>
    <t>[Preston, Louisa J.; Johnson, Diane; Grady, Monica M.] Open Univ, Dept Phys Sci, Milton Keynes MK7 6AA, Bucks, England; [Cockell, Charles S.] Univ Edinburgh, Sch Phys &amp; Astron, Edinburgh EH9 3FD, Midlothian, Scotland; [Grady, Monica M.] Nat Hist Museum, Dept Earth Sci, London SW7 5BD, England</t>
  </si>
  <si>
    <t>Open University - UK; University of Edinburgh; Natural History Museum London</t>
  </si>
  <si>
    <t>Preston, LJ (corresponding author), Open Univ, Dept Phys Sci, Milton Keynes MK7 6AA, Bucks, England.</t>
  </si>
  <si>
    <t>louisajanepreston@gmail.com</t>
  </si>
  <si>
    <t>STFC [ST/L000776/1] Funding Source: UKRI</t>
  </si>
  <si>
    <t>STFC(UK Research &amp; Innovation (UKRI)Science &amp; Technology Facilities Council (STFC))</t>
  </si>
  <si>
    <t>0003-7028</t>
  </si>
  <si>
    <t>1943-3530</t>
  </si>
  <si>
    <t>APPL SPECTROSC</t>
  </si>
  <si>
    <t>Appl. Spectrosc.</t>
  </si>
  <si>
    <t>10.1366/14-07843</t>
  </si>
  <si>
    <t>Instruments &amp; Instrumentation; Spectroscopy</t>
  </si>
  <si>
    <t>CS2VE</t>
  </si>
  <si>
    <t>WOS:000361929300008</t>
  </si>
  <si>
    <t>Palchetti, L; Bianchini, G; Di Natale, G; Del Guasta, M</t>
  </si>
  <si>
    <t>Palchetti, Luca; Bianchini, Giovanni; Di Natale, Gianluca; Del Guasta, Massimo</t>
  </si>
  <si>
    <t>FAR-INFRARED RADIATIVE PROPERTIES OF WATER VAPOR AND CLOUDS IN ANTARCTICA</t>
  </si>
  <si>
    <t>BULLETIN OF THE AMERICAN METEOROLOGICAL SOCIETY</t>
  </si>
  <si>
    <t>EMITTED SPECTRAL RADIANCE; ACCURATE PARAMETERIZATION; TECHNICAL NOTE; BAND; VALIDATION</t>
  </si>
  <si>
    <t>Water vapor and clouds are among the most important greenhouse components whose radiative features cover all the broad spectral range of the thermal emission of the atmosphere. Typically more than 40% of the total thermal emission of Earth occurs in the far-infrared (FIR) spectral region from 100 to 667 cm(-1) (wavelengths from 100 to 15 mu m). Nevertheless, this spectral region has not ever been fully covered down to 100 cm(-1) by space missions, and only a few ground-based experiments exist because of the difficulty of performing measurements from high altitude and very dry locations where the atmosphere is sufficiently transparent to observe the FIR emission features. To cover this lack of observations, the Italian experiment Radiative Properties of Water Vapor and Clouds in Antarctica has collected a 2-yr dataset of spectral measurements of the radiance emitted by the atmosphere and by clouds, such as cirrus and polar stratospheric clouds, from 100 to 1,400 cm(-1) (100-7 mu m of wavelength), including the underexplored FIR region, along with polarization-sensitive lidar observations, daily radiosondes, and other ancillary information to characterize the atmosphere above the site. Measurements have been performed almost continuously with a duty cycle of 6 out of 9 h, from the Italian-French base of Concordia at Dome C over the Antarctic Plateau at 3,230 m MSL, in all-sky conditions since 2012. Because of the uniqueness of the observations, this dataset will be extremely valuable for evaluating the accuracy of atmospheric absorption models (both gas and clouds) in the underexplored FIR and to detect possible daily, seasonal, and annual climate signatures.</t>
  </si>
  <si>
    <t>[Palchetti, Luca; Bianchini, Giovanni; Di Natale, Gianluca; Del Guasta, Massimo] Ist Nazl Ottica, CNR, I-50019 Sesto Fiorentino, Italy</t>
  </si>
  <si>
    <t>Consiglio Nazionale delle Ricerche (CNR); Istituto Nazionale di Ottica (INO-CNR)</t>
  </si>
  <si>
    <t>Palchetti, L (corresponding author), Ist Nazl Ottica, CNR, Via Madonna Piano 10, I-50019 Sesto Fiorentino, Italy.</t>
  </si>
  <si>
    <t>luca.palchetti@ino.it</t>
  </si>
  <si>
    <t>Di Natale, Gianluca/AAL-4498-2021; Bianchini, Giovanni/ABD-3585-2020; PALCHETTI, LUCA/O-1270-2015</t>
  </si>
  <si>
    <t>Di Natale, Gianluca/0000-0002-9149-7926; Bianchini, Giovanni/0000-0002-5400-7721; PALCHETTI, LUCA/0000-0003-4022-8125</t>
  </si>
  <si>
    <t>Italian PNRA (Programma Nazionale di Ricerche in Antartide); Institut polaire francais Paul Emile Victor (IPEV)</t>
  </si>
  <si>
    <t>Italian PNRA (Programma Nazionale di Ricerche in Antartide)(Ministry of Education, Universities and Research (MIUR)); Institut polaire francais Paul Emile Victor (IPEV)</t>
  </si>
  <si>
    <t>This research was supported by the Italian PNRA (Programma Nazionale di Ricerche in Antartide) and the Institut polaire francais Paul Emile Victor (IPEV). More specifically it was developed as a part of the Subproject PRANA (Proprieta Radiative dell'Atmosfera e delle Nubi in Antartide). Data and information on radio sounding measurements were obtained from the IPEV/PNRA Project Routine Meteorological Observation at Station Concordia (www.climantartide .it/index.php?lang=en). We thank all of the institutions and their associates listed in Table 3 for supplying information about other measurements available at Concordia station.</t>
  </si>
  <si>
    <t>0003-0007</t>
  </si>
  <si>
    <t>1520-0477</t>
  </si>
  <si>
    <t>B AM METEOROL SOC</t>
  </si>
  <si>
    <t>Bull. Amer. Meteorol. Soc.</t>
  </si>
  <si>
    <t>10.1175/BAMS-D-13-00286.1</t>
  </si>
  <si>
    <t>CS6RK</t>
  </si>
  <si>
    <t>WOS:000362208700001</t>
  </si>
  <si>
    <t>Boyd, PW; McDonnell, A; Valdez, J; LeFevre, D; Gall, MP</t>
  </si>
  <si>
    <t>Boyd, Philip W.; McDonnell, Andrew; Valdez, Jim; LeFevre, Dominique; Gall, Mark P.</t>
  </si>
  <si>
    <t>RESPIRE: An in situ particle interceptor to conduct particle remineralization and microbial dynamics studies in the oceans' Twilight Zone</t>
  </si>
  <si>
    <t>LIMNOLOGY AND OCEANOGRAPHY-METHODS</t>
  </si>
  <si>
    <t>MARINE SNOW; CARBON FLUX; HYDROSTATIC-PRESSURE; SINKING VELOCITY; ATLANTIC; BACTERIA; TRANSFORMATIONS; COMMUNITY; MATTER; GROWTH</t>
  </si>
  <si>
    <t>Sinking biogenic particles are centers of remineralization in the ocean's interior, a stratum which has large vertical biogeochemical gradients in the mesopelagic (i.e., 100-1000 m depth) realm. Due to difficulties in studying this region, our understanding of particle remineralization is based upon investigations employing biogeochemical algorithms, proxies, or shipboard incubations of deep-water samples. Here we circumvent many of these issues by fabricating and deploying a REspiration of Sinking Particles In the subsuRface ocEan (RESPIRE) particle interceptor in the open ocean to nonintrusively intercept settling particles at fixed depths (100-300 m). After a preprogrammed particle interception phase, the RESPIRE interceptor switches to a particle incubation mode, during which remineralization rate at in situ temperature and pressure is tracked using a dissolved-oxygen optode time series. A rotating (every 10 min) indented sphere transfers particles into a chamber that houses the dissolved-oxygen optode, and minimizes access to particles by mesozooplankton. Deployments of typically 72 h (36 h interception: 36 h incubation) yield rates of particle remineralization primarily by attached microbes, and concurrently provide samples for geochemical analyses and microbial assays to explore the relationship between bacterial community structure, enzymatic solubilisation, and trends in particle remineralization. The interceptor has also been used to follow temporal changes in microbial dynamics associated with remineralization. RESPIRE provides more realistic conditions within which remineralization rates can be measured in the ocean's interior, and will foster new linkages between the disparate disciplines of microbial physiology and particle biogeochemistry in the ocean's Twilight Zone.</t>
  </si>
  <si>
    <t>[Boyd, Philip W.] Univ Otago, Dept Chem, NIWA Ctr Chem &amp; Phys Oceanog, Dunedin, New Zealand; [McDonnell, Andrew] Univ Alaska Fairbanks, Sch Fisheries &amp; Ocean Sci, Fairbanks, AK USA; [Valdez, Jim] Woods Hole Oceanog Inst, Phys Oceanog, Woods Hole, MA 02543 USA; [LeFevre, Dominique] Univ Toulon &amp; Var, CNRS, Aix Marseille Univ, IRD,MIO, Marseille, France; [Gall, Mark P.] Natl Inst Water &amp; Atmosphere, Wellington, New Zealand</t>
  </si>
  <si>
    <t>University of Otago; University of Alaska System; University of Alaska Fairbanks; Woods Hole Oceanographic Institution; Universite de Toulon; Centre National de la Recherche Scientifique (CNRS); Institut de Recherche pour le Developpement (IRD); Aix-Marseille Universite; National Institute of Water &amp; Atmospheric Research (NIWA) - New Zealand</t>
  </si>
  <si>
    <t>Boyd, PW (corresponding author), Univ Tasmania, Inst Marine &amp; Antarctic Studies, Hobart, Tas, Australia.</t>
  </si>
  <si>
    <t>philip.boyd@utas.edu.au</t>
  </si>
  <si>
    <t>Lefevre, Dominique/AAN-8201-2021; Boyd, Philip/J-7624-2014</t>
  </si>
  <si>
    <t>Lefevre, Dominique/0000-0003-1694-3807; Boyd, Philip/0000-0001-7850-1911; McDonnell, Andrew/0000-0003-1408-4869</t>
  </si>
  <si>
    <t>NSF; New Zealand Ministry for Primary Industries; University of Tasmania</t>
  </si>
  <si>
    <t>NSF(National Science Foundation (NSF)); New Zealand Ministry for Primary Industries; University of Tasmania</t>
  </si>
  <si>
    <t>We thank the officers and crew of the research vessels Tangaroa, Tethys II and Roger Revelle. We are grateful for at-sea support from Ken Buesseler, Tom Trull, Laurent Coppola, Lisa Northcote and Scott Nodder, and for technical assistance from David Humphreys, Doug Mackie and Evelyn Armstrong. Craig Neill kindly provided advice on oxygen optode calibration and sensor drift. The manuscript has been substantially improved by comments from two anonymous reviewers. This project was supported by funding from NSF, the New Zealand Ministry for Primary Industries, and the University of Tasmania.</t>
  </si>
  <si>
    <t>1541-5856</t>
  </si>
  <si>
    <t>LIMNOL OCEANOGR-METH</t>
  </si>
  <si>
    <t>Limnol. Oceanogr. Meth.</t>
  </si>
  <si>
    <t>10.1002/lom3.10043</t>
  </si>
  <si>
    <t>CS3JD</t>
  </si>
  <si>
    <t>WOS:000361968000004</t>
  </si>
  <si>
    <t>Bjorndal, B; Ramsvik, MS; Lindquist, C; Nordrehaug, JE; Bruheim, I; Svardal, A; Nygård, O; Berge, RK</t>
  </si>
  <si>
    <t>Bjorndal, Bodil; Ramsvik, Marie S.; Lindquist, Carine; Nordrehaug, Jan E.; Bruheim, Inge; Svardal, Asbjorn; Nygard, Ottar; Berge, Rolf K.</t>
  </si>
  <si>
    <t>A Phospholipid-Protein Complex from Antarctic Krill Reduced Plasma Homocysteine Levels and Increased Plasma Trimethylamine-N-Oxide (TMAO) and Carnitine Levels in Male Wistar Rats</t>
  </si>
  <si>
    <t>MARINE DRUGS</t>
  </si>
  <si>
    <t>phospholipid-protein complex; Omega-3 polyunsaturated fatty acids; Euphausia superba; one-carbon metabolism; homocysteine; trimethylamine-N-oxide; carnitine</t>
  </si>
  <si>
    <t>HIGH-FAT DIET; CARDIOVASCULAR-DISEASE; HYDROSTATIC-PRESSURE; ENZYMATIC-SYNTHESIS; HEART-DISEASE; METABOLISM; BETAINE; METAANALYSIS; METHIONINE; CHOLINE</t>
  </si>
  <si>
    <t>Seafood is assumed to be beneficial for cardiovascular health, mainly based on plasma lipid lowering and anti-inflammatory effects of n-3 polyunsaturated fatty acids. However, other plasma risk factors linked to cardiovascular disease are less studied. This study aimed to penetrate the effect of a phospholipid-protein complex (PPC) from Antarctic krill on one-carbon metabolism and production of trimethylamine-N-oxide (TMAO) in rats. Male Wistar rats were fed isoenergetic control, 6%, or 11% PPC diets for four weeks. Rats fed PPC had reduced total homocysteine plasma level and increased levels of choline, dimethylglycine and cysteine, whereas the plasma level of methionine was unchanged compared to control. PPC feeding increased the plasma level of TMAO, carnitine, its precursors trimethyllysine and -butyrobetaine. There was a close correlation between plasma TMAO and carnitine, trimethyllysine, and -butyrobetaine, but not between TMAO and choline. The present data suggest that PPC has a homocysteine lowering effect and is associated with altered plasma concentrations of metabolites related to one-carbon metabolism and B-vitamin status in rats. Moreover, the present study reveals a non-obligatory role of gut microbiota in the increased plasma TMAO level as it can be explained by the PPC's content of TMAO. The increased level of carnitine and carnitine precursors is interpreted to reflect increased carnitine biosynthesis.</t>
  </si>
  <si>
    <t>[Bjorndal, Bodil; Ramsvik, Marie S.; Lindquist, Carine; Nordrehaug, Jan E.; Svardal, Asbjorn; Nygard, Ottar; Berge, Rolf K.] Univ Bergen, Dept Clin Sci, N-5020 Bergen, Norway; [Ramsvik, Marie S.; Bruheim, Inge] Olympic Seafood AS, N-6080 Fosnavaag, Norway; [Nordrehaug, Jan E.] Stavanger Univ Hosp, Dept Cardiol, N-4036 Stavanger, Norway; [Nygard, Ottar; Berge, Rolf K.] Haukeland Hosp, Dept Heart Dis, N-5021 Bergen, Norway</t>
  </si>
  <si>
    <t>University of Bergen; Stavanger University Hospital; University of Bergen; Haukeland University Hospital</t>
  </si>
  <si>
    <t>Berge, RK (corresponding author), Univ Bergen, Dept Clin Sci, N-5020 Bergen, Norway.</t>
  </si>
  <si>
    <t>Bodil.Bjorndal@uib.no; Marie.Ramsvik@olympic.no; Carine.Lindquist@uib.no; jan.erik.nordrehaug@sus.no; Inge.Bruheim@olympic.no; Asbjorn.Svardal@uib.no; Ottar.Nygard@helse-bergen.no; Rolf.Berge@uib.no</t>
  </si>
  <si>
    <t>Bjørndal, Bodil/HDN-4287-2022; Bjørndal, Bodil/ITT-0544-2023; Bjorndal, Bodil/H-6143-2017</t>
  </si>
  <si>
    <t>Bjorndal, Bodil/0000-0001-9718-5117</t>
  </si>
  <si>
    <t>Norwegian Research Council; Olympic Seafood AS [228069]; University of Bergen through the Clinical Nutrition Program</t>
  </si>
  <si>
    <t>Norwegian Research Council(Research Council of Norway); Olympic Seafood AS; University of Bergen through the Clinical Nutrition Program</t>
  </si>
  <si>
    <t>The authors would like to thank Kari Williams, Kari Mortensen, and Torunn Eide for valuable technical assistance. We also thank Eline Milde and the staff at the UiB animal facility. The Norwegian Research Council and Olympic Seafood AS (Project No. 228069), and the University of Bergen through the Clinical Nutrition Program, funded the project.</t>
  </si>
  <si>
    <t>1660-3397</t>
  </si>
  <si>
    <t>MAR DRUGS</t>
  </si>
  <si>
    <t>Mar. Drugs</t>
  </si>
  <si>
    <t>10.3390/md13095706</t>
  </si>
  <si>
    <t>Chemistry, Medicinal; Pharmacology &amp; Pharmacy</t>
  </si>
  <si>
    <t>Pharmacology &amp; Pharmacy</t>
  </si>
  <si>
    <t>CS2HZ</t>
  </si>
  <si>
    <t>Green Accepted, Green Submitted, gold, Green Published</t>
  </si>
  <si>
    <t>WOS:000361891700013</t>
  </si>
  <si>
    <t>Vera, EI</t>
  </si>
  <si>
    <t>Ignacio Vera, Ezequiel</t>
  </si>
  <si>
    <t>Further evidence supporting high diversity of cyathealean tree ferns in the Early Cretaceous of Antarctica</t>
  </si>
  <si>
    <t>CRETACEOUS RESEARCH</t>
  </si>
  <si>
    <t>Cyatheales; Cyatheaceae; Cibotiaceae; Lower Cretaceous; Antarctica; Cerro Negro Formation; Fossils; Tree ferns</t>
  </si>
  <si>
    <t>CERRO-NEGRO FORMATION; SOUTH SHETLAND ISLANDS; LIVINGSTON ISLAND; SP NOV.; BYERS PENINSULA; IN-SITU; GEN.; CYATHEACEAE; STEM; CLASSIFICATION</t>
  </si>
  <si>
    <t>Two new specimens of a cyathealean fern stems collected from the Lower Cretaceous (Aptian) Cerro Negro Formation, which crops out at the South Shetland Islands, Antarctica, are described in detail. The specimens are dictyostelic stems with U-shaped meristeles without sclerenchyma sheaths and petiole bases with numerous, small, vascular strands, and a mantle of adventitious roots. The anatomy of the stems show similarities with Cibotiaceae, but given they are not well preserved, some critical features that would allow a conclusive referral to this family are lacking. Preserved in the surrounding matrix, fragmentary pinnules were found, showing sori with bivalvate indusia, and sporangia with more than 20 spores, attached to an elongate receptacle. The features observed in these fertile remains suggest cyathealean affinities, but are difficult to refer to a particular family. These findings increase the diversity of cyathealean tree ferns in the Cerro Negro Formation, supporting previously suggested warm climatic conditions for this region of Antarctica during the Aptian. (C) 2015 Elsevier Ltd. All rights reserved.</t>
  </si>
  <si>
    <t>[Ignacio Vera, Ezequiel] Consejo Nacl Invest Cient &amp; Tecn, Museo Argentino Ciencias Nat Bernardino Rivadavia, RA-1033 Buenos Aires, DF, Argentina; [Ignacio Vera, Ezequiel] Univ Buenos Aires, Fac Ciencias Exactas &amp; Nat, Dept Ciencias Geol, Area Paleontol, Buenos Aires, DF, Argentina</t>
  </si>
  <si>
    <t>Consejo Nacional de Investigaciones Cientificas y Tecnicas (CONICET); Museo Argentino de Ciencias Naturales Bernardino Rivadavia (MACN); University of Buenos Aires</t>
  </si>
  <si>
    <t>Vera, EI (corresponding author), Consejo Nacl Invest Cient &amp; Tecn, Museo Argentino Ciencias Nat Bernardino Rivadavia, Av Angel Gallardo 470,C1405DJR, RA-1033 Buenos Aires, DF, Argentina.</t>
  </si>
  <si>
    <t>evera@macn.gov.ar</t>
  </si>
  <si>
    <t>Vera, Ezequiel/0000-0002-0267-5277</t>
  </si>
  <si>
    <t>CONICET-PIP Research Grant</t>
  </si>
  <si>
    <t>Thanks are due to Drs. M. Remesal, F. Salani and C. Parica, who collected the studied specimens under an Antarctic campaign of the Instituto Antartico Argentino. I am also indebted to Dr. Silvia Cesari, for her comments and suggestions on early study of the specimens. The comments of Dr. Harufumi Nishida and an anonymous reviewer, as well as from the Editor Dr. Eduardo Koutsoukos, were critical to enhance the final version of the manuscript, and are kindly acknowledged. This work was made under a CONICET-PIP Research Grant.</t>
  </si>
  <si>
    <t>0195-6671</t>
  </si>
  <si>
    <t>1095-998X</t>
  </si>
  <si>
    <t>CRETACEOUS RES</t>
  </si>
  <si>
    <t>Cretac. Res.</t>
  </si>
  <si>
    <t>10.1016/j.cretres.2015.04.015</t>
  </si>
  <si>
    <t>Geology; Paleontology</t>
  </si>
  <si>
    <t>CS0SR</t>
  </si>
  <si>
    <t>WOS:000361773000010</t>
  </si>
  <si>
    <t>Guerra, RD; Concheyro, A; Lees, J; Fauth, G; Carvalho, MD; Ramos, RRC</t>
  </si>
  <si>
    <t>Guerra, Rodrigo do Monte; Concheyro, Andrea; Lees, Jackie; Fauth, Gerson; Carvalho, Marcelo de Araujo; Cabral Ramos, Renato Rodriguez</t>
  </si>
  <si>
    <t>Calcareous nannofossils from the Santa Marta Formation (Upper Cretaceous), northern James Ross Island, Antarctic Peninsula</t>
  </si>
  <si>
    <t>Calcareous nannofossils; James Ross Island; Antarctic Peninsula; Cretaceous; Early Campanian; Gephyrobiscutum diabolum</t>
  </si>
  <si>
    <t>LACHMAN CRAGS MEMBER; BACK-ARC BASIN; PALEOENVIRONMENTAL CHANGES; VEGA ISLAND; CAPE LAMB; STRATIGRAPHY; FORAMINIFERA; BIOGEOGRAPHY; EVOLUTION; OSTRACODS</t>
  </si>
  <si>
    <t>This study reports on the most stratigraphically extensive nannofloras yet recovered from the Lachman Crags Member of the Santa Marta Formation, James Ross Island, Antarctic Peninsula. The productive samples are dated as early Campanian. These ages are in accord with those provided by ammonites, foraminifera, ostracods and radiolarians from the same locality. The consistent and relatively abundant presence of Gephyrobiscutum diabolum throughout the productive part of the section, a species that has previously only been documented from the Falkland Plateau, extends its geographic distribution to higher latitudes, at least to the Antarctic Peninsula area. (C) 2015 Elsevier Ltd. All rights reserved.</t>
  </si>
  <si>
    <t>[Guerra, Rodrigo do Monte; Fauth, Gerson] Univ Vale Rio Sinos UNISINOS, Inst Tecnol Micropaleontol, ITT Fossil, BR-93022000 Sao Leopoldo, RS, Brazil; [Concheyro, Andrea] IAA, Buenos Aires, DF, Argentina; [Concheyro, Andrea] Univ Buenos Aires, IDEAN CONICET, Dept Ciencias Geolog, RA-1428 Buenos Aires, DF, Argentina; [Lees, Jackie] UCL, Dept Earth Sci, London WC1E 6BT, England; [Carvalho, Marcelo de Araujo; Cabral Ramos, Renato Rodriguez] Univ Fed Rio de Janeiro, Museu Nacl, BR-21941 Rio De Janeiro, Brazil</t>
  </si>
  <si>
    <t>University of Buenos Aires; University of London; University College London; Universidade Federal do Rio de Janeiro</t>
  </si>
  <si>
    <t>Guerra, RD (corresponding author), Univ Vale Rio Sinos UNISINOS, Inst Tecnol Micropaleontol, ITT Fossil, Av UNISINOS,950,B Cristo Rei, BR-93022000 Sao Leopoldo, RS, Brazil.</t>
  </si>
  <si>
    <t>rmguerra@unisinos.br; andrea@gl.fcen.uba.ar; j.lees@ucl.ac.uk; gersonf@unisinos.br; mcarvalho@mn.ufrj.br; rramos@mn.ufrj.br</t>
  </si>
  <si>
    <t>Fauth, Gerson/AAE-3353-2021; Carvalho, Marcelo A/G-8463-2015</t>
  </si>
  <si>
    <t>Fauth, Gerson/0000-0003-2594-1424; LEES, JACKIE/0000-0003-0737-8826; Rodriguez Cabral Ramos, Renato/0000-0003-4023-6301</t>
  </si>
  <si>
    <t>Brazilian National Council for Scientific and Technological Development (Conselho Nacional de Desenvolvimento Cientlifico e Tecnologico [CNPq]) [557347/2005-0, 302064/2010-9]; Research Support Foundation of Rio de Janeiro State (Fundacao Carlos Chagas Filho de Amparo a Pesquisa do Rio de Janeiro [FAPERJ]) [E-26/103.028/2008]; Research Center of Petrobras (Centro de Pesquisa Miguez, Petroleo Brasileiro [CENPES-PETROBRAS]) [CENPES 10292]; Republica Argentina [PICTO 2010-00112]</t>
  </si>
  <si>
    <t>Brazilian National Council for Scientific and Technological Development (Conselho Nacional de Desenvolvimento Cientlifico e Tecnologico [CNPq]); Research Support Foundation of Rio de Janeiro State (Fundacao Carlos Chagas Filho de Amparo a Pesquisa do Rio de Janeiro [FAPERJ])(Fundacao Carlos Chagas Filho de Amparo a Pesquisa do Estado do Rio De Janeiro (FAPERJ)); Research Center of Petrobras (Centro de Pesquisa Miguez, Petroleo Brasileiro [CENPES-PETROBRAS]); Republica Argentina</t>
  </si>
  <si>
    <t>This project was primarily funded by the Brazilian National Council for Scientific and Technological Development (Conselho Nacional de Desenvolvimento Cientlifico e Tecnologico [CNPq] grant n. 557347/2005-0 and 302064/2010-9 to M. Carvalho), the Research Support Foundation of Rio de Janeiro State (Fundacao Carlos Chagas Filho de Amparo a Pesquisa do Rio de Janeiro [FAPERJ] grant n.E-26/103.028/2008 to M. Carvalho) and the Research Center of Petrobras (Centro de Pesquisa Miguez, Petroleo Brasileiro [CENPES-PETROBRAS] grant n. CENPES 10292 to M. Carvalho). The authors thanks the Brazilian Navy for logistical and technical support during the expedition to Antarctica and the staff of Itt Fossil, Universidade do Vale do Rio dos Sinos (UNISINOS). Sherwood W. Wise Jr. is specially thanked for the valuable suggestions, as well as Silvia Gardin, Cristianini T. Bergue and Karlos G. D. Kochhann for reviewing an early version of the manuscript. Christian Linnert and an anonymous reviewer are thanked for their comments that improved the manuscript. Andrea Concheyro thanks the Instituto Antartico Argentino for logistics provided for many years in the summer Antarctic expeditions to James Ross Island. This paper is contribution number R-127 of the Institut de Estudios Andinos Don Pablo Groeber' (IDEAN-CONICET). This study was partially supported by PICTO 2010-00112, Republica Argentina.</t>
  </si>
  <si>
    <t>10.1016/j.cretres.2015.06.009</t>
  </si>
  <si>
    <t>WOS:000361773000041</t>
  </si>
  <si>
    <t>Novas, FE; D'Angelo, JS; O'Gorman, JP; Agnolín, FL; Lirio, JM; Isasi, MP</t>
  </si>
  <si>
    <t>Novas, Fernando E.; D'Angelo, Julia S.; O'Gorman, Jose P.; Agnolin, Federico L.; Lirio, Juan M.; Isasi, Marcelo P.</t>
  </si>
  <si>
    <t>First record of Polycotylidae (Sauropterygia, plesiosauria) from the Upper Cretaceous of Antarctica</t>
  </si>
  <si>
    <t>Cretaceous; Antarctica; Plesiosauria; Polycotylidae</t>
  </si>
  <si>
    <t>REPTILIA; GASTROLITHS; PATAGONIA; ELASMOSAURIDAE; DIVERSITY; TAXONOMY; BONNERI; ISLAND; SHALE</t>
  </si>
  <si>
    <t>In the present paper we report the incomplete skeleton of an indeterminate polycotylid that includes the articulated pelvic girdle. The material was collected from the Alpha Member of the Santa Marta Formation (upper Coniacian-lower Campanian) on James Ross Island, Antarctic Peninsula. The specimen is referred to the Polycotylidae on the basis of its very elongate ischia and rimmed anterior and posterior articular surfaces of the dorsal vertebrae. Additionally, the caudal vertebrae show confluent parapophyses and neural arch facets. The present report constitutes the first record for polycotylids in Antarctica, being an important addition to the fossil marine reptile diversity. Polycotylids are a scarce component of the Weddellian herpetofauna, which are dominated by aristonectine and non-aristonectine elasmosaurids. In contrast, in Northern Hemisphere assemblages, polycotylids are an important component of the plesiosaur diversity. The scarcity of polycotylids may constitute another distinctive feature of Weddellian plesiosaur faunas. (C) 2015 Elsevier Ltd. All rights reserved.</t>
  </si>
  <si>
    <t>[Novas, Fernando E.; D'Angelo, Julia S.; Agnolin, Federico L.; Isasi, Marcelo P.] Museo Argentina Ciencias Nat Bernardino Rivadavia, Buenos Aires, DF, Argentina; [Novas, Fernando E.; O'Gorman, Jose P.; Isasi, Marcelo P.] Consejo Nacl Invest Cientif &amp; Tecn CONICET, Buenos Aires, DF, Argentina; [O'Gorman, Jose P.] Univ Nacl La Plata, Museo La Plata, Div Paleontol Vertebrados, La Plata, Argentina; [Agnolin, Federico L.] Univ Maimonides, Fdn Hist Nat Felix de Azara, Buenos Aires, DF, Argentina; [Lirio, Juan M.] Inst Antartico Argentina, Direcc Nacl Antartico, RA-1010 Buenos Aires, DF, Argentina</t>
  </si>
  <si>
    <t>Museo Argentino de Ciencias Naturales Bernardino Rivadavia (MACN); Consejo Nacional de Investigaciones Cientificas y Tecnicas (CONICET); National University of La Plata; Museo La Plata; Instituto Antartico Argentino</t>
  </si>
  <si>
    <t>D'Angelo, JS (corresponding author), Museo Argentina Ciencias Nat Bernardino Rivadavia, Av Angel Gallardo 470 C1405DJR, Buenos Aires, DF, Argentina.</t>
  </si>
  <si>
    <t>juliasdangelo@gmail.com.ar</t>
  </si>
  <si>
    <t>O’Gorman, José/AAK-6096-2021</t>
  </si>
  <si>
    <t>DAngelo, Julia Soledad/0000-0003-1097-2324</t>
  </si>
  <si>
    <t>project Geologia y Paleontologla de la Cuenca James Ross; PICT [2010-066]</t>
  </si>
  <si>
    <t>project Geologia y Paleontologla de la Cuenca James Ross; PICT(ANPCyT)</t>
  </si>
  <si>
    <t>We thank the logistic support of Direccion Nacional del Antartico-Instituto Antartico Argentino. J.M.L was supported by the project Geologia y Paleontologla de la Cuenca James Ross. This study was supported by PICT 2010-066 (Agencia Nacional de Promocion Cientifica y Tacnica) to F.E.N. We thank Gabriel Lio, Nicolas Chimento, and Mike Everhart for valuable comments on early versions of the manuscript. Present paper was greatly improved by the review of Rodrigo Otero and by an annonimous reviewer.</t>
  </si>
  <si>
    <t>10.1016/j.cretres.2015.06.015</t>
  </si>
  <si>
    <t>WOS:000361773000042</t>
  </si>
  <si>
    <t>Shumilov, OI; Kasatkina, EA; Frank-Kamenetsky, AV</t>
  </si>
  <si>
    <t>Shumilov, O. I.; Kasatkina, E. A.; Frank-Kamenetsky, A. V.</t>
  </si>
  <si>
    <t>Effects of extraordinary solar cosmic ray events on variations in the atmospheric electric field at high latitudes</t>
  </si>
  <si>
    <t>GEOMAGNETISM AND AERONOMY</t>
  </si>
  <si>
    <t>CORONAL MASS EJECTIONS; STRATOSPHERIC AEROSOLS; FLARES; ELECTRIFICATION; DISTURBANCES; MODULATION; SIGNATURES; CIRCUIT; WAVE</t>
  </si>
  <si>
    <t>Studies of variations in the atmospheric electric field vertical component (E (z) ) are illustrated based on data from the Apatity high-latitude observatory (geomagnetic latitude I broken vertical bar' = 63.8A degrees) for three solar cosmic ray (SCR) events that occurred on April 15, April 18, and November 4, 2001. For the SCR event of April 15, 2001, the observed E (z) variations have been compared with the corresponding data from the Voeykovo midlatitude observatory and the Vostok observatory on the polar cap. It has been indicated that solar coronal mass ejections and some powerful SCR events can result in variations in the global electric circuit. Disturbances in the atmospheric electric field can be used to diagnose the development of intense processes on the Sun.</t>
  </si>
  <si>
    <t>[Shumilov, O. I.; Kasatkina, E. A.] Russian Acad Sci, Kola Sci Ctr, Polar Geophys Inst, Apat Div, Apatity 184209, Murmansk Oblast, Russia; [Frank-Kamenetsky, A. V.] Russian Acad Sci, Arctic &amp; Antarctic Res Inst, St Petersburg 199397, Russia</t>
  </si>
  <si>
    <t>Russian Academy of Sciences; Polar Geophysical Institute; Kola Science Centre of the Russian Academy of Sciences; Russian Academy of Sciences; Arctic &amp; Antarctic Research Institute</t>
  </si>
  <si>
    <t>Shumilov, OI (corresponding author), Russian Acad Sci, Kola Sci Ctr, Polar Geophys Inst, Apat Div, Ul Fersmana 14, Apatity 184209, Murmansk Oblast, Russia.</t>
  </si>
  <si>
    <t>oleg@aprec.ru</t>
  </si>
  <si>
    <t>Kasatkina, Elena A./A-4673-2017; Shumilov, Oleg/AAN-6025-2021; Shumilov, Oleg I./A-4533-2017; Kasatkina, Elena/B-5329-2017; Shumilov, Oleg/B-5996-2017</t>
  </si>
  <si>
    <t>Kasatkina, Elena A./0000-0002-9834-4914; Shumilov, Oleg/0000-0002-0686-6863; Kasatkina, Elena/0000-0003-1701-1649; Shumilov, Oleg/0000-0001-7440-4479</t>
  </si>
  <si>
    <t>0016-7932</t>
  </si>
  <si>
    <t>1555-645X</t>
  </si>
  <si>
    <t>GEOMAGN AERONOMY+</t>
  </si>
  <si>
    <t>Geomagn. Aeron.</t>
  </si>
  <si>
    <t>10.1134/S0016793215050151</t>
  </si>
  <si>
    <t>CS0LZ</t>
  </si>
  <si>
    <t>WOS:000361752900012</t>
  </si>
  <si>
    <t>Shi, YL; Pan, YY; Liang, LN; Cai, YQ</t>
  </si>
  <si>
    <t>Shi, Ya-Li; Pan, Yuan-Yuan; Liang, Li-Na; Cai, Ya-Qi</t>
  </si>
  <si>
    <t>An on-line solid phase extraction liquid chromatography tandem mass spectrometry method for the determination of perfluoroalkyl substances in the Antarctic ice core samples</t>
  </si>
  <si>
    <t>CHINESE CHEMICAL LETTERS</t>
  </si>
  <si>
    <t>Perfluoroalkyl substances; On-line solid phase extraction; LC-MS/MS; Antarctic ice cores</t>
  </si>
  <si>
    <t>PERFLUOROOCTANOIC ACID; WATER SAMPLES; SERUM; ASSOCIATION; PLANT</t>
  </si>
  <si>
    <t>An on-line solid phase extraction-high performance liquid chromatography-tandem mass spectrometry method for the analysis of perfluoroalkyl substances (PFASs) in water samples was developed. The optimal analytical conditions were obtained through the optimization of the extraction efficiency of online solid phase extraction column, sample loading rate and loading volume, and the concentration of ammonium acetate in mobile phase. Under the optimal condition, the analytical method displayed good linearity (r(2) &gt; 0.99) for 12 PFASs (C5-C14 perfluoroalkyl carboxylic acids and C6/C8 perfluoroalkyl sulfonic acids) over a concentration range of 0.5-100 ng/L. The limits of quantitation for samples were between 0.025 ng/L and 0.5 ng/L and the relative standard deviations (RSD) of five consecutive analyses were less than 10% for 1 ng/L standard solution. Satisfactory results were obtained using this analytical method for the analysis of perfluoroalkyl substances in Antarctic ice core samples. The recoveries of all perfluoroalkyl substances were in a range of 73%-117% when the samples were spiked with standards at the concentrations of 2.5 ng/L and 25 ng/L. (C) 2015 Chinese Chemical Society and Institute of Materia Medica, Chinese Academy of Medical Sciences. Published by Elsevier B.V. All rights reserved.</t>
  </si>
  <si>
    <t>[Shi, Ya-Li; Cai, Ya-Qi] Chinese Acad Sci, Res Ctr Ecoenvironm Sci, State Key Lab Environm Chem &amp; Ecotoxicol, Beijing 100085, Peoples R China; [Pan, Yuan-Yuan; Liang, Li-Na] Thermo Fisher Sci China Co Ltd, Beijing 100080, Peoples R China</t>
  </si>
  <si>
    <t>Chinese Academy of Sciences; Research Center for Eco-Environmental Sciences (RCEES); Thermo Fisher Scientific</t>
  </si>
  <si>
    <t>Cai, YQ (corresponding author), Chinese Acad Sci, Res Ctr Ecoenvironm Sci, State Key Lab Environm Chem &amp; Ecotoxicol, Beijing 100085, Peoples R China.</t>
  </si>
  <si>
    <t>caiyaqi@rcees.ac.cn</t>
  </si>
  <si>
    <t>National Natural Science Foundation of China [21377145, 21321004]; Strategic Priority Research Program of the Chinese Academy of Sciences [XDB01020300]</t>
  </si>
  <si>
    <t>National Natural Science Foundation of China(National Natural Science Foundation of China (NSFC)); Strategic Priority Research Program of the Chinese Academy of Sciences(Chinese Academy of Sciences)</t>
  </si>
  <si>
    <t>This work was jointly supported by the National Natural Science Foundation of China (Nos. 21377145, 21321004) and the Strategic Priority Research Program of the Chinese Academy of Sciences (No. XDB01020300).</t>
  </si>
  <si>
    <t>ELSEVIER SCIENCE INC</t>
  </si>
  <si>
    <t>360 PARK AVE SOUTH, NEW YORK, NY 10010-1710 USA</t>
  </si>
  <si>
    <t>1001-8417</t>
  </si>
  <si>
    <t>1878-5964</t>
  </si>
  <si>
    <t>CHINESE CHEM LETT</t>
  </si>
  <si>
    <t>Chin. Chem. Lett.</t>
  </si>
  <si>
    <t>10.1016/j.cclet.2015.05.038</t>
  </si>
  <si>
    <t>Chemistry, Multidisciplinary</t>
  </si>
  <si>
    <t>CR5TR</t>
  </si>
  <si>
    <t>WOS:000361407700005</t>
  </si>
  <si>
    <t>Feng, S; Powell, SM; Wilson, R; Bowman, JP</t>
  </si>
  <si>
    <t>Feng, Shi; Powell, Shane M.; Wilson, Richard; Bowman, John P.</t>
  </si>
  <si>
    <t>Proteomic Insight into Functional Changes of Proteorhodopsin-Containing Bacterial Species Psychroflexus torquis under Different Illumination and Salinity Levels</t>
  </si>
  <si>
    <t>JOURNAL OF PROTEOME RESEARCH</t>
  </si>
  <si>
    <t>proteorhodopsin; sea ice; survival strategies; proteomics</t>
  </si>
  <si>
    <t>ANTARCTIC SEA-ICE; MARINE FLAVOBACTERIUM; ESCHERICHIA-COLI; GLIDING MOTILITY; GENOME ANALYSIS; LIGHT; GROWTH; PROTEIN; OCEAN; PUMP</t>
  </si>
  <si>
    <t>The extremely psychrophilic proteorhodopsin-containing bacterial species Psychroflexus torquis is considered to be a model sea-ice microorganism, which has adapted to an epiphytic lifestyle. So far, not much is known about proteorhodopsin-based phototrophy and associated life strategies of sea ice bacteria, although it has been previously shown that P. torquis can gain growth advantage from light using a proteorhodopsin proton pump, the activity of which is influenced by environmental salinity. The comprehensive quantitative proteomic study performed here indicated that P. torquis responds to changing salinity and illumination conditions. Proteins in the electron-transfer chain were down-regulated at a suboptimal salinity level, TonB-dependent transporters increased in abundance under supra-optimal salinity and decreased under suboptimal salinity. In addition, several anaplerotic CO2 fixation proteins and three putative light sensing proteins that contain PAS and GAF domains became more abundant under illumination. Furthermore, central metabolic pathways (TCA and glycolysis) were also induced by both salinity stress and illumination. The data suggest that P. torquis responded to changes in both light energy and salinity to modulate membrane and central metabolic proteins that are involved in energy production as well as nutrient uptake and gliding motility processes that would be especially advantageous during the polar summer ice algal bloom.</t>
  </si>
  <si>
    <t>[Feng, Shi; Powell, Shane M.; Bowman, John P.] Univ Tasmania, Food Safety Ctr, Tasmanian Inst Agr, Hobart, Tas 7005, Australia; [Wilson, Richard] Univ Tasmania, Cent Sci Lab, Hobart, Tas 7005, Australia</t>
  </si>
  <si>
    <t>Feng, S (corresponding author), Univ Tasmania, Food Safety Ctr, Tasmanian Inst Agr, Hobart, Tas 7005, Australia.</t>
  </si>
  <si>
    <t>shifeng@mednet.ucla.edu</t>
  </si>
  <si>
    <t>Bowman, John P./ABF-5108-2020; Powell, Shane M/C-2391-2014; Bowman, John P/C-2414-2014; Wilson, Richard/H-8429-2012</t>
  </si>
  <si>
    <t>Bowman, John P./0000-0002-4528-9333; Bowman, John P/0000-0002-4528-9333; Wilson, Richard/0000-0003-0152-4394; Powell, Shane/0000-0001-5082-1630</t>
  </si>
  <si>
    <t>Department of Sustainability, Environment, Water, Population and Communities; Australian Antarctic Division [3127]</t>
  </si>
  <si>
    <t>Department of Sustainability, Environment, Water, Population and Communities; Australian Antarctic Division</t>
  </si>
  <si>
    <t>The work was supported by a grant from the Department of Sustainability, Environment, Water, Population and Communities and the Australian Antarctic Division (project no. 3127). We thank Dr. Jay Kocharunchitt for his assistance with statistical analysis. We also want to thank Professor Tom McMeekin for critical discussion related to the manuscript.</t>
  </si>
  <si>
    <t>AMER CHEMICAL SOC</t>
  </si>
  <si>
    <t>1155 16TH ST, NW, WASHINGTON, DC 20036 USA</t>
  </si>
  <si>
    <t>1535-3893</t>
  </si>
  <si>
    <t>1535-3907</t>
  </si>
  <si>
    <t>J PROTEOME RES</t>
  </si>
  <si>
    <t>J. Proteome Res.</t>
  </si>
  <si>
    <t>10.1021/acs.jproteome.5b00241</t>
  </si>
  <si>
    <t>Biochemical Research Methods</t>
  </si>
  <si>
    <t>CR1LU</t>
  </si>
  <si>
    <t>WOS:000361087100038</t>
  </si>
  <si>
    <t>Werner, T; Buchholz, C; Buchholz, F</t>
  </si>
  <si>
    <t>Werner, Thorsten; Buchholz, Cornelia; Buchholz, Friedrich</t>
  </si>
  <si>
    <t>Life in the sea of plenty: Seasonal and regional comparison of physiological performance of Euphausia hanseni in the northern Benguela upwelling system</t>
  </si>
  <si>
    <t>JOURNAL OF SEA RESEARCH</t>
  </si>
  <si>
    <t>Benguela Current; Euphausiids; Metabolism; Moult; Upwelling; Reproduction; Zooplankton</t>
  </si>
  <si>
    <t>MEGANYCTIPHANES-NORVEGICA; ANTARCTIC KRILL; MOLT CYCLE; NYCTIPHANES-CAPENSIS; POPULATION BIOLOGY; VERTICAL MIGRATION; FRONTAL ZONE; GROWTH; SOUTHERN; SUPERBA</t>
  </si>
  <si>
    <t>Variability in upwelling events may lead to periods of constrained food availability in the northern Benguela upwelling system (NBUS), thereby affecting the physiological state and metabolic activity of euphausiids. Most attention has so far been paid to seasonal effects but little is known about regional variability. Metabolic activity (expressed by respiration and excretion rates) and physiological state (expressed by reproductive effort and moult activity) in Euphausia hanseni were examined at different stations during austral summer (minimum upwelling) and austral winter (maximum upwelling). Overall, regional differences in physiological state, influencing metabolic activity, were greater than seasonal ones, indicating favourable conditions for growth and reproduction year-round. Higher respiration rates were found for females in more advanced stages of sexual development. Moult stage did not affect oxygen consumption rates, however. The physiological state of E. hanseni at the time of capture may serve as a meaningful indicator of the associated hydrographic conditions in the NBUS, to be further used in eco-system analysis on seasonal or long-term time scales. A latitudinal comparison of species highlights the extraordinary physiological plasticity of euphausiids. (C) 2015 Elsevier B.V. All rights reserved.</t>
  </si>
  <si>
    <t>[Werner, Thorsten; Buchholz, Cornelia; Buchholz, Friedrich] Helmholtz Ctr Polar &amp; Marine Res, Alfred Wegener Inst, D-27570 Bremerhaven, Germany</t>
  </si>
  <si>
    <t>Werner, T (corresponding author), Helmholtz Ctr Polar &amp; Marine Res, Alfred Wegener Inst, Handelshafen 12, D-27570 Bremerhaven, Germany.</t>
  </si>
  <si>
    <t>Thorsten.Werner@awi.de</t>
  </si>
  <si>
    <t>Buchholz, Cornelia/0000-0002-5055-1586</t>
  </si>
  <si>
    <t>Bundesministerium fur Bildung und Forschung (BMBF, Germany) [03F0497F]; Alfred-Wegener-Institute, Helmholtz Centre for Polar and Marine Research (PACES) [WP2T2]</t>
  </si>
  <si>
    <t>Bundesministerium fur Bildung und Forschung (BMBF, Germany)(Federal Ministry of Education &amp; Research (BMBF)); Alfred-Wegener-Institute, Helmholtz Centre for Polar and Marine Research (PACES)</t>
  </si>
  <si>
    <t>We wish to thank the Captain and crew of the RRS Discovery and RV Maria S. Merian for their excellent assistance with collection of samples on board and our GENUS colleagues from Angola, Namibia, South Africa, and Germany for the generous help. Special thanks to N. Lahajnar (University of Hamburg, Germany) for providing Ferrybox data. Visualizations used in this paper (Fig. 2) were produced with the Giovanni online data system. The data were acquired as part of the activities of NASA's Science Mission Directorate, and are archived and distributed by the Goddard Earth Sciences (GES) Data and Information Services Center (DISC). This study formed part of the GENUS project, funded by the Bundesministerium fur Bildung und Forschung (BMBF, 03F0497F, Germany) and the Alfred-Wegener-Institute, Helmholtz Centre for Polar and Marine Research (PACES, WP2T2). GENUS aims to clarify relationships between climate change, biogeochemical cycles, and ecosystem structure in the large marine ecosystem of the northern Benguela off the Namibian Coast.</t>
  </si>
  <si>
    <t>1385-1101</t>
  </si>
  <si>
    <t>1873-1414</t>
  </si>
  <si>
    <t>J SEA RES</t>
  </si>
  <si>
    <t>J. Sea Res.</t>
  </si>
  <si>
    <t>10.1016/j.seares.2015.06.018</t>
  </si>
  <si>
    <t>CR2LH</t>
  </si>
  <si>
    <t>WOS:000361160600011</t>
  </si>
  <si>
    <t>Rocchi, S; Di Vincenzo, G; Dini, A; Petrelli, M; Vezzoni, S</t>
  </si>
  <si>
    <t>Rocchi, S.; Di Vincenzo, G.; Dini, A.; Petrelli, M.; Vezzoni, S.</t>
  </si>
  <si>
    <t>Time-space focused intrusion of genetically unrelated arc magmas in the early Paleozoic Ross-Delamerian Orogen (Morozumi Range, Antarctica)</t>
  </si>
  <si>
    <t>LITHOS</t>
  </si>
  <si>
    <t>Accretionary orogen; Magmatic arc; Intrusive complex; Magma source; Subduction erosion</t>
  </si>
  <si>
    <t>NORTHERN VICTORIA-LAND; CENTRAL TRANSANTARCTIC MOUNTAINS; PACIFIC MARGIN; ACTIVE-MARGIN; FRACTIONAL CRYSTALLIZATION; SUBDUCTED LITHOSPHERE; TECTONIC IMPLICATIONS; SILICICLASTIC ROCKS; ISOTOPIC STRUCTURE; CONTINENTAL-CRUST</t>
  </si>
  <si>
    <t>The growth of continental crust in accretionary orogenic belts takes place through repeated cycles of subductionaccretion of rock units from continental and oceanic magmatic arcs, supra-subduction zone backarcs and forearcs loaded with continent-derived materials. An ancient example relevant to magmatic arc accretion models is represented by the remnants of the Cambrian-Ordovician Ross Orogen in the Morozumi Range, Victoria Land (Antarctica). There, late Neoproterozoic phyllites host an intrusive complex which preserves a remarkably uncommon record of genetically unrelated magma pulses emplaced under a variable stress regime in a short time span: (I) a dominant K-feldspar-phyric granite, (2) fine-grained dioritic stocks and dykes, (3) a peraluminous granite; and (4) a tonalitic-granodioritic dyke swarm. Laserprobe U-Pb zircon dates cluster at late Cambrian times for all these units, yet they carry differential cargoes of relict cores. Unique geochemical-isotopic signatures for both the less evolved magmas (diorite and dyke tonalite) and the most acidic ones (granite and peraluminous granite) indicate that each one of them originated from distinct sources at depth. Additionally, field relationships and chemical evolutionary trends testify for a variety of shallow level open-system processes, such as magma mingling/mixing between diorite and main granite magmas, as well as progressive incorporation of the host schists by the dyke tonalite magma. In summary, crustal growth in the Morozumi intrusive complex was contributed by fresh mantle magma issuing from the metasomatised mantle wedge, while the production of other melts did recycle different crustal portions/layers: the main granite derived from Grenville-age granulitic lower crust; the peraluminous granite from late Proterozoic upper crust, and the tonalite magmas derived from subduction erosion-enriched subarc mantle and evolved by ingestion of local metasedimentaiy rocks. Overall, the Morozumi intrusive complex yields evidence for emplacement in the same site at the same time of magmas issuing from different sources that are usually found at a different depth in the arc lithospheric section. A likely scenario to activate this specific mechanism of melt production is a subduction zone affected by subduction erosion. (C) 2015 Elsevier B.V. All rights reserved.</t>
  </si>
  <si>
    <t>[Rocchi, S.; Vezzoni, S.] Univ Pisa, Dipartimento Sci Terra, Pisa, Italy; [Di Vincenzo, G.; Dini, A.] CNR, Ist Geosci &amp; Georisorse, I-56100 Pisa, Italy; [Petrelli, M.] Univ Perugia, Dipartimento Fis &amp; Geol, I-06100 Perugia, Italy</t>
  </si>
  <si>
    <t>University of Pisa; Consiglio Nazionale delle Ricerche (CNR); Istituto di Geoscienze e Georisorse (IGG-CNR); University of Perugia</t>
  </si>
  <si>
    <t>Rocchi, S (corresponding author), Univ Pisa, Dipartimento Sci Terra, Pisa, Italy.</t>
  </si>
  <si>
    <t>sergio.rocchi@unipi.it</t>
  </si>
  <si>
    <t>Petrelli, Maurizio/L-6858-2015; Dini, Andrea/I-6348-2012; Rocchi, Sergio/A-7752-2018</t>
  </si>
  <si>
    <t>Petrelli, Maurizio/0000-0001-6956-4742; DINI, ANDREA/0000-0002-6781-7256; DI VINCENZO, GIANFRANCO/0000-0002-9669-9789; Rocchi, Sergio/0000-0001-6868-1939; Vezzoni, Simone/0000-0003-4150-0039</t>
  </si>
  <si>
    <t>National Antarctic Research Program of Italy (PNRA) [Rocchi2004/4.6]</t>
  </si>
  <si>
    <t>National Antarctic Research Program of Italy (PNRA)</t>
  </si>
  <si>
    <t>This work has been carried out as part of the National Antarctic Research Program of Italy (PNRA, grant # Rocchi2004/4.6). The paper benefited of stimulating discussions with Claudio Ghezzo. The original manuscript received constructive criticisms by two anonymous reviewers as well as the Editor Nelson Eby, leading to significant improvement of the paper.</t>
  </si>
  <si>
    <t>0024-4937</t>
  </si>
  <si>
    <t>1872-6143</t>
  </si>
  <si>
    <t>Lithos</t>
  </si>
  <si>
    <t>10.1016/j.lithos.2015.06.006</t>
  </si>
  <si>
    <t>CR5TX</t>
  </si>
  <si>
    <t>WOS:000361408400007</t>
  </si>
  <si>
    <t>McFadden, RR; Teyssier, C; Siddoway, CS; Cosca, MA; Fanning, CM</t>
  </si>
  <si>
    <t>McFadden, R. R.; Teyssier, C.; Siddoway, C. S.; Cosca, M. A.; Fanning, C. M.</t>
  </si>
  <si>
    <t>Mid-Cretaceous oblique rifting of West Antarctica: Emplacement and rapid cooling of the Fosdick Mountains migmatite-cored gneiss dome</t>
  </si>
  <si>
    <t>40Ar/39Ar thermochronology; Rapid cooling; Gneiss domes; Detachments; Migmatites</t>
  </si>
  <si>
    <t>MARIE-BYRD-LAND; U-PB GEOCHRONOLOGY; TI-IN-ZIRCON; NEW-ZEALAND; MAGMATIC ARC; LIAODONG PENINSULA; AEGEAN SEA; 40AR/39AR THERMOCHRONOLOGY; CRETACEOUS MAGMATISM; PACIFIC MARGIN</t>
  </si>
  <si>
    <t>In Marie Byrd Land, West Antarctica, the Fosdick Mountains migmatite-cored gneiss dome was exhumed from mid- to lower middle crustal depths during the incipient stage of the West Antarctic Rift system in the mid-Cretaceous. Prior to and during exhumation, major crustal melting and deformation induded transfer and emplacement of voluminous granitic material and numerous intrusions of mantle-derived diorite in dikes. A succession of melt- and magma-related structures formed at temperatures in excess of 665 +/- 50 degrees C based on Ti-in-zircon thermometry. These record a transition from wrench to oblique extensional deformation that culminated in the development of the oblique South Fosdick Detachment zone. Solid-state fabrics within the detachment zone and overprinting brittle structures record translation of the detachment zone and dome to shallow levels. To determine the duration of exhumation and cooling, we sampled granite and gneisses at high spatial resolution for U-Pb zircon geochronology and 40Ar/39Ar hornblende and biotite thermochronology. U-Pb zircon crystallization ages for the youngest granites are 102 Ma. Three hornblende ages are 103 to 100 Ma and 12 biotite ages are 101 to 99 Ma. All overlap within uncertainty. The coincidence of zircon crystallization ages with 40Ar/39Ar cooling ages indicates cooling rates &gt;100 degrees C/m.y. that, when considered together with overprinting structures, indicates rapid exhumation of granite and migmatite from deep to shallow crustal levels within a transcurrent setting. Orientations of structures and age-constrained crosscutting relationships indicate counterclockwise rotation of stretching axes from oblique extension into nearly orthogonal extension with respect to the Marie Byrd Land margin. The rotation may be a result of localized extension arising from unroofing and arching of the Fosdick dome, extensional opening within a pull-apart zone, or changes in plate boundary configuration. The rapid tectonic and temperature evolution of the Fosdick Mountains dome lends support to recently developed numerical models of crustal flow and cooling in orogenic crust undergoing extension/transtension, and accords with numerous studies of migmatite-cored gneiss domes in transcurrent settings. (C) 2015 Elsevier B.V. All rights reserved. In Marie Byrd Land, West Antarctica, the Fosdick Mountains migmatite-cored gneiss dome was exhumed from mid- to lower middle crustal depths during the incipient stage of the West Antarctic Rift system in the mid-Cretaceous. Prior to and during exhumation, major crustal melting and deformation induded transfer and emplacement of voluminous granitic material and numerous intrusions of mantle-derived diorite in dikes. A succession of melt- and magma-related structures formed at temperatures in excess of 665 +/- 50 degrees C based on Ti-in-zircon thermometry. These record a transition from wrench to oblique extensional deformation that culminated in the development of the oblique South Fosdick Detachment zone. Solid-state fabrics within the detachment zone and overprinting brittle structures record translation of the detachment zone and dome to shallow levels. To determine the duration of exhumation and cooling, we sampled granite and gneisses at high spatial resolution for U-Pb zircon geochronology and 40Ar/39Ar hornblende and biotite thermochronology. U-Pb zircon crystallization ages for the youngest granites are 102 Ma. Three hornblende ages are 103 to 100 Ma and 12 biotite ages are 101 to 99 Ma. All overlap within uncertainty. The coincidence of zircon crystallization ages with 40Ar/39Ar cooling ages indicates cooling rates &gt;100 degrees C/m.y. that, when considered together with overprinting structures, indicates rapid exhumation of granite and migmatite from deep to shallow crustal levels within a transcurrent setting. Orientations of structures and age-constrained crosscutting relationships indicate counterclockwise rotation of stretching axes from oblique extension into nearly orthogonal extension with respect to the Marie Byrd Land margin. The rotation may be a result of localized extension arising from unroofing and arching of the Fosdick dome, extensional opening within a pull-apart zone, or changes in plate boundary configuration. The rapid tectonic and temperature evolution of the Fosdick Mountains dome lends support to recently developed numerical models of crustal flow and cooling in orogenic crust undergoing extension/transtension, and accords with numerous studies of migmatite-cored gneiss domes in transcurrent settings. (C) 2015 Elsevier B.V. All rights reserved. In Marie Byrd Land, West Antarctica, the Fosdick Mountains migmatite-cored gneiss dome was exhumed from mid- to lower middle crustal depths during the incipient stage of the West Antarctic Rift system in the mid-Cretaceous. Prior to and during exhumation, major crustal melting and deformation induded transfer and emplacement of voluminous granitic material and numerous intrusions of mantle-derived diorite in dikes. A succession of melt- and magma-related structures formed at temperatures in excess of 665 +/- 50 degrees C based on Ti-in-zircon thermometry. These record a transition from wrench to oblique extensional deformation that culminated in the development of the oblique South Fosdick Detachment zone. Solid-state fabrics within the detachment zone and overprinting brittle structures record translation of the detachment zone and dome to shallow levels. To determine the duration of exhumation and cooling, we sampled granite and gneisses at high spatial resolution for U-Pb zircon geochronology and 40Ar/39Ar hornblende and biotite thermochronology. U-Pb zircon crystallization ages for the youngest granites are 102 Ma. Three hornblende ages are 103 to 100 Ma and 12 biotite ages are 101 to 99 Ma. All overlap within uncertainty. The coincidence of zircon crystallization ages with 40Ar/39Ar cooling ages indicates cooling rates &gt;100 degrees C/m.y. that, when considered together with overprinting structures, indicates rapid exhumation of granite and migmatite from deep to shallow crustal levels within a transcurrent setting. Orientations of structures and age-constrained crosscutting relationships indicate counterclockwise rotation of stretching axes from oblique extension into nearly orthogonal extension with respect to the Marie Byrd Land margin. The rotation may be a result of localized extension arising from unroofing and arching of the Fosdick dome, extensional opening within a pull-apart zone, or changes in plate boundary configuration. The rapid tectonic and temperature evolution of the Fosdick Mountains dome lends support to recently developed numerical models of crustal flow and cooling in orogenic crust undergoing extension/transtension, and accords with numerous studies of migmatite-cored gneiss domes in transcurrent settings. (C) 2015 Elsevier B.V. All rights reserved.</t>
  </si>
  <si>
    <t>[McFadden, R. R.] Salem State Univ, Dept Geol Sci, Salem, MA 01970 USA; [Teyssier, C.] Univ Minnesota, Dept Earth Sci, Minneapolis, MN 55455 USA; [Siddoway, C. S.] Colorado Coll, Dept Geol, Colorado Springs, CO 80903 USA; [Cosca, M. A.] US Geol Survey, Denver Fed Ctr, Denver, CO 80225 USA; [Fanning, C. M.] Australian Natl Univ, Res Sch Earth Sci, Canberra, ACT 0200, Australia</t>
  </si>
  <si>
    <t>Massachusetts System of Public Higher Education; Salem State University; University of Minnesota System; University of Minnesota Twin Cities; Colorado College; United States Department of the Interior; United States Geological Survey; Australian National University</t>
  </si>
  <si>
    <t>McFadden, RR (corresponding author), Salem State Univ, Dept Geol Sci, 352 Lafayette St, Salem, MA 01970 USA.</t>
  </si>
  <si>
    <t>rmcfadden@salemstate.edu</t>
  </si>
  <si>
    <t>Siddoway, Christine/HKV-0895-2023; Fanning, C. Mark/I-6449-2016</t>
  </si>
  <si>
    <t>Siddoway, Christine Smith/0000-0003-0478-6138</t>
  </si>
  <si>
    <t>National Science Foundation Office of Polar Programs [NSF-OPP 0337488, NSF-OPP 0338279]</t>
  </si>
  <si>
    <t>National Science Foundation Office of Polar Programs(National Science Foundation (NSF)NSF - Directorate for Geosciences (GEO))</t>
  </si>
  <si>
    <t>Research was funded by the National Science Foundation Office of Polar Programs grants NSF-OPP 0337488 to C. Teyssier and NSF-OPP 0338279 to C.S. Siddoway. We thank Mike Roberts, Forrest McCarthy, and Allen O'Bannon for field coordination and safety. For logistical support, we thank employees of Raytheon Polar Services, ANG 109th, and Kenn Borek Air crews. Reviews by B. Reno and N. Charles greatly improved the quality of this manuscript. Any use of trade, product, or firm names is for descriptive purposes only and does not imply endorsement by the U.S. Government.</t>
  </si>
  <si>
    <t>10.1016/j.lithos.2015.07.005</t>
  </si>
  <si>
    <t>WOS:000361408400022</t>
  </si>
  <si>
    <t>Sugita, T; Yamazaki, T; Yamada, S; Takeoka, H; Cho, O; Tanaka, T; Ohno, G; Watanabe, K; Makimura, K; Ohshima, H; Ishioka, N; Mukai, C</t>
  </si>
  <si>
    <t>Sugita, Takashi; Yamazaki, Takashi; Yamada, Shin; Takeoka, Hajime; Cho, Otomi; Tanaka, Takafumi; Ohno, Giichiro; Watanabe, Kentaro; Makimura, Koichi; Ohshima, Hiroshi; Ishioka, Noriaki; Mukai, Chiaki</t>
  </si>
  <si>
    <t>Temporal changes in the skin Malassezia microbiota of members of the Japanese Antarctic Research Expedition (JARE): A case study in Antarctica as a pseudo-space environment</t>
  </si>
  <si>
    <t>MEDICAL MYCOLOGY</t>
  </si>
  <si>
    <t>Antarctica; international space station; Malassezia; skin</t>
  </si>
  <si>
    <t>ATOPIC-DERMATITIS PATIENTS; SEBORRHEIC DERMATITIS; MOLECULAR ANALYSIS; HEALTHY-SUBJECTS; MICROFLORA; BACTERIAL; DANDRUFF; DISEASES; FUNGAL</t>
  </si>
  <si>
    <t>The International Space Station (ISS) is located approximately 400 km above the Earth. Astronauts staying at the ISS are under microgravity and are thus unable to bathe or shower; instead, they wash their bodies using wet tissues. For astronauts, skin hygiene management is important to maintain the quality of life during long-term stays on the ISS. In Antarctica, members of a Japanese geological investigation team negotiate their way over land using snowmobiles. During their 3-month stay, they are subject to a pseudo-space environment similar to that experienced by ISS astronauts, including the inability to bathe or shower. In this study, temporal changes in the colonization levels of skin lipophilic fungi, Malassezia were investigated in 16 team members. Compared to the levels before their trip to Antarctica, the fold changes in Malassezia colonization levels during the researchers' stay in Antarctica were in the range of 3.0 +/- 1.9 to 5.3 +/- 7.5 in cheek samples, 8.9 +/- 10.6 to 22.2 +/- 40.0 in anterior chest samples, 6.2 +/- 5.4 to 16.9 +/- 25.5 in behind-the-ear samples, and 1.7 +/- 0.9 to 17.4 +/- 33.4 in sole-of-the-foot samples. On the scalp, the level of Malassezia colonization increased dramatically, by 96.7 +/- 113.8 to 916.9 +/- 1251.5 fold. During their stay in Antarctica, the team members experienced itchy scalps and produced a large number of scales. The relative proportions of Malassezia globosa and M. restricta shifted to seborrheic dermatitis/dandruff types. These results provide useful information for the development of skin hygiene management plans for astronauts staying at the ISS.</t>
  </si>
  <si>
    <t>[Sugita, Takashi; Cho, Otomi; Tanaka, Takafumi] Meiji Pharmaceut Univ, Dept Microbiol, Kiyose, Tokyo 2048588, Japan; [Yamazaki, Takashi; Ishioka, Noriaki] Japan Aerosp Explorat Agcy JAXA, Inst Space &amp; Astronaut Sci, ISS Sci Project Off, Tsukuba, Ibaraki, Japan; [Yamazaki, Takashi; Makimura, Koichi] Teikyo Univ, Grad Sch Med, Lab Space &amp; Environm Med, Tokyo 173, Japan; [Yamazaki, Takashi; Makimura, Koichi] Teikyo Univ, Inst Med Mycol, Hachioji, Tokyo, Japan; [Yamazaki, Takashi; Makimura, Koichi] Teikyo Univ, Genome Res Ctr, Hachioji, Tokyo, Japan; [Yamada, Shin; Takeoka, Hajime; Ohshima, Hiroshi; Mukai, Chiaki] Japan Aerosp Explorat Agcy JAXA, Space Biomed Res Off, Tsukuba, Ibaraki, Japan; [Ohno, Giichiro; Watanabe, Kentaro] Natl Inst Polar Res, Tachikawa, Tokyo, Japan; [Ohno, Giichiro] Toukatsu Hosp, Nagareyama, Chiba, Japan</t>
  </si>
  <si>
    <t>Meiji Pharmaceutical University; Japan Aerospace Exploration Agency (JAXA); Institute of Space &amp; Astronautical Science (ISAS); Teikyo University; Teikyo University; Teikyo University; Japan Aerospace Exploration Agency (JAXA); Research Organization of Information &amp; Systems (ROIS); National Institute of Polar Research (NIPR) - Japan</t>
  </si>
  <si>
    <t>Sugita, T (corresponding author), Meiji Pharmaceut Univ, Dept Microbiol, Kiyose, Tokyo 2048588, Japan.</t>
  </si>
  <si>
    <t>sugita@my-pharm.ac.jp</t>
  </si>
  <si>
    <t>MAKIMURA, Koichi/0000-0003-1645-3445; Watanabe, Kentaro/0000-0002-5177-0086</t>
  </si>
  <si>
    <t>1369-3786</t>
  </si>
  <si>
    <t>1460-2709</t>
  </si>
  <si>
    <t>MED MYCOL</t>
  </si>
  <si>
    <t>Med. Mycol.</t>
  </si>
  <si>
    <t>10.1093/mmy/myv041</t>
  </si>
  <si>
    <t>Infectious Diseases; Mycology; Veterinary Sciences</t>
  </si>
  <si>
    <t>CR4JV</t>
  </si>
  <si>
    <t>WOS:000361299100009</t>
  </si>
  <si>
    <t>Benny, NP; Shenbakavalli, R; Mazlan, H; Mohd, NR; Mohd, RM</t>
  </si>
  <si>
    <t>Benny, N. Peter; Shenbakavalli, Ranjan; Mazlan, Hashim; Mohd, Nadzri Reba; Mohd, Razali Mahmud</t>
  </si>
  <si>
    <t>Mesoscale surface circulation and variability of Southern Indian Ocean derived by combining satellite altimetry and drifter observations</t>
  </si>
  <si>
    <t>ACTA OCEANOLOGICA SINICA</t>
  </si>
  <si>
    <t>Antarctic Ocean; circulation; satellite altimetry; eddy kinetic energy; Southern Indian Ocean; antarctic circumpolar wave</t>
  </si>
  <si>
    <t>ANTARCTIC CIRCUMPOLAR CURRENT; SEA-LEVEL VARIABILITY; DRAKE PASSAGE; EL-NINO; FRONTAL STRUCTURE; POLAR FRONT; WAVE; TRANSPORT; DRIVEN; VELOCITY</t>
  </si>
  <si>
    <t>High resoultion Eulerian mean velocity field has been derived by combining the satellite tracked surface drifter data with satellite altimetry and ocean surface winds. The drifter data used in this study includes Argos and surface drifter data from Global Drifter Program. Maps of Sea Level Anomaly (MSLA) weekly files with a resolution of (1/3)A degrees in both Latitude and Longitude for the period 1993-2012 have been used. The Ekman current is computed using ocean surface mean wind fields from scatterometers onboard ERS 1/2, Quikscat and ASCAT. The derived mean velocity field exhibits the broad flow of Antarctic Circumpolar Current with speeds up to 0.6 m/s. Anomalous field is quite significant in the western part between 20A degrees and 40A degrees E and in the eastern part between 80A degrees E and 100A degrees E with velocity anomaly up to 0.3 m/s. The estimated mean flow pattern well agrees with the dynamic topography derived from in-situ observations. Also, the derived velocity field is consistent with the in-situ ADCP current measurements. Eddy kinetic energy illustrates an increasing trend during 1993-2008 and is in phase coherence with the Southern Annular Mode by three month lag. Periodic modulations are found in the eddy kinetic energy due the low frequency Antarctic Circumpolar Wave propagation.</t>
  </si>
  <si>
    <t>[Benny, N. Peter] Kerala Univ Fisheries &amp; Ocean Studies, Sch Ocean Engn &amp; Underwater Technol, Dept Coastal &amp; Offshore Engn, Kochi 682506, India; [Shenbakavalli, Ranjan; Mohd, Razali Mahmud] Univ Technol Malaysia, Fac Geoinformat &amp; Real Estate, Dept Geomat Engn, Johor Baharu 81310, Malaysia; [Mazlan, Hashim; Mohd, Nadzri Reba] Univ Technol Malaysia, Fac Geoinformat &amp; Real Estate, Inst Geospatial Sci &amp; Technol, Johor Baharu 81310, Malaysia</t>
  </si>
  <si>
    <t>Kerala University of Fisheries &amp; Ocean Studies; Universiti Teknologi Malaysia; Universiti Teknologi Malaysia</t>
  </si>
  <si>
    <t>Benny, NP (corresponding author), Kerala Univ Fisheries &amp; Ocean Studies, Sch Ocean Engn &amp; Underwater Technol, Dept Coastal &amp; Offshore Engn, Kochi 682506, India.</t>
  </si>
  <si>
    <t>bennynpeter@gmail.com</t>
  </si>
  <si>
    <t>Hashim, Mazlan/J-7291-2012; Md Reba, Mohd Nadzri/J-9687-2013</t>
  </si>
  <si>
    <t>Hashim, Mazlan/0000-0001-8284-3332; Md Reba, Mohd Nadzri/0000-0002-3896-6797</t>
  </si>
  <si>
    <t>UTM GUP Antarctic research grant, MOHE [Q.J130000. 2409.01G27]</t>
  </si>
  <si>
    <t>UTM GUP Antarctic research grant, MOHE</t>
  </si>
  <si>
    <t>The author acknowledges financial support for the work from UTM GUP Antarctic research grant Vote No. Q.J130000. 2409.01G27, MOHE. We used altimeter data set produced by the Collect Localisation Satellites, Space Oceanography Division as part of Environment and Climate. Drifter data produced by the National Oceanic and Atmospheric Administration, Atlantic Oceanographic and Meteorological Laboratory are utilized. Also employed the wind data set produced and provided by the French Processing and Archiving Facility (CERSAT) at the French Research Institute for Exploration of the Sea. The hydrographic data used is from NODC, Washington. We used ODV, Schlitzer R, Ocean Data View, http://odv.awi.de, 2013, for preparing graphics.</t>
  </si>
  <si>
    <t>0253-505X</t>
  </si>
  <si>
    <t>1869-1099</t>
  </si>
  <si>
    <t>ACTA OCEANOL SIN</t>
  </si>
  <si>
    <t>Acta Oceanol. Sin.</t>
  </si>
  <si>
    <t>10.1007/s13131-015-0733-5</t>
  </si>
  <si>
    <t>CQ7XL</t>
  </si>
  <si>
    <t>WOS:000360819600002</t>
  </si>
  <si>
    <t>Teive, HAG; Munhoz, RP; de Lima, PG; Germiniani, FMB</t>
  </si>
  <si>
    <t>Teive, Helio A. G.; Munhoz, Renato P.; de Lima, Plinio G.; Germiniani, Francisco M. B.</t>
  </si>
  <si>
    <t>Jean-Baptiste Charcot in Rio de Janeiro: glamorous trip and celebrity in 1908</t>
  </si>
  <si>
    <t>ARQUIVOS DE NEURO-PSIQUIATRIA</t>
  </si>
  <si>
    <t>neurology; maritime explorer; Rio de Janeiro; Jean-Baptiste Charcot</t>
  </si>
  <si>
    <t>BRAZIL</t>
  </si>
  <si>
    <t>The authors review the visit of Commander Charcot and the crew of his ship, the Pourquoi Pas?, to Rio de Janeiro, Brazil, in 1908, where he stayed for eight days, while en-route as part of the second French expedition to the Antarctic. It was a glamorous stay as Commander Charcot was treated as a true star and international celebrity, befitting his position.</t>
  </si>
  <si>
    <t>[Teive, Helio A. G.; de Lima, Plinio G.; Germiniani, Francisco M. B.] Univ Fed Parana, Hosp Clin, Dept Med Interna, Serv Neurol, BR-80060000 Curitiba, Parana, Brazil; [Munhoz, Renato P.] Univ Toronto, Toronto Western Hosp, Movement Disorders Ctr, Toronto, ON M5T 2S8, Canada</t>
  </si>
  <si>
    <t>Universidade Federal do Parana; University of Toronto; University Health Network Toronto</t>
  </si>
  <si>
    <t>Teive, HAG (corresponding author), Rua Gen Carneiro 1103-102, BR-80060150 Curitiba, PR, Brazil.</t>
  </si>
  <si>
    <t>hagteive@mps.com.br</t>
  </si>
  <si>
    <t>Germiniani, Francisco/KBB-1585-2024</t>
  </si>
  <si>
    <t>ASSOC ARQUIVOS NEURO- PSIQUIATRIA</t>
  </si>
  <si>
    <t>SAO PAULO SP</t>
  </si>
  <si>
    <t>PR AMADEU AMARAL 47/33, 01327-010 SAO PAULO SP, BRAZIL</t>
  </si>
  <si>
    <t>0004-282X</t>
  </si>
  <si>
    <t>1678-4227</t>
  </si>
  <si>
    <t>ARQ NEURO-PSIQUIAT</t>
  </si>
  <si>
    <t>Arq. Neuro-Psiquiatr.</t>
  </si>
  <si>
    <t>10.1590/0004-282X20150100</t>
  </si>
  <si>
    <t>Neurosciences; Psychiatry</t>
  </si>
  <si>
    <t>Neurosciences &amp; Neurology; Psychiatry</t>
  </si>
  <si>
    <t>CR1BQ</t>
  </si>
  <si>
    <t>WOS:000361058200016</t>
  </si>
  <si>
    <t>Shortis, E</t>
  </si>
  <si>
    <t>Shortis, Emma</t>
  </si>
  <si>
    <t>Who can resist this guy? Jacques Cousteau, Celebrity Diplomacy, and the Environmental Protection of the Antarctic</t>
  </si>
  <si>
    <t>AUSTRALIAN JOURNAL OF POLITICS AND HISTORY</t>
  </si>
  <si>
    <t>Captain Jacques-Yves Cousteau was perhaps one of the most recognisable international celebrity environmentalists of his time. Cousteau is not remembered, however, for his pivotal role in the defeat of the 1988 Antarctic Minerals Convention, which, if ratified, would have paved the way for mining to begin in Antarctica. Using the full weight of his celebrity, his personal charisma and his ability to marshal international public opinion, Cousteau was central to the successful campaign for a World Park Antarctica. The new international agreement that Cousteau ultimately helped to bring about is one of the most significant pieces of international environmental legislation in existence today, and Cousteau's crowning environmental achievement. Cousteau's successful Antarctic campaign demonstrates the indelible impact celebrities can have on international environmental negotiations, and political developments more broadly.</t>
  </si>
  <si>
    <t>Univ Melbourne, Melbourne, Vic 3010, Australia</t>
  </si>
  <si>
    <t>University of Melbourne; Melbourne Bioinformatics</t>
  </si>
  <si>
    <t>Shortis, E (corresponding author), Univ Melbourne, Melbourne, Vic 3010, Australia.</t>
  </si>
  <si>
    <t>Shortis, Emma/0000-0001-7689-5590</t>
  </si>
  <si>
    <t>0004-9522</t>
  </si>
  <si>
    <t>1467-8497</t>
  </si>
  <si>
    <t>AUST J POLIT HIST</t>
  </si>
  <si>
    <t>Aust. J. Polit. Hist.</t>
  </si>
  <si>
    <t>10.1111/ajph.12108</t>
  </si>
  <si>
    <t>History; Political Science</t>
  </si>
  <si>
    <t>History; Government &amp; Law</t>
  </si>
  <si>
    <t>CQ7CH</t>
  </si>
  <si>
    <t>WOS:000360759900004</t>
  </si>
  <si>
    <t>Lee, RE; Denlinger, DL</t>
  </si>
  <si>
    <t>Lee, R. E., Jr.; Denlinger, D. L.</t>
  </si>
  <si>
    <t>Stress tolerance in a polyextremophile: the southernmost insect</t>
  </si>
  <si>
    <t>CANADIAN JOURNAL OF ZOOLOGY</t>
  </si>
  <si>
    <t>osmotic stress; Antarctic midge; Belgica antarctica; freeze tolerance; climate change; desiccation tolerance; cross tolerance</t>
  </si>
  <si>
    <t>MIDGE BELGICA-ANTARCTICA; GOLDENROD GALL FLY; FREEZE TOLERANCE; CRYOPROTECTIVE DEHYDRATION; SUBZERO TEMPERATURES; COLD-HARDINESS; HEAT-SHOCK; OVERWINTERING STRATEGIES; GENE-EXPRESSION; DESICCATION</t>
  </si>
  <si>
    <t>Since biotic interactions within the simple terrestrial communities on the Antarctic Peninsula are limited compared with tropical and temperate regions, survival is largely dictated by the numerous abiotic challenges. Our research focuses on adaptations to environmental stresses experienced by the Antarctic midge (Belgica antarctica Jacobs, 1900), the southernmost free-living insect. Midge larvae can survive freezing and anoxia year-round. Not only can frozen larvae undergo rapid cold-hardening (RCH) at temperatures as low as -12 degrees C, but RCH develops more rapidly in frozen compared with supercooled larvae. Whether larvae overwinter in a frozen state or cryoprotectively dehydrated may depend on hydration levels within their hibernacula. Larvae constitutively up-regulate genes encoding heat shock proteins, as well as the antioxidant enzymes superoxide dismutase and catalase. Larvae accumulate osmoprotectants in response to freezing, desiccation, and exposure to seawater; exposure to one of these osmotic stressors confers cross-tolerance to the others. Molecular responses to dehydration stress include extensive genome-wide changes that include differential expression of aquaporins among tissues, upregulation of pathways associated with autophagy, inhibition of apoptosis, and downregulation of metabolism and ATP production.</t>
  </si>
  <si>
    <t>[Lee, R. E., Jr.] Miami Univ, Dept Biol, Oxford, OH 45056 USA; [Denlinger, D. L.] Ohio State Univ, Dept Entomol, Columbus, OH 43210 USA; [Denlinger, D. L.] Ohio State Univ, Dept Evolut Ecol &amp; Organismal Biol, Columbus, OH 43210 USA</t>
  </si>
  <si>
    <t>University System of Ohio; Miami University; University System of Ohio; Ohio State University; University System of Ohio; Ohio State University</t>
  </si>
  <si>
    <t>Lee, RE (corresponding author), Miami Univ, Dept Biol, Oxford, OH 45056 USA.</t>
  </si>
  <si>
    <t>leere@miamioh.edu</t>
  </si>
  <si>
    <t>National Science Foundation [ANT-0837559, ANT-0837613]; Office of Polar Programs (OPP); Directorate For Geosciences [1341393, 1341385] Funding Source: National Science Foundation</t>
  </si>
  <si>
    <t>National Science Foundation(National Science Foundation (NSF)); Office of Polar Programs (OPP); Directorate For Geosciences(National Science Foundation (NSF)NSF - Directorate for Geosciences (GEO))</t>
  </si>
  <si>
    <t>We gratefully acknowledge the many contributions of our colleagues and students in this research and for excellent assistance from the support staff at Palmer Station, Antarctica. We thank J.D. Gantz for reviewing a draft of the manuscript. This research was supported by the National Science Foundation grants (ANT-0837559 and ANT-0837613).</t>
  </si>
  <si>
    <t>CANADIAN SCIENCE PUBLISHING</t>
  </si>
  <si>
    <t>OTTAWA</t>
  </si>
  <si>
    <t>65 AURIGA DR, SUITE 203, OTTAWA, ON K2E 7W6, CANADA</t>
  </si>
  <si>
    <t>0008-4301</t>
  </si>
  <si>
    <t>1480-3283</t>
  </si>
  <si>
    <t>CAN J ZOOL</t>
  </si>
  <si>
    <t>Can. J. Zool.</t>
  </si>
  <si>
    <t>10.1139/cjz-2014-0147</t>
  </si>
  <si>
    <t>CQ9PK</t>
  </si>
  <si>
    <t>WOS:000360946900002</t>
  </si>
  <si>
    <t>Chen, D; Wang, HJ; Liu, JP; Li, GP</t>
  </si>
  <si>
    <t>Chen, Dong; Wang, Huijun; Liu, Jiping; Li, Guoping</t>
  </si>
  <si>
    <t>Why the spring North Pacific Oscillation is a predictor of typhoon activity over the Western North Pacific</t>
  </si>
  <si>
    <t>typhoon; North Pacific Oscillation; Western North Pacific SST</t>
  </si>
  <si>
    <t>SEASONAL FOOTPRINTING MECHANISM; TROPICAL CYCLONE ACTIVITY; EL-NINO; INTERANNUAL VARIABILITY; ANTARCTIC OSCILLATION; HURRICANE FREQUENCY; STORM FORMATION; CLIMATE; GENESIS; EVENTS</t>
  </si>
  <si>
    <t>In this study, we investigated the impact of the spring North Pacific Oscillation (NPO) on typhoon frequency over the Western North Pacific (WNP, north of the equator and west of dateline). To reduce the statistical uncertainty, all the data we used have been excluded the El Nino/Southern Oscillation signals. We found that the spring NPO positively correlated with the annual typhoon number over the WNP (hereafter TNWNP) during the period 1968-2010, with a correlation coefficient of 0.62 (above the 99% significance level). When the Northern Low and Southern High pattern over the north Pacific weakens, the TNWNP tends to increase. A positive phase of spring NPO is associated with the tropical circulation and sea surface temperature (SST) anomalies in the North Pacific, which may lead to unfavorable dynamical and thermal conditions for typhoon genesis over the WNP during JJAS. The negative anomaly of SST over the WNP, associated with the positive spring NPO anomaly, is connected to the tropical atmospheric circulations from spring to summer via good oceanic seasonal persistence and air-sea interaction. Thus, the spring NPO-related variability of the tropical atmospheric circulation as well as the SST can affect typhoon activity over the WNP. In addition, the spring NPO can also be adopted as a predictor for the summer rainfall in South China, since the spring NPO can modulate the WNP SST and western Pacific subtropical high from spring to summer.</t>
  </si>
  <si>
    <t>[Chen, Dong; Wang, Huijun] Chinese Acad Sci, Inst Atmospher Phys, Nansen Zhu Int Res Ctr, Beijing 100029, Peoples R China; [Chen, Dong] Univ Chinese Acad Sci, Beijing, Peoples R China; [Chen, Dong; Wang, Huijun] Chinese Acad Sci, Climate Change Res Ctr, Beijing 100029, Peoples R China; [Chen, Dong; Li, Guoping] Chengdu Univ Informat Technol, Coll Atmospher Sci, Chengdu, Peoples R China; [Liu, Jiping] SUNY Albany, Dept Atmospher &amp; Environm Sci, Albany, NY 12222 USA</t>
  </si>
  <si>
    <t>Chinese Academy of Sciences; Institute of Atmospheric Physics, CAS; Chinese Academy of Sciences; University of Chinese Academy of Sciences, CAS; Chinese Academy of Sciences; Chengdu University of Information Technology; State University of New York (SUNY) System; State University of New York (SUNY) Albany</t>
  </si>
  <si>
    <t>Chen, D (corresponding author), Chinese Acad Sci, Inst Atmospher Phys, Nansen Zhu Int Res Ctr, Beijing 100029, Peoples R China.</t>
  </si>
  <si>
    <t>chend@mail.iap.ac.cn</t>
  </si>
  <si>
    <t>Wang, Hui/HMU-9512-2023; Li, Guo-ping/AAI-2972-2020; LIU, JIPING/N-6696-2016</t>
  </si>
  <si>
    <t>Li, Guo-ping/0000-0003-4863-7775;</t>
  </si>
  <si>
    <t>National Natural Science Foundation of China [41210007, 41130103]</t>
  </si>
  <si>
    <t>This research was supported by the National Natural Science Foundation of China (grants 41210007 and 41130103).</t>
  </si>
  <si>
    <t>10.1002/joc.4213</t>
  </si>
  <si>
    <t>CQ9FF</t>
  </si>
  <si>
    <t>WOS:000360917500013</t>
  </si>
  <si>
    <t>Clem, KR; Renwick, JA</t>
  </si>
  <si>
    <t>Clem, Kyle R.; Renwick, James A.</t>
  </si>
  <si>
    <t>Austral Spring Southern Hemisphere Circulation and Temperature Changes and Links to the SPCZ</t>
  </si>
  <si>
    <t>PACIFIC CONVERGENCE ZONE; WEST ANTARCTICA; AMERICAN MODES; SEA-ICE; CLIMATE; VARIABILITY; SURFACE; OSCILLATION; REANALYSES; TRENDS</t>
  </si>
  <si>
    <t>Significant austral spring trends have previously been observed in West Antarctica and Antarctic Peninsula temperatures and in atmospheric circulation across the southern Pacific and Atlantic. Here, physical mechanisms for the observed trends are investigated through analysis of monthly circulation and temperatures from the ERA-Interim dataset and outgoing longwave radiation (OLR) data. The negative pressure trend over the South Pacific during spring is strongest in September, while the positive pressure trend over the South Atlantic is strongest in October. Pressure trends in November are generally nonsignificant. The authors demonstrate that a significant September trend toward increased convection (reduced OLR) in the poleward portion of the South Pacific convergence zone (SPCZ) is statistically related to Rossby wave-like circulation changes across the southern oceans. The wave response is strongest over the South Pacific in September and propagates eastward to the South Atlantic in October. OLR-related changes are linearly congruent with around half of the observed total changes in circulation during September and October and are consistent with observed trends in South Pacific sea ice concentration and surface temperature over western West Antarctica and the western Antarctic Peninsula. These results suggest SPCZ variability in early spring, especially on the poleward side of the SPCZ, is an important contributor to circulation and surface temperature trends across the South Pacific/Atlantic and West Antarctica.</t>
  </si>
  <si>
    <t>[Clem, Kyle R.; Renwick, James A.] Victoria Univ Wellington, Sch Geog Environm &amp; Earth Sci, Wellington 6140, New Zealand</t>
  </si>
  <si>
    <t>Victoria University Wellington</t>
  </si>
  <si>
    <t>Clem, KR (corresponding author), Victoria Univ Wellington, Sch Geog Environm &amp; Earth Sci, Cotton Bldg,Room 311, Wellington 6140, New Zealand.</t>
  </si>
  <si>
    <t>kyle.clem@vuw.ac.nz</t>
  </si>
  <si>
    <t>Clem, Kyle/AAG-6626-2021</t>
  </si>
  <si>
    <t>Clem, Kyle/0000-0002-1419-2758; Renwick, James/0000-0002-9141-2486</t>
  </si>
  <si>
    <t>Victoria University of Wellington</t>
  </si>
  <si>
    <t>The ECMWF is thanked for providing the ERA-Interim data (accessed freely online at http://apps.ecmwf.int/datasets/data/interim_full_moda). Thanks to NOAA/OAR/ESRL PSD, Boulder, Colorado, for providing OLR data (accessed freely online at http://www.esrl.noaa.gov/psd/data/gridded/data.interp_OLR.html). Kyle R. Clem is supported by a Victoria University of Wellington doctoral scholarship. We thank two anonymous reviewers for their careful read of the manuscript and helpful comments that improved and clarified the key findings of this paper.</t>
  </si>
  <si>
    <t>10.1175/JCLI-D-15-0125.1</t>
  </si>
  <si>
    <t>CR0TT</t>
  </si>
  <si>
    <t>WOS:000361036800022</t>
  </si>
  <si>
    <t>Stern, A; Nadeau, LP; Holland, D</t>
  </si>
  <si>
    <t>Stern, Alon; Nadeau, Louis-Philippe; Holland, David</t>
  </si>
  <si>
    <t>Instability and Mixing of Zonal Jets along an Idealized Continental Shelf Break</t>
  </si>
  <si>
    <t>ANTARCTIC CIRCUMPOLAR CURRENT; BAROCLINIC INSTABILITY; MULTIPLE JETS; SLOPE FRONT; CROSS-SHELF; DEEP-WATER; MODEL; OCEAN; TOPOGRAPHY; PENINSULA</t>
  </si>
  <si>
    <t>The interaction between an Antarctic Circumpolar Current-like channel flow and a continental shelf break is considered using eddy-permitting simulations of a quasigeostrophic and a primitive equation model. The experimental setup is motivated by the continental shelf of the West Antarctic Peninsula. Numerical experiments are performed to study how the width and slope of an idealized continental shelf topography affect the characteristics of the flow. The main focus is on the regime where the shelfbreak width is slightly greater than the eddy scale. In this regime, a strong baroclinic jet develops on the shelf break because of the locally stabilizing effect of the topographic slope. The velocity of this jet is set at first order by the gradient of the background barotropic geostrophic contours, which is dominated by the slope of the topography. At statistical equilibrium, an aperiodic cycle is observed. Initially, over a long stable period, an upper-layer jet develops over the shelf break. Once the vertical shear reaches the critical condition for baroclinic instability, the jet becomes unstable and drifts away from the shelf break. The cross-shelf mixing is intrinsically linked with the jet drifting, as most of the meridional flux occurs during this instability period. Investigation of the zonal momentum budget reveals that a strong Reynolds stress divergence inversion across the jet is associated with a drifting event, accelerating one flank of the jet and decelerating the other. The hypothesis that jet drifting may be due to one flank of the jet being more baroclinically unstable than the other is tested using topographic profiles with variable curvatures.</t>
  </si>
  <si>
    <t>[Stern, Alon; Holland, David] NYU, Courant Inst Math Sci, New York, NY 10012 USA; [Nadeau, Louis-Philippe] MIT, Dept Earth Atmospher &amp; Planetary Sci, Cambridge, MA 02139 USA</t>
  </si>
  <si>
    <t>New York University; Massachusetts Institute of Technology (MIT)</t>
  </si>
  <si>
    <t>Stern, A (corresponding author), NYU, Courant Inst Math Sci, 257 Mercer St, New York, NY 10012 USA.</t>
  </si>
  <si>
    <t>alon@cims.nyu.edu</t>
  </si>
  <si>
    <t>NYU Abu Dhabi [G1204]; National Science Foundation [NSF DMS-0940241, NSF ANT-0732869]; Direct For Mathematical &amp; Physical Scien; Division Of Mathematical Sciences [0940241] Funding Source: National Science Foundation</t>
  </si>
  <si>
    <t>NYU Abu Dhabi; National Science Foundation(National Science Foundation (NSF)); Direct For Mathematical &amp; Physical Scien; Division Of Mathematical Sciences(National Science Foundation (NSF)NSF - Directorate for Mathematical &amp; Physical Sciences (MPS))</t>
  </si>
  <si>
    <t>Funding for this research was provided by NYU Abu Dhabi Grant G1204 and the National Science Foundation Grants NSF DMS-0940241 and NSF ANT-0732869.</t>
  </si>
  <si>
    <t>10.1175/JPO-D-14-0213.1</t>
  </si>
  <si>
    <t>CR0TQ</t>
  </si>
  <si>
    <t>WOS:000361036500009</t>
  </si>
  <si>
    <t>Bell, MJ</t>
  </si>
  <si>
    <t>Bell, Michael J.</t>
  </si>
  <si>
    <t>Water Mass Transformations Driven by Ekman Upwelling and Surface Warming in Subpolar Gyres</t>
  </si>
  <si>
    <t>ANTARCTIC CIRCUMPOLAR CURRENT; OCEAN CIRCULATION; WIND-DRIVEN; WORLD OCEAN; OVERTURNING CIRCULATION; DEEP STRATIFICATION; ABYSSAL CIRCULATION; DRAKE PASSAGE; SIMPLE-MODEL; SOUTHERN</t>
  </si>
  <si>
    <t>The Sverdrup relationship when applied to the Southern Ocean suggests that some isopycnals that are deep in the eastern Pacific will shoal in the Atlantic. Cold waters surfacing in the South Atlantic at midlatitudes would be warmed by the atmosphere. The potential for water mass transformations in this region is studied by applying a three-layer planetary geostrophic model to a wide ocean basin driven by the Ekman upwelling typical of the Southern Ocean surface winds. The model uses a simple physically based parameterization of the entrainment of mass into the surface layer with zonally symmetric atmospheric surface fields to find steady-state subpolar gyre solutions. The solutions are found numerically by specifying suitable boundary conditions and integrating along characteristics. With reasonable parameter settings, transformations of more than 10 Sverdrups (Sv; 1 Sv equivalent to 10(6) m(3) s(-1)) of water between layers are obtained. The water mass transformations are sensitive to the strength of the wind stress curl and the width of the basin and relatively insensitive to the parameterization of the surface heat fluxes. On the western side of the basin where the cold waters are near the surface, there is a large region where there is a local balance between the Ekman pumping and the exchange of mass between layers. Simple formulas are derived for the water mass transformation rates in terms of the difference between the maximum and minimum northward Ekman transports integrated across the basin and the depths of the isopycnal layers on the eastern boundary. The relevance of the model to the Southern Ocean and the Atlantic meridional overturning circulation is briefly discussed.</t>
  </si>
  <si>
    <t>Met Off, Exeter EX1 3PB, Devon, England</t>
  </si>
  <si>
    <t>Met Office - UK</t>
  </si>
  <si>
    <t>Bell, MJ (corresponding author), Met Off, Fitzroy Rd, Exeter EX1 3PB, Devon, England.</t>
  </si>
  <si>
    <t>mike.bell@metoffice.gov.uk</t>
  </si>
  <si>
    <t>Joint U.K. DECC/Defra Met Office Hadley Centre Climate Programme [GA01101]</t>
  </si>
  <si>
    <t>Joint U.K. DECC/Defra Met Office Hadley Centre Climate Programme</t>
  </si>
  <si>
    <t>This work was supported by the Joint U.K. DECC/Defra Met Office Hadley Centre Climate Programme (GA01101). The author is particularly grateful to David Marshall, Geoff Vallis, and Andy White for their advice and to the editor and two anonymous reviewers whose comments helped to improve the presentation of the paper significantly.</t>
  </si>
  <si>
    <t>10.1175/JPO-D-14-0251.1</t>
  </si>
  <si>
    <t>WOS:000361036500011</t>
  </si>
  <si>
    <t>Harper, BB; Puga-Bernabéu, A; Droxler, AW; Webster, JM; Gischler, E; Tiwari, M; Lado-Insua, T; Thomas, AL; Morgan, S; Jovane, L; Röhl, U</t>
  </si>
  <si>
    <t>Harper, Brandon B.; Puga-Bernabeu, Angel; Droxler, Andre W.; Webster, Jody M.; Gischler, Eberhard; Tiwari, Manish; Lado-Insua, Tania; Thomas, Alex L.; Morgan, Sally; Jovane, Luigi; Roehl, Ursula</t>
  </si>
  <si>
    <t>MIXED CARBONATE-SILICICLASTIC SEDIMENTATION ALONG THE GREAT BARRIER REEF UPPER SLOPE: A CHALLENGE TO THE RECIPROCAL SEDIMENTATION MODEL</t>
  </si>
  <si>
    <t>JOURNAL OF SEDIMENTARY RESEARCH</t>
  </si>
  <si>
    <t>SEA-LEVEL RISE; CONTINENTAL-SHELF; QUATERNARY; PLATFORM; DEPOSITION; AUSTRALIA; HIGHSTAND; SOUTHERN; RECORD; CYCLES</t>
  </si>
  <si>
    <t>Results of studies involving numerous cores and ODP holes along the Great Barrier Reef (GBR) margin and adjacent Queensland Trough and Queensland Plateau have challenged the use of a reciprocal sedimentation model to describe the sedimentary response of slope and basin settings to glacioeustatic sea-level fluctuations. Upper-slope sedimentation results from the relationships between sea-level fluctuations, antecedent topography, and regional climate that play an important role in the type and amount of sediment deposited on the upper slope during glacial, deglacial, and interglacial times. During the Last Glacial Maximum (LGM, &gt; 20 ka ago) upper-slope sediments generally lacked siliciclastic material and are characterized by very low accumulation rates, whereas early deglacial-time (Termination I, TI) deposits are dominated by a siliciclastic and neritic carbonate pulse. Siliciclastic sedimentation was significantly reduced in the Holocene, while carbonate sedimentation remains elevated. A new borehole, IODP Expedition 325 Hole M0058A (Hole 58A), recovered 82% of a 40.4 m hole on the upper slope east of Noggin Passage on the central GBR margin near Cairns, Australia. Hole 58A provides a detailed sedimentary record during Termination II (TII), Marine Isotope Stage 6/5e (MIS-6/5e), deglacial transition, and through most of interglacial MIS-5. This hole, along with two others (ODP Leg 133 Holes 820A and 819A from the upper slope east of Grafton Passage), show carbonate-siliciclastic cyclicity as the result of glacioeustatic change with the GBR shelf. Sedimentation at Hole 58A is consistent with that of previous studies along the GBR margin (focusing on the LGM to present), and extends the upper-slope sedimentary record back to TII and interglacial MIS-5. A siliciclastic pulse similar to the one during TI occurred during the penultimate deglaciation, TII; however, the maximum neritic aragonite export to the upper slope occurred not during peak MIS-5e highstand when sea level was a few meters above modern position, but subsequently during a time (MIS-5d to 5a) when lowered sea level fluctuated between 30 and 50 m below present sea level. Siliciclastic sediments were reworked and exported to the upper slope when the lowstand fluvial plain was re-flooded, whereas neritic carbonate export to the slope reached a maximum when sea level fell and much of the mid to outer shelf re-entered the photic zone, subsequent to a drowning interval. Thus, this analysis refines the mixed-sedimentation models of upper-slope sedimentation along the central GBR margin during the penultimate deglacial transgression and subsequent interglacial early and late highstand. This study provides further evidence that mixed carbonate-siliciclastic margins do not always behave in a predictable manner and that mixed margins both modern and ancient would benefit from detailed study of sediment transport in the context of sea-level rise and fall.</t>
  </si>
  <si>
    <t>[Harper, Brandon B.; Droxler, Andre W.] Rice Univ, Dept Earth Sci, Houston, TX 77005 USA; [Harper, Brandon B.] Conoco Phillips, Houston, TX 77079 USA; [Puga-Bernabeu, Angel] Univ Granada, Dept Estratig &amp; Paleontol, Granada 18002, Spain; [Puga-Bernabeu, Angel; Webster, Jody M.] Univ Sydney, Sch Geosci, Coastal Res Grp, Sydney, NSW 2006, Australia; [Gischler, Eberhard] Goethe Univ Frankfurt, Inst Geowissensch, D-60438 Frankfurt, Germany; [Tiwari, Manish] Natl Ctr Antarctic &amp; Ocean Res, Vasco Da Gama 403804, India; [Lado-Insua, Tania] Univ Victoria, Ocean Networks Canada, Victoria, BC V8W 2Y2, Canada; [Thomas, Alex L.] Univ Edinburgh, Sch Geosci, Edinburgh EH9 3JW, Midlothian, Scotland; [Morgan, Sally] Columbia Univ, Lamont Doherty Earth Observ, Borehole Res Grp, Palisades, NY 10964 USA; [Jovane, Luigi] Univ Sao Paulo, Inst Ocenog, BR-05508120 Sao Paulo, Brazil; [Roehl, Ursula] Univ Bremen, Ctr Marine Environm Sci, MARUM, D-28334 Bremen, Germany</t>
  </si>
  <si>
    <t>Rice University; ConocoPhillips; University of Granada; University of Sydney; Goethe University Frankfurt; Ministry of Earth Sciences (MoES) - India; National Centre for Polar and Ocean Research (NCPOR); University of Victoria; University of Edinburgh; Columbia University; Universidade de Sao Paulo; University of Bremen</t>
  </si>
  <si>
    <t>Harper, BB (corresponding author), Rice Univ, Dept Earth Sci, Houston, TX 77005 USA.</t>
  </si>
  <si>
    <t>brandon.b.harper@conocophillips.com</t>
  </si>
  <si>
    <t>Bernabéu, Ángel Puga/K-6639-2017; Thomas, Alex L/D-1028-2012; Röhl, Ursula/G-5986-2011; Jovane, Luigi/E-7536-2012; Jovane, Luigi/AAH-5438-2020; Morgan, Sally/F-9496-2019</t>
  </si>
  <si>
    <t>Bernabéu, Ángel Puga/0000-0002-6420-9167; Röhl, Ursula/0000-0001-9469-7053; Jovane, Luigi/0000-0003-4348-4714; Insua, Tania L./0000-0002-3070-2332; Tiwari, Manish/0000-0003-3143-1658; Thomas, Alexander/0000-0002-0734-9593; Morgan, Sally/0000-0001-7601-3551</t>
  </si>
  <si>
    <t>Australian Research Council [DP1094001]; IODP through U.S. Science Support Program from the Consortium for Ocean Leadership; Australian Research Council [DP1094001] Funding Source: Australian Research Council</t>
  </si>
  <si>
    <t>Australian Research Council(Australian Research Council); IODP through U.S. Science Support Program from the Consortium for Ocean Leadership; Australian Research Council(Australian Research Council)</t>
  </si>
  <si>
    <t>This research was partially funded by IODP through a grant from the U.S. Science Support Program from the Consortium for Ocean Leadership to Droxler and Australian Research Council Discovery Grant (DP1094001) to Webster. TOTAL (Cecile Pabian-Goyheneche, Patrick Sorriaux, and Aurelien Virgone) provided the major financial support through a grant to Rice University (Droxler), in addition to a Mills Bennett Fellowship at Rice University for Harper's Ph.D. research.</t>
  </si>
  <si>
    <t>SEPM-SOC SEDIMENTARY GEOLOGY</t>
  </si>
  <si>
    <t>TULSA</t>
  </si>
  <si>
    <t>6128 EAST 38TH ST, STE 308, TULSA, OK 74135-5814 USA</t>
  </si>
  <si>
    <t>1527-1404</t>
  </si>
  <si>
    <t>1938-3681</t>
  </si>
  <si>
    <t>J SEDIMENT RES</t>
  </si>
  <si>
    <t>J. Sediment. Res.</t>
  </si>
  <si>
    <t>10.2110/jsr.2015.58.1</t>
  </si>
  <si>
    <t>CR0RK</t>
  </si>
  <si>
    <t>WOS:000361030700001</t>
  </si>
  <si>
    <t>Jewtoukoff, V; Hertzog, A; Plougonven, R; de la Cámara, A; Lott, F</t>
  </si>
  <si>
    <t>Jewtoukoff, Valerian; Hertzog, Albert; Plougonven, Riwal; de la Camara, Alvaro; Lott, Francois</t>
  </si>
  <si>
    <t>Comparison of Gravity Waves in the Southern Hemisphere Derived from Balloon Observations and the ECMWF Analyses</t>
  </si>
  <si>
    <t>JOURNAL OF THE ATMOSPHERIC SCIENCES</t>
  </si>
  <si>
    <t>4-DIMENSIONAL VARIATIONAL ASSIMILATION; MOMENTUM FLUX; OPERATIONAL IMPLEMENTATION; SUPERPRESSURE BALLOONS; PHASE SPEEDS; CLIMATE; FLIGHTS; STRATOSPHERE; FORECASTS; DRAG</t>
  </si>
  <si>
    <t>The increase of spatial resolution allows the ECMWF operational model to explicitly resolve a significant portion of the atmospheric gravity wave (GW) field, but the realism of the simulated GW field in the ECMWF analyses still needs to be precisely evaluated. Here the authors use data collected during the Concordiasi stratospheric balloon campaign to assess the representation of GWs in the ECMWF analyses over Antarctica and the Southern Ocean in spring 2010. The authors first compare the balloonborne GW momentum fluxes with those in ECMWF analyses throughout the campaign and find a correct agreement of the geographical and seasonal patterns. However, the authors also note that ECMWF analyses generally underestimate the balloon fluxes by a factor of 5, which may be essentially due to the spatial truncation of the ECMWF model. Intermittency of wave activity in the analyses and observations are found comparable. These results are confirmed on two case studies dealing with orographic and nonorographic waves, which thus supports that the ECMWF analyses can be used to study the geographical and seasonal distribution of GW momentum fluxes. The authors then used both datasets to provide insights on the missing GW drag at 60 degrees S in general circulation models in the Southern Hemisphere spring. These datasets suggest that a significant part of the missing drag may be associated with nonorographic GWs generated by weather systems above the Southern Ocean.</t>
  </si>
  <si>
    <t>[Jewtoukoff, Valerian; Hertzog, Albert; Plougonven, Riwal] Ecole Polytech, CNRS, Lab Meteorol Dynam, F-91128 Palaiseau, France; [de la Camara, Alvaro; Lott, Francois] Ecole Normale Super, CNRS, Lab Meteorol Dynam, Paris, France</t>
  </si>
  <si>
    <t>Institut Polytechnique de Paris; Centre National de la Recherche Scientifique (CNRS); Sorbonne Universite; Universite PSL; Ecole Normale Superieure (ENS); Sorbonne Universite; Centre National de la Recherche Scientifique (CNRS)</t>
  </si>
  <si>
    <t>Jewtoukoff, V (corresponding author), Ecole Polytech, CNRS, Lab Meteorol Dynam, F-91128 Palaiseau, France.</t>
  </si>
  <si>
    <t>vjewtou@lmd.ens.fr</t>
  </si>
  <si>
    <t>de la Camara, Alvaro/P-7062-2016</t>
  </si>
  <si>
    <t>de la Camara, Alvaro/0000-0002-8831-4789; Plougonven, Riwal/0000-0003-3310-8280</t>
  </si>
  <si>
    <t>Meteo-France; CNES; CNRS/INSU; NSF; NCAR; University of Wyoming; Purdue University; University of Colorado; Alfred Wegener Institute; Met Office; ECMWF; (Institut Polaire Francais Paul Emile Victor) IPEV; Programma Nazionale di Ricerche in Antartide (PNRA); United States Antarctic Program (USAP); British Antarctic Survey) BAS; Baseline Surface Radiation Network (BSRN) measurements at Concordia</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</si>
  <si>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(Institut Polaire Francais Paul Emile Victor) IPEV; Programma Nazionale di Ricerche in Antartide (PNRA); United States Antarctic Program (USAP); British Antarctic Survey) BAS; Baseline Surface Radiation Network (BSRN) measurements at Concordia</t>
  </si>
  <si>
    <t>The authors gratefully acknowledge helpful discussions with Guillaume Lapeyre and Hector Teitelbaum. Concordiasi is an international project, currently supported by the following agencies: Meteo-France, CNES, CNRS/INSU, NSF, NCAR, University of Wyoming, Purdue University, University of Colorado, the Alfred Wegener Institute, the Met Office, and ECMWF. Concordiasi also benefits from logistic or financial support of the operational polar agencies (Institut Polaire Francais Paul Emile Victor) IPEV, Programma Nazionale di Ricerche in Antartide (PNRA), United States Antarctic Program (USAP), and (British Antarctic Survey) BAS, and from Baseline Surface Radiation Network (BSRN) measurements at Concordia. Concordiasi is part of The Observing System Research and Predictability Experiment International Polar Year (THORPEX-IPY) cluster within the International Polar Year effort.</t>
  </si>
  <si>
    <t>0022-4928</t>
  </si>
  <si>
    <t>1520-0469</t>
  </si>
  <si>
    <t>J ATMOS SCI</t>
  </si>
  <si>
    <t>J. Atmos. Sci.</t>
  </si>
  <si>
    <t>10.1175/JAS-D-14-0324.1</t>
  </si>
  <si>
    <t>CR0TW</t>
  </si>
  <si>
    <t>WOS:000361037100010</t>
  </si>
  <si>
    <t>Rubin, AE</t>
  </si>
  <si>
    <t>Rubin, Alan E.</t>
  </si>
  <si>
    <t>An American on Paris: Extent of aqueous alteration of a CM chondrite and the petrography of its refractory and amoeboid olivine inclusions</t>
  </si>
  <si>
    <t>ALUMINUM-RICH INCLUSIONS; FINE-GRAINED RIMS; UNIQUE CARBONACEOUS CHONDRITE; POSSIBLE PRECURSOR COMPONENTS; EARLY SOLAR-SYSTEM; ALLENDE METEORITE; FERROMAGNESIAN CHONDRULES; ANTARCTIC MICROMETEORITES; STONY METEORITES; OXYGEN ISOTOPES</t>
  </si>
  <si>
    <t>Paris is the least aqueously altered CM chondrite identified to date, classified as subtype 2.7; however, literature data indicate that some regions of this apparently brecciated meteorite may be subtype 2.9. The suite of CAIs in Paris includes 19% spinel-pyroxene inclusions, 19% spinel inclusions, 8% spinel-pyroxene-olivine inclusions, 43% pyroxene inclusions, 8% pyroxene-olivine inclusions, and 3% hibonite-bearing inclusions. Both simple and complex inclusions are present; some have nodular, banded, or distended structures. No melilite was identified in any of the inclusions in the present suite, but other recent studies have found a few rare occurrences of melilite in Paris CAIs. Because melilite is highly susceptible to aqueous alteration, it is likely that it was mostly destroyed during early-stage parent-body alteration. Two of the CAIs in this study are part of compound CAI-chondrule objects. Their presence suggests that there were transient heating events (probably associated with chondrule formation) in the nebula after chondrules and CAIs were admixed. Also present in Paris are a few amoeboid olivine inclusions (AOI) consisting of relatively coarse forsterite rims surrounding fine-grained, porous zones containing diopside and anorthite. The interior regions of the AOIs may represent fine-grained rimless CAIs that were incorporated into highly porous forsterite-rich dustballs. These assemblages were heated by an energy pulse that collapsed and coarsened their rims, but failed to melt their interiors.</t>
  </si>
  <si>
    <t>Univ Calif Los Angeles, Inst Geophys &amp; Planetary Phys, Los Angeles, CA 90095 USA</t>
  </si>
  <si>
    <t>University of California System; University of California Los Angeles</t>
  </si>
  <si>
    <t>Rubin, AE (corresponding author), Univ Calif Los Angeles, Inst Geophys &amp; Planetary Phys, Los Angeles, CA 90095 USA.</t>
  </si>
  <si>
    <t>aerubin@ucla.edu</t>
  </si>
  <si>
    <t>NASA [NNX14AF39G]; NASA [NNX14AF39G, 684555] Funding Source: Federal RePORTER</t>
  </si>
  <si>
    <t>NASA(National Aeronautics &amp; Space Administration (NASA)); NASA(National Aeronautics &amp; Space Administration (NASA))</t>
  </si>
  <si>
    <t>I thank the National Museum of Natural History in Paris for the loan of the Paris thin sections. The paper benefited from reviews and comments by R. H. Hewins, L. J. Chizmadia, and associate editor A. J. Brearley. This research was supported by NASA grant NNX14AF39G (A. E. Rubin).</t>
  </si>
  <si>
    <t>10.1111/maps.12482</t>
  </si>
  <si>
    <t>CQ7DE</t>
  </si>
  <si>
    <t>WOS:000360762300007</t>
  </si>
  <si>
    <t>Barth, A; Canter, M; Van Schaeybroeck, B; Vannitsem, S; Massonnet, F; Zunz, V; Mathiot, P; Alvera-Azcárate, A; Beckers, JM</t>
  </si>
  <si>
    <t>Barth, Alexander; Canter, Martin; Van Schaeybroeck, Bert; Vannitsem, Stephane; Massonnet, Francois; Zunz, Violette; Mathiot, Pierre; Alvera-Azcarate, Aida; Beckers, Jean-Marie</t>
  </si>
  <si>
    <t>Assimilation of sea surface temperature, sea ice concentration and sea ice drift in a model of the Southern Ocean</t>
  </si>
  <si>
    <t>Ensemble Kalman filter; Data assimilation; Sea ice drift; Model output statistics; Southern ocean</t>
  </si>
  <si>
    <t>NORTH-ATLANTIC; KALMAN FILTER; MEDITERRANEAN SEA; ECOSYSTEM MODEL; PART I; VARIABILITY; TRENDS; REANALYSIS; CIRCULATION; SYSTEM</t>
  </si>
  <si>
    <t>Current ocean models have relatively large errors and biases in the Southern Ocean. The aim of this study is to provide a reanalysis from 1985 to 2006 assimilating sea surface temperature, sea ice concentration and sea ice drift. In the following it is also shown how surface winds in the Southern Ocean can be improved using sea ice drift estimated from infrared radiometers. Such satellite observations are available since the late seventies and have the potential to improve the wind forcing before more direct measurements of winds over the ocean are available using scatterometry in the late nineties. The model results are compared to the assimilated data and to independent measurements (the World Ocean Database 2009 and the mean dynamic topography based on observations). The overall improvement of the assimilation is quantified, in particular the impact of the assimilation on the representation of the polar front is discussed. Finally a method to identify model errors in the Antarctic sea ice area is proposed based on Model Output Statistics techniques using a series of potential predictors. This approach provides new directions for model improvements. (C) 2015 Elsevier Ltd. All rights reserved.</t>
  </si>
  <si>
    <t>[Barth, Alexander; Canter, Martin; Alvera-Azcarate, Aida; Beckers, Jean-Marie] Univ Liege, GeoHydrodynam &amp; Environm Res GHER, Liege, Belgium; [Van Schaeybroeck, Bert; Vannitsem, Stephane] KMI, Brussels, Belgium; [Massonnet, Francois; Zunz, Violette] Catholic Univ Louvain, Georges Lemaitre Ctr Earth &amp; Climate Res Earth &amp;, Louvain, Belgium; [Mathiot, Pierre] British Antarctic Survey, Nat Environm Res Council, Cambridge CB3 0ET, England</t>
  </si>
  <si>
    <t>University of Liege; Universite Catholique Louvain; UK Research &amp; Innovation (UKRI); Natural Environment Research Council (NERC); NERC British Antarctic Survey</t>
  </si>
  <si>
    <t>Barth, A (corresponding author), Univ Liege, GeoHydrodynam &amp; Environm Res GHER, Liege, Belgium.</t>
  </si>
  <si>
    <t>a.barth@ulg.ac.be</t>
  </si>
  <si>
    <t>Van Schaeybroeck, Bert/AAP-5118-2021; Vannitsem, Stephane/R-7328-2019; Massonnet, Francois/J-5315-2014</t>
  </si>
  <si>
    <t>Van Schaeybroeck, Bert/0000-0002-9507-7929; Vannitsem, Stephane/0000-0002-1734-1042; Alvera-Azcarate, Aida/0000-0002-0484-4791; Massonnet, Francois/0000-0002-4697-5781; Mathiot, Pierre/0000-0002-2001-0762; Barth, Alexander/0000-0003-2952-5997; Beckers, Jean-Marie/0000-0002-7045-2470</t>
  </si>
  <si>
    <t>federal Belgian Science policy [SD/CA/04A]; Sangoma FP7-SPACE project [283580]; NERC [bas0100033] Funding Source: UKRI</t>
  </si>
  <si>
    <t>federal Belgian Science policy(Belgian Federal Science Policy Office); Sangoma FP7-SPACE project; NERC(UK Research &amp; Innovation (UKRI)Natural Environment Research Council (NERC))</t>
  </si>
  <si>
    <t>This work was funded by the project PREDANTAR (SD/CA/04A) from the federal Belgian Science policy and the Sangoma FP7-SPACE-2011 project (grant 283580). FranA ois Massonnet is a F.R.S. - FNRS Post-Doctoral Fellow and Alexander Barth a F.R.S. - FNRS Research Associate. NCEP/NCAR Reanalysis data provided by the NOAA/OAR/ESRL PSD, Boulder, Colorado, USA, from their Web site at http://www.esrl.noaa.gov/psd/. The UK Met Office, EUMETSAT OSI-SAF and MyOcean are acknowledged for providing the OSTIA/OSI-SAF sea surface temperature and sea ice concentration. We also thank the National Snow and Ice Data Center for providing the ice drift data, the World Ocean Data Base for the in situ temperature and salinity profiles, CNES and CLS for the mean dynamic topography. This is a MARE publication.</t>
  </si>
  <si>
    <t>10.1016/j.ocemod.2015.07.011</t>
  </si>
  <si>
    <t>CR0AP</t>
  </si>
  <si>
    <t>WOS:000360980600003</t>
  </si>
  <si>
    <t>Szyszka-Mroz, B; Pittock, P; Ivanov, AG; Lajoie, G; Hüner, NPA</t>
  </si>
  <si>
    <t>Szyszka-Mroz, Beth; Pittock, Paula; Ivanov, Alexander G.; Lajoie, Gilles; Huener, Norman P. A.</t>
  </si>
  <si>
    <t>The Antarctic Psychrophile Chlamydomonas sp UWO 241 Preferentially Phosphorylates a Photosystem I-Cytochrome b6/f Supercomplex</t>
  </si>
  <si>
    <t>PLANT PHYSIOLOGY</t>
  </si>
  <si>
    <t>CYCLIC ELECTRON-TRANSPORT; HARVESTING-COMPLEX-II; NAD(P)H DEHYDROGENASE COMPLEX; PROTEIN-KINASE STT7; STATE TRANSITIONS; SYNECHOCOCCUS SP; GREEN-ALGA; PSBP PROTEIN; PHOTOSYNTHETIC ACCLIMATION; PLASTOQUINONE REDUCTION</t>
  </si>
  <si>
    <t>Chlamydomonas sp. UWO 241 (UWO 241) is a psychrophilic green alga isolated from Antarctica. A unique characteristic of this algal strain is its inability to undergo state transitions coupled with the absence of photosystem II (PSII) light-harvesting complex protein phosphorylation. We show that UWO 241 preferentially phosphorylates specific polypeptides associated with an approximately 1,000-kD pigment-protein supercomplex that contains components of both photosystem I (PSI) and the cytochrome b(6/f) (Cyt b(6/f)) complex. Liquid chromatography nano-tandem mass spectrometry was used to identify three major phosphorylated proteins associated with this PSI-Cyt b(6/f) supercomplex, two 17-kD PSII subunit P-like proteins and a 70-kD ATP-dependent zinc metalloprotease, FtsH. The PSII subunit P-like protein sequence exhibited 70.6% similarity to the authentic PSII subunit P protein associated with the oxygen-evolving complex of PSII in Chlamydomonas reinhardtii. Tyrosine-146 was identified as a unique phosphorylation site on the UWO 241 PSII subunit P-like polypeptide. Assessment of PSI cyclic electron transport by in vivo P700 photooxidation and the dark relaxation kinetics of P700(+) indicated that UWO 241 exhibited PSI cyclic electron transport rates that were 3 times faster and more sensitive to antimycin A than the mesophile control, Chlamydomonas raudensis SAG 49.72. The stability of the PSI-Cyt b(6/f) supercomplex was dependent upon the phosphorylation status of the PsbP-like protein and the zinc metalloprotease FtsH as well as the presence of high salt. We suggest that adaptation of UWO 241 to its unique low-temperature and high-salt environment favors the phosphorylation of a PSI-Cyt b(6/f) supercomplex to regulate PSI cyclic electron transport rather than the regulation of state transitions through the phosphorylation of PSII light-harvesting complex proteins.</t>
  </si>
  <si>
    <t>[Szyszka-Mroz, Beth; Ivanov, Alexander G.; Huener, Norman P. A.] Univ Western Ontario, Dept Biol, London, ON N6A 5B7, Canada; [Szyszka-Mroz, Beth; Ivanov, Alexander G.; Huener, Norman P. A.] Univ Western Ontario, Biotron Ctr Expt Climate Change Res, London, ON N6A 5B7, Canada; [Pittock, Paula; Lajoie, Gilles] Univ Western Ontario, Dept Biochem, London, ON N6G 2V4, Canada; [Pittock, Paula; Lajoie, Gilles] Univ Western Ontario, Biol Mass Spectrometry Lab, London, ON N6G 2V4, Canada</t>
  </si>
  <si>
    <t>Western University (University of Western Ontario); Western University (University of Western Ontario); Western University (University of Western Ontario); Western University (University of Western Ontario)</t>
  </si>
  <si>
    <t>Hüner, NPA (corresponding author), Univ Western Ontario, Dept Biol, London, ON N6A 5B7, Canada.</t>
  </si>
  <si>
    <t>nhuner@uwo.ca</t>
  </si>
  <si>
    <t>Pittock, Paula/0000-0003-0597-419X; Ivanov, Alexander/0000-0001-7910-5494; Huner, Norman/0000-0001-8723-6961</t>
  </si>
  <si>
    <t>Natural Sciences and Engineering Research Council of Canada Discovery Grant; Canada Foundation for Innovation; Canada Research Chairs</t>
  </si>
  <si>
    <t>Natural Sciences and Engineering Research Council of Canada Discovery Grant(Natural Sciences and Engineering Research Council of Canada (NSERC)); Canada Foundation for Innovation(Canada Foundation for InnovationCGIARSpanish Government); Canada Research Chairs(Canada Research ChairsCGIAR)</t>
  </si>
  <si>
    <t>This work was supported by a Natural Sciences and Engineering Research Council of Canada Discovery Grant, the Canada Foundation for Innovation, and the Canada Research Chairs program (to N.P.A.H.).</t>
  </si>
  <si>
    <t>AMER SOC PLANT BIOLOGISTS</t>
  </si>
  <si>
    <t>ROCKVILLE</t>
  </si>
  <si>
    <t>15501 MONONA DRIVE, ROCKVILLE, MD 20855 USA</t>
  </si>
  <si>
    <t>0032-0889</t>
  </si>
  <si>
    <t>1532-2548</t>
  </si>
  <si>
    <t>PLANT PHYSIOL</t>
  </si>
  <si>
    <t>Plant Physiol.</t>
  </si>
  <si>
    <t>10.1104/pp.15.00625</t>
  </si>
  <si>
    <t>CQ9JM</t>
  </si>
  <si>
    <t>WOS:000360930600054</t>
  </si>
  <si>
    <t>Kim, HW; Wi, AR; Jeon, BW; Lee, JH; Shin, SC; Park, H; Jeon, SJ</t>
  </si>
  <si>
    <t>Kim, Han-Woo; Wi, Ah Ram; Jeon, Byoung Wook; Lee, Jun Hyuck; Shin, Seung Chul; Park, Hyun; Jeon, Sung-Jong</t>
  </si>
  <si>
    <t>Cold adaptation of a psychrophilic chaperonin from Psychrobacter sp and its application for heterologous protein expression</t>
  </si>
  <si>
    <t>BIOTECHNOLOGY LETTERS</t>
  </si>
  <si>
    <t>Chaperonin; Cold adaptation; Esterase; GroEL; Psychrobacter sp.; Psychrophilic bacterium</t>
  </si>
  <si>
    <t>ESCHERICHIA-COLI; CRYSTAL-STRUCTURE; GROEL; SEQUENCE; COMPLEX; BINDING; GENE</t>
  </si>
  <si>
    <t>A chaperonin, PsyGroELS, from the Antarctic psychrophilic bacterium Psychrobacter sp. PAMC21119, was examined for its role in cold adaptation when expressed in a mesophilic Escherichia coli strain. Growth of E. coli harboring PsyGroELS at 10 A degrees C was increased compared to the control strain. A co-expression system using PsyGroELS was developed to increase productivity of the psychrophilic enzyme PsyEst9. PsyEst9 was cloned and expressed using three E. coli variants that co-expressed GroELS from PAMC21119, E. coli, or Oleispira antarctica RB8(T). Co-expression with PsyGroELS was more effective for the production of PsyEst9 compared tothe other chaperonins. PsyGroELS confers cold tolerance to E. coli, and shows potential as an effective co-expression system for the stable production of psychrophilic proteins.</t>
  </si>
  <si>
    <t>[Kim, Han-Woo; Wi, Ah Ram; Jeon, Byoung Wook; Lee, Jun Hyuck; Shin, Seung Chul; Park, Hyun] Korea Polar Res Inst KOPRI, Div Polar Life Sci, Inchon 406840, South Korea; [Kim, Han-Woo; Lee, Jun Hyuck; Park, Hyun] Korea Univ Sci &amp; Technol, Dept Polar Sci, Inchon 406840, South Korea; [Jeon, Sung-Jong] Dong Eui Univ, Dept Biotechnol &amp; Bioengn, Busan 614714, South Korea</t>
  </si>
  <si>
    <t>Korea Polar Research Institute (KOPRI); Dong-Eui University</t>
  </si>
  <si>
    <t>Kim, HW (corresponding author), Korea Polar Res Inst KOPRI, Div Polar Life Sci, 26 Songdomirae Ro, Inchon 406840, South Korea.</t>
  </si>
  <si>
    <t>hwkim@kopri.re.kr</t>
  </si>
  <si>
    <t>Development of Cold-adapted Chaperonin GroEL/ES [PE13110]; Antarctic Organisms: Cold-Adaptation Mechanisms from the Korea Polar Research Institute [PE15070]</t>
  </si>
  <si>
    <t>Development of Cold-adapted Chaperonin GroEL/ES; Antarctic Organisms: Cold-Adaptation Mechanisms from the Korea Polar Research Institute</t>
  </si>
  <si>
    <t>This work was supported by Development of Cold-adapted Chaperonin GroEL/ES (PE13110), and the Antarctic Organisms: Cold-Adaptation Mechanisms (PE15070) funded from the Korea Polar Research Institute.</t>
  </si>
  <si>
    <t>0141-5492</t>
  </si>
  <si>
    <t>1573-6776</t>
  </si>
  <si>
    <t>BIOTECHNOL LETT</t>
  </si>
  <si>
    <t>Biotechnol. Lett.</t>
  </si>
  <si>
    <t>10.1007/s10529-015-1860-y</t>
  </si>
  <si>
    <t>Biotechnology &amp; Applied Microbiology</t>
  </si>
  <si>
    <t>CQ2LO</t>
  </si>
  <si>
    <t>WOS:000360432100020</t>
  </si>
  <si>
    <t>Blossfeld, M; Müller, H; Gerstl, M; Stefka, V; Bouman, J; Göttl, F; Horwath, M</t>
  </si>
  <si>
    <t>Blossfeld, Mathis; Mueller, Horst; Gerstl, Michael; Stefka, Vojtech; Bouman, Johannes; Goettl, Franziska; Horwath, Martin</t>
  </si>
  <si>
    <t>Second-degree Stokes coefficients from multi-satellite SLR</t>
  </si>
  <si>
    <t>JOURNAL OF GEODESY</t>
  </si>
  <si>
    <t>Multi-satellite SLR; Stokes coefficients; C20; Lageos; Equatorial excitation functions; Antarctic ice mass loss</t>
  </si>
  <si>
    <t>PRECISE ORBIT DETERMINATION; EARTHS GRAVITY-FIELD; OCEAN TIDES; MODEL; GRACE; SATELLITES; ALTIMETRY</t>
  </si>
  <si>
    <t>The long wavelength part of the Earth's gravity field can be determined, with varying accuracy, from satellite laser ranging (SLR). In this study, we investigate the combination of up to ten geodetic SLR satellites using iterative variance component estimation. SLR observations to different satellites are combined in order to identify the impact of each satellite on the estimated Stokes coefficients. The combination of satellite-specific weekly or monthly arcs allows to reduce parameter correlations of the single-satellite solutions and leads to alternative estimates of the second-degree Stokes coefficients. This alternative time series might be helpful for assessing the uncertainty in the impact of the low-degree Stokes coefficients on geophysical investigations. In order to validate the obtained time series of second-degree Stokes coefficients, a comparison with the SLR RL05 time series of the Center of Space Research (CSR) is done. This investigation shows that all time series are comparable to the CSR time series. The precision of the weekly/monthly and coefficients is analyzed by comparing mass-related equatorial excitation functions with geophysical model results and reduced geodetic excitation functions. In case of , the annual amplitude and phase of the DGFI solution agrees better with three of four geophysical model combinations than other time series. In case of , all time series agree very well to each other. The impact of on the ice mass trend estimates for Antarctica are compared based on CSR GRACE RL05 solutions, in which different monthly time series are used for replacing. We found differences in the long-term Antarctic ice loss of Gt/year between the GRACE solutions induced by the different SLR time series of CSR and DGFI, which is about 13 % of the total ice loss of Antarctica. This result shows that Antarctic ice mass loss quantifications must be carefully interpreted.</t>
  </si>
  <si>
    <t>[Blossfeld, Mathis; Mueller, Horst; Gerstl, Michael; Bouman, Johannes; Goettl, Franziska] Deutsch Geodat Forsch Inst DGFI, D-80539 Munich, Germany; [Stefka, Vojtech] Acad Sci Czech Republ, Astron Inst, Prague, Czech Republic; [Horwath, Martin] Tech Univ Dresden, Inst Planetare Geodasie, D-01062 Dresden, Germany</t>
  </si>
  <si>
    <t>Czech Academy of Sciences; Astronomical Institute of the Czech Academy of Sciences; Technische Universitat Dresden</t>
  </si>
  <si>
    <t>Blossfeld, M (corresponding author), Deutsch Geodat Forsch Inst DGFI, Alfons Goppel Str 11, D-80539 Munich, Germany.</t>
  </si>
  <si>
    <t>blossfeld@dgfi.badw.de; mueller@dgfi.badw.de; gerstl@dgfi.badw.de; stefka@ig.cas.cz; bouman@dgfi.badw.de; goettl@dgfi.badw.de; martin.horwath@tu-dresden.de</t>
  </si>
  <si>
    <t>Horwath, Martin/ABH-4320-2020; Blossfeld, Mathis/AFI-9068-2022</t>
  </si>
  <si>
    <t>Gottl, Franziska/0000-0003-0006-869X</t>
  </si>
  <si>
    <t>0949-7714</t>
  </si>
  <si>
    <t>1432-1394</t>
  </si>
  <si>
    <t>J GEODESY</t>
  </si>
  <si>
    <t>J. Geodesy</t>
  </si>
  <si>
    <t>10.1007/s00190-015-0819-z</t>
  </si>
  <si>
    <t>Geochemistry &amp; Geophysics; Remote Sensing</t>
  </si>
  <si>
    <t>CQ6JA</t>
  </si>
  <si>
    <t>WOS:000360709400002</t>
  </si>
  <si>
    <t>Chen, JL; Wilson, CR; Li, J; Zhang, ZZ</t>
  </si>
  <si>
    <t>Chen, J. L.; Wilson, C. R.; Li, Jin; Zhang, Zizhan</t>
  </si>
  <si>
    <t>Reducing leakage error in GRACE-observed long-term ice mass change: a case study in West Antarctica</t>
  </si>
  <si>
    <t>GRACE; Gravity; Forward modeling; Leakage error; Antarctica; Mass rate</t>
  </si>
  <si>
    <t>GRAVITY-FIELD; INVERSION; BALANCE; SHEETS</t>
  </si>
  <si>
    <t>Spatial leakage is a major limitation for quantitative interpretation of satellite gravity measurements from the gravity recovery and climate experiment (GRACE). Using synthetic data to simulate ice mass changes in the Amundsen Sea Embayment and Antarctic Peninsula, we analyze quantitatively the effects of a limited range of spherical harmonics (SH) coefficients and additional filtering, which in combination can significantly attenuate signal amplitudes. We present details of a forward modeling algorithm and show that it is capable of removing these biases from GRACE estimates. Examples show how to implement the method by constraining locations of presumed mass changes, or leaving these locations unspecified within a continental region. Our analysis indicates that leakage effects from far-field mass signals (e.g., terrestrial water storage change and glacial melting over other continents) on Antarctic mass rate estimates appear to be negligible. However, leakage from long-term ocean bottom pressure change in the surrounding Antarctic Circumpolar Current regions may bias Antarctic mass rate estimates by up to 20 Gigatonne per year (Gt/year). Experiments based on proxy GRACE measurement noise indicate that the effects of GRACE spatial noise on estimated Antarctic mass rates via constrained and unconstrained forward modelings are 5 and 15 Gt/year, respectively.</t>
  </si>
  <si>
    <t>[Chen, J. L.; Wilson, C. R.] Univ Texas Austin, Ctr Space Res, Austin, TX 78712 USA; [Wilson, C. R.] Univ Texas Austin, Dept Geol Sci, Jackson Sch Geosci, Austin, TX 78712 USA; [Li, Jin] Chinese Acad Sci, Shanghai Astron Observ, Shanghai, Peoples R China; [Zhang, Zizhan] Chinese Acad Sci, State Key Lab Geodesy &amp; Earths Dynam, Inst Geodesy &amp; Geophys, Wuhan, Peoples R China</t>
  </si>
  <si>
    <t>University of Texas System; University of Texas Austin; University of Texas System; University of Texas Austin; Chinese Academy of Sciences; Shanghai Astronomical Observatory, CAS; Chinese Academy of Sciences; Innovation Academy for Precision Measurement Science &amp; Technology, CAS</t>
  </si>
  <si>
    <t>Chen, JL (corresponding author), Univ Texas Austin, Ctr Space Res, Austin, TX 78712 USA.</t>
  </si>
  <si>
    <t>chen@csr.utexas.edu</t>
  </si>
  <si>
    <t>Zhang, Zizhan/F-5705-2016</t>
  </si>
  <si>
    <t>Chen, Jianli/0000-0001-5405-8441</t>
  </si>
  <si>
    <t>NSF OPP [ANT-1043750]; NASA GRACE ESI [NNX12AJ97G, NNX12AM86G]; CNSF [41228004, 41204017, 41274025]; National Key Basic Research Program of China (973 Program) [2012CB957703]; Office of Polar Programs (OPP); Directorate For Geosciences [1043750] Funding Source: National Science Foundation; NASA [43437, NNX12AM86G, 69722, NNX12AJ97G] Funding Source: Federal RePORTER</t>
  </si>
  <si>
    <t>NSF OPP(National Science Foundation (NSF)NSF - Directorate for Geosciences (GEO)); NASA GRACE ESI; CNSF(National Natural Science Foundation of China (NSFC)); National Key Basic Research Program of China (973 Program)(National Basic Research Program of China); Office of Polar Programs (OPP); Directorate For Geosciences(National Science Foundation (NSF)NSF - Directorate for Geosciences (GEO)); NASA(National Aeronautics &amp; Space Administration (NASA))</t>
  </si>
  <si>
    <t>The authors are grateful to two anonymous reviewers and the Associated Editor (Pavel Ditmar) for their insightful comments, which have led to improved presentation of the results. The authors would like to thank Andreas Guntner of the Helmholtz Centre Potsdam for providing the WGHM model data. This research was supported by NSF OPP (ANT-1043750), NASA GRACE &amp; ESI (NNX12AJ97G, NNX12AM86G), CNSF (Grants: 41228004, 41204017, 41274025), and National Key Basic Research Program of China (973 Program) (2012CB957703).</t>
  </si>
  <si>
    <t>10.1007/s00190-015-0824-2</t>
  </si>
  <si>
    <t>WOS:000360709400006</t>
  </si>
  <si>
    <t>Ojima, M; Takahashi, KT; Tanimura, A; Odate, T; Fukuchi, M</t>
  </si>
  <si>
    <t>Ojima, Motoha; Takahashi, Kunio T.; Tanimura, Atsushi; Odate, Tsuneo; Fukuchi, Mitsuo</t>
  </si>
  <si>
    <t>Spatial distribution of micro- and meso-zooplankton in the seasonal ice zone of east Antarctica during 1983-1995</t>
  </si>
  <si>
    <t>POLAR SCIENCE</t>
  </si>
  <si>
    <t>Seasonal ice zone; Distribution patterns; Micro- and meso-zooplankton</t>
  </si>
  <si>
    <t>FORAMINIFER NEOGLOBOQUADRINA-PACHYDERMA; SOUTHERN-OCEAN; COMMUNITY STRUCTURE; DISTRIBUTION PATTERNS; SEA ICE; ABUNDANCE; COPEPODS; PLANKTON; SUMMER; MACROZOOPLANKTON</t>
  </si>
  <si>
    <t>Historically, most studies about the geographic distribution of zooplankton in the Southern Ocean have been focused on the macro-sized zooplankton (2-20 mm), such as the Antarctic krill and larger-sized copepods. On the other hand, despite the high abundance and biomass, the distribution patterns of micro- (20-200 mu m) and meso-sized (200 mu m-2 mm) zooplankton communities are little understood. In this study, we investigated the distribution patterns of larger micro-zooplankton (100-200 mu m) and meso-zooplankton communities in the seasonal ice zone in the Cosmonaut Sea near Syowa Station and examined the effects of environmental factors and water properties on these communities. The investigation was based on samples collected with 100 mm mesh nets, which are appropriate to estimate the quantitative abundance and community structure of micro- and meso-zooplankton species between 1983 and 1995. Cluster analysis of the samples revealed that the distribution of macro-zooplankton species was influenced by the temperature and salinity of ocean fronts. Among the meso-zooplankton, cyclopoid and small calanoid copepods tended to be ubiquitously distributed. However, among the micro-zooplankton, the distributions of foraminiferans and tintinnids were associated with sea ice extent. The distribution of micro- and meso-zooplankton communities could be used to estimate the impact of environmental changes on the marine ecosystem in the Southern Ocean. (C) 2015 Elsevier B.V. and NIPR. All rights reserved.</t>
  </si>
  <si>
    <t>[Ojima, Motoha; Takahashi, Kunio T.; Tanimura, Atsushi; Odate, Tsuneo; Fukuchi, Mitsuo] Grad Univ Adv Studies SOKENDAI, Tachikawa, Tokyo 1908518, Japan; [Takahashi, Kunio T.; Tanimura, Atsushi; Odate, Tsuneo; Fukuchi, Mitsuo] Natl Inst Polar Res, Tachikawa, Tokyo 1908518, Japan</t>
  </si>
  <si>
    <t>Graduate University for Advanced Studies - Japan; Research Organization of Information &amp; Systems (ROIS); National Institute of Polar Research (NIPR) - Japan</t>
  </si>
  <si>
    <t>Ojima, M (corresponding author), Grad Univ Adv Studies SOKENDAI, 10-3 Midori Cho, Tachikawa, Tokyo 1908518, Japan.</t>
  </si>
  <si>
    <t>ojima.motoha@nipr.ac.jp</t>
  </si>
  <si>
    <t>Japan Society for the Promotion of Science (JSPS) KAKENHI grant [23310013]; Grants-in-Aid for Scientific Research [23310013] Funding Source: KAKEN</t>
  </si>
  <si>
    <t>Japan Society for the Promotion of Science (JSPS)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</si>
  <si>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work was supported by the Japan Society for the Promotion of Science (JSPS) KAKENHI grant number 23310013. We would like to thank the officers and crew of the icebreakers Fuji and Shirase 5002 and the expedition members of the Japanese Antarctic Research Expedition (JARE) cruises for collecting the zooplankton samples and environmental data.</t>
  </si>
  <si>
    <t>1873-9652</t>
  </si>
  <si>
    <t>1876-4428</t>
  </si>
  <si>
    <t>POLAR SCI</t>
  </si>
  <si>
    <t>Polar Sci.</t>
  </si>
  <si>
    <t>10.1016/j.polar.2015.05.002</t>
  </si>
  <si>
    <t>Ecology; Geosciences, Multidisciplinary</t>
  </si>
  <si>
    <t>Environmental Sciences &amp; Ecology; Geology</t>
  </si>
  <si>
    <t>CQ4HK</t>
  </si>
  <si>
    <t>WOS:000360565200004</t>
  </si>
  <si>
    <t>McGarvey, R; Punt, AE; Matthews, JM; Feenstra, JE; Gardner, C; Burch, P; Hartmann, K; Linnane, A</t>
  </si>
  <si>
    <t>McGarvey, Richard; Punt, Andre E.; Matthews, Janet M.; Feenstra, John E.; Gardner, Caleb; Burch, Paul; Hartmann, Klaas; Linnane, Adrian</t>
  </si>
  <si>
    <t>Comparing size-limit and quota policies to increase economic yield in a lobster fishery</t>
  </si>
  <si>
    <t>CANADIAN JOURNAL OF FISHERIES AND AQUATIC SCIENCES</t>
  </si>
  <si>
    <t>SOUTHERN ROCK LOBSTER; JASUS-EDWARDSII; WESTERN-AUSTRALIA; RULE</t>
  </si>
  <si>
    <t>To advance economic and sustainability objectives in a lobster fishery, four broadly different management policies were evaluated: minimum and maximum size limits, constant catch quotas, and quota set yearly in proportion to the previous year's catch per unit effort (CPUE). The performance of each policy was evaluated based on its discounted economic yield, together with egg production, catch, and catch stability. Maximum size limits performed poorly for all indicators. Raising the minimum size increased economic yield by improving yield-per-recruit. Output controls, both constant and dynamic, uniformly outperformed size limits, leading to substantially higher economic yield and egg production. A dynamic harvest control rule, setting quota in proportion to the previous year's catch rate, achieved the highest economic yield, catch, and egg production over 20 years. The optimal (30%) exploitation rate under this policy produced a 182% improvement in economic yield compared with a baseline strategy of only minimum size, but led to a mean year-to-year change in quota of 11.5% in response to yearly variable recruitment. This quota-setting management regime is straightforward to implement, using only catch rate as input. When absolute exploitation rate estimates are not available, this quota-setting harvest control rule can be constructed using only a target level of effort.</t>
  </si>
  <si>
    <t>[McGarvey, Richard; Matthews, Janet M.; Feenstra, John E.; Burch, Paul; Linnane, Adrian] SARDI Aquat Sci, Henley Beach, SA 5022, Australia; [Punt, Andre E.] CSIRO, Oceans &amp; Atmosphere Flagship, Hobart, Tas 7001, Australia; [Punt, Andre E.] Univ Washington, Sch Aquat &amp; Fishery Sci, Seattle, WA 98195 USA; [Gardner, Caleb; Hartmann, Klaas] Univ Tasmania, Inst Marine &amp; Antarctic Studies, Hobart, Tas 7001, Australia</t>
  </si>
  <si>
    <t>Commonwealth Scientific &amp; Industrial Research Organisation (CSIRO); University of Washington; University of Washington Seattle; University of Tasmania</t>
  </si>
  <si>
    <t>McGarvey, R (corresponding author), SARDI Aquat Sci, POB 120, Henley Beach, SA 5022, Australia.</t>
  </si>
  <si>
    <t>Richard.McGarvey@sa.gov.au</t>
  </si>
  <si>
    <t>Hartmann, Klaas/B-3991-2008; Burch, Paul/GLU-8548-2022; Gardner, Caleb/I-7086-2013; Burch, Paul/J-7641-2014</t>
  </si>
  <si>
    <t>Gardner, Caleb/0000-0003-0324-4337; Burch, Paul/0000-0002-9853-462X; Feenstra, John/0000-0001-8956-5638</t>
  </si>
  <si>
    <t>Australian Seafood CRC [2009/714.20]; Fisheries Research and Development Corporation (FRDC); lobster fishing industries of Tasmania and South Australia via SRL Ltd.</t>
  </si>
  <si>
    <t>Australian Seafood CRC(Australian GovernmentDepartment of Industry, Innovation and ScienceCooperative Research Centres (CRC) Programme); Fisheries Research and Development Corporation (FRDC)(Fisheries R&amp;D Corp); lobster fishing industries of Tasmania and South Australia via SRL Ltd.</t>
  </si>
  <si>
    <t>The work was supported by the Australian Seafood CRC (Project No. 2009/714.20) and the Fisheries Research and Development Corporation (FRDC). The lobster fishing industries of Tasmania and South Australia contributed part funding for this work via SRL Ltd. Direct fisher advice informing model development came from Roger Rowe, Trent Gregory, and Richard Leach in the Northern Zone and Joel Redman and Dave Mansur in the Southern Zone. Justin Phillips, Kyri Toumazos, and Gary Morgan provided advice on project work and assisted liaison with industry. Industry members of the Southern Zone Harvest Strategy Working Group developed the method of tabulating the harvest control rule of TACC to CPUE based on a target level of fishing effort. EconSearch provided data on fishing costs, with Stacey Paterson assisting the breakdown of fixed and variable costs and with additional support from Lisa Rippin and Julian Morison. Annabel Jones and Alice Fistr, the PIRSA lobster fishery managers, assisted with communication and the two industry workshops. Ian Cartwright acted as facilitator for the industry workshops. We also thank two anonymous reviewers who supplied valuable comments that improved the manuscript.</t>
  </si>
  <si>
    <t>CANADIAN SCIENCE PUBLISHING, NRC RESEARCH PRESS</t>
  </si>
  <si>
    <t>0706-652X</t>
  </si>
  <si>
    <t>1205-7533</t>
  </si>
  <si>
    <t>CAN J FISH AQUAT SCI</t>
  </si>
  <si>
    <t>Can. J. Fish. Aquat. Sci.</t>
  </si>
  <si>
    <t>10.1139/cjfas-2014-0405</t>
  </si>
  <si>
    <t>CQ0OZ</t>
  </si>
  <si>
    <t>WOS:000360297500002</t>
  </si>
  <si>
    <t>Hilborn, R; Fulton, EA; Green, BS; Hartmann, K; Tracey, SR; Watson, RA</t>
  </si>
  <si>
    <t>Hilborn, Ray; Fulton, Elizabeth A.; Green, Bridget S.; Hartmann, Klaas; Tracey, Sean R.; Watson, Reg A.</t>
  </si>
  <si>
    <t>When is a fishery sustainable?</t>
  </si>
  <si>
    <t>INDIVIDUAL TRANSFERABLE QUOTAS; POPULATION-DYNAMICS; REGIME SHIFTS; TRAWL FISHERY; TRADE-OFFS; SCALE FLUCTUATIONS; MANAGEMENT OPTIONS; SALMON POPULATION; MARINE ECOSYSTEMS; MULTIPLE STOCKS</t>
  </si>
  <si>
    <t>Despite the many scientific and public discussions on the sustainability of fisheries, there are still great differences in both perception and definition of the concept. Most authors now suggest that sustainability is best defined as the ability to sustain goods and services to human society, with social and economic factors to be considered along with environmental impacts. The result has been that each group (scientists, economists, non-governmental organizations (NGOs), etc.) defines sustainable seafood using whatever criteria it considers most important, and the same fish product may be deemed sustainable by one group and totally unsustainable by another one. We contend, however, that there is now extensive evidence that an ecological focus alone does not guarantee long-term sustainability of any form and that seafood sustainability must consistently take on a socio-ecological perspective if it is to be effective across cultures and in the future. The sustainability of seafood production depends not on the abundance of a fish stock, but on the ability of the fishery management system to adjust fishing pressure to appropriate levels. While there are scientific standards to judge the sustainability of food production, once we examine ecological, social, and economic aspects of sustainability, there is no unique scientific standard.</t>
  </si>
  <si>
    <t>[Hilborn, Ray] Univ Washington, Sch Fisheries &amp; Aquat Sci, Seattle, WA 98195 USA; [Fulton, Elizabeth A.] CSIRO, Oceans &amp; Atmosphere Flagship, Hobart, Tas 7001, Australia; [Fulton, Elizabeth A.] Univ Tasmania, Ctr Marine Socioecol, Hobart, Tas 7001, Australia; [Green, Bridget S.; Hartmann, Klaas; Tracey, Sean R.; Watson, Reg A.] Univ Tasmania, Inst Marine &amp; Antarctic Studies, Hobart, Tas 7001, Australia</t>
  </si>
  <si>
    <t>University of Washington; University of Washington Seattle; Commonwealth Scientific &amp; Industrial Research Organisation (CSIRO); University of Tasmania; University of Tasmania</t>
  </si>
  <si>
    <t>Hilborn, R (corresponding author), Univ Washington, Sch Fisheries &amp; Aquat Sci, Box 355020, Seattle, WA 98195 USA.</t>
  </si>
  <si>
    <t>rayh@u.washington.edu</t>
  </si>
  <si>
    <t>Green, Bridget S/G-3368-2014; Fulton, Beth/AAJ-1398-2021; Hartmann, Klaas/B-3991-2008; Watson, Reg A/F-4850-2012; Fulton, Beth/A-2871-2008; Tracey, Sean/J-7446-2014</t>
  </si>
  <si>
    <t>Fulton, Beth/0000-0002-5904-7917; Watson, Reg A/0000-0001-7201-8865; Tracey, Sean/0000-0002-6735-5899</t>
  </si>
  <si>
    <t>National Science Foundation [1041570]; Australian Research Council Discovery project [DP140101377]; Australian National Network of Marine Science (ANNiMS) through Australian Commonwealth Department of Education, Employment and Workplace Relations; Directorate For Geosciences [1114918] Funding Source: National Science Foundation; Division Of Ocean Sciences; Directorate For Geosciences [1041570] Funding Source: National Science Foundation</t>
  </si>
  <si>
    <t>National Science Foundation(National Science Foundation (NSF)); Australian Research Council Discovery project(Australian Research Council); Australian National Network of Marine Science (ANNiMS) through Australian Commonwealth Department of Education, Employment and Workplace Relations; Directorate For Geosciences(National Science Foundation (NSF)NSF - Directorate for Geosciences (GEO)); Division Of Ocean Sciences; Directorate For Geosciences(National Science Foundation (NSF)NSF - Directorate for Geosciences (GEO))</t>
  </si>
  <si>
    <t>RH was supported by a grant from the National Science Foundation (award 1041570). The authors acknowledge funding support from the Australian Research Council Discovery project support (DP140101377). We also thank the Australian National Network of Marine Science (ANNiMS) funded through the Australian Commonwealth Department of Education, Employment and Workplace Relations. We thank Jake Rice for numerous constructive suggestions.</t>
  </si>
  <si>
    <t>10.1139/cjfas-2015-0062</t>
  </si>
  <si>
    <t>WOS:000360297500014</t>
  </si>
  <si>
    <t>Acharya, SS; Panigrahi, MK; Gupta, AK; Tripathy, S</t>
  </si>
  <si>
    <t>Acharya, Shiba Shankar; Panigrahi, Mruganka K.; Gupta, Anil K.; Tripathy, Subhasish</t>
  </si>
  <si>
    <t>Response of trace metal redox proxies in continental shelf environment: The Eastern Arabian Sea scenario</t>
  </si>
  <si>
    <t>CONTINENTAL SHELF RESEARCH</t>
  </si>
  <si>
    <t>Arabian Sea; Redox condition; Trace elements; Oxygen minimum zone; Seasonal variation</t>
  </si>
  <si>
    <t>GULF-OF-CALIFORNIA; ORGANIC-MATTER; OXYGEN-MINIMUM; CHEMICAL INDEX; GEOCHEMICAL CHARACTERISTICS; SURFICIAL SEDIMENTS; TROPICAL RIVER; ALTERATION CIA; WEST-COAST; PRODUCTIVITY</t>
  </si>
  <si>
    <t>Major and trace elements (viz. Al, Si, Ca, Na, Fe, Ti, K, S, Mn, V, Cu, Zn, Mo, Ni, Th and U) along with organic carbon and nitrogen content were analyzed in the sediment samples of a gravity core (GC-08/SK-291; 12 degrees 34'N: 74 degrees 11.47'E) which lies within the upper edge of intense oxygen minimum zone (OMZ) of Eastern Arabian Sea. The aim was to determine how the geochemistry of the redox-sensitive elements (viz. V, Cu, Zn, Mo, Ni, and U) was influenced by the suboxic water column and bottom water condition and whether the sediments show a unique signature of such redox condition. The weathering intensity was also determined and the provenance of sediments has been inferred to discern the uniformity in sediment supply in the studied location. The chemical index of alteration (CIA), Chemical Index of Weathering (CIW) and Al-Ti-Zr ternary diagrams suggest low to moderate source area weathering of granodioritic to tonalitic source rock composition, which is similar to the regional geology of the continental mass nearby. The relative variations of major elements such as Si, Al and Ca suggest that the terrigenous fractions in the studied sediments are diluted by marine carbonates, unlike by biogenic opal, which is the case for most shelf regions of the world experiencing upwelling. The relative distributions of total organic carbon (TOC), total sulfur (TS) and total nitrogen (TN) suggest that the organic matter in the studied sediments is primarily of terrestrial origin irrespective of its presence in the deeper part of the shelf. We adopted the multi-proxy procedure for analyzing the redox condition prevalent during the deposition of sediments (e.g., enrichment of redox-sensitive elements, authigenic U, and ratios of trace metals such as U/Th, V/Cr, V/Mo, Ni/Co and (Cu+Mo)/Zn). The most striking result is a fully oxic signature reflected consistently by all redox proxies despite the occurrence of studied location within the OMZ of Arabian Sea. The redox proxies estimated from the bulk composition as well as the marine fraction of trace metals, do not reveal any significant difference in the depositional condition. The seasonal variation of O-2 concentration seems to be the dominant factor which controls the response of the trace metals to the water column anoxia in the studied location. The major implication of the present study is that the trace element redox proxies alone are not always suitable to discern the redox condition of deposition in continental shelf sediments which are characterized by high sediment input from continents and significant seasonal variation of O-2 concentration in the water column. (C) 2015 Elsevier Ltd. All rights reserved.</t>
  </si>
  <si>
    <t>[Acharya, Shiba Shankar; Panigrahi, Mruganka K.; Gupta, Anil K.; Tripathy, Subhasish] IIT Kharagpur, Dept Geol &amp; Geophys, Wb 721302, India</t>
  </si>
  <si>
    <t>Indian Institute of Technology System (IIT System); Indian Institute of Technology (IIT) - Kharagpur</t>
  </si>
  <si>
    <t>Panigrahi, MK (corresponding author), IIT Kharagpur, Dept Geol &amp; Geophys, Wb 721302, India.</t>
  </si>
  <si>
    <t>mkp@gg.iitkgp.ernet.in</t>
  </si>
  <si>
    <t>Acharya, Shiba/AIA-4188-2022</t>
  </si>
  <si>
    <t>Acharya, Shiba Shankar/0000-0003-0397-0494; Gupta, Anil/0000-0003-0536-3911</t>
  </si>
  <si>
    <t>Ministry of Earth Sciences, Government of India [MoES/16/49/09/RDEAS]; Ministry of HRD, Government of India through the host Institute</t>
  </si>
  <si>
    <t>Ministry of Earth Sciences, Government of India(Ministry of Earth Science (MoES), Government of India); Ministry of HRD, Government of India through the host Institute</t>
  </si>
  <si>
    <t>We acknowledge support from the Ministry of Earth Sciences, Government of India in the form of a research project (Sanction number MoES/16/49/09/RDEAS). SSA acknowledges financial support from the Ministry of HRD, Government of India in the form a research scholarship available through the host Institute. The Chemical Engineering Department of the host Institute is acknowledged for instrumental support for bulk chemical analysis. We are greatly thankful to the National Centre for Antarctic and Oceanic Research for allowing us (MKP and SSA) to be a part of the cruise SK 291. We thank Nicolas Tribovillard and an anonymous reviewer of the Journal for their critical review that helped us to better our understanding and also the quality of our presentation. We are indebted to Tim Jickells, Associate Editor, for his supportive role in handling our manuscript.</t>
  </si>
  <si>
    <t>0278-4343</t>
  </si>
  <si>
    <t>1873-6955</t>
  </si>
  <si>
    <t>CONT SHELF RES</t>
  </si>
  <si>
    <t>Cont. Shelf Res.</t>
  </si>
  <si>
    <t>10.1016/j.csr.2015.07.008</t>
  </si>
  <si>
    <t>CP9YW</t>
  </si>
  <si>
    <t>WOS:000360252800007</t>
  </si>
  <si>
    <t>Leather, SR</t>
  </si>
  <si>
    <t>Leather, Simon R.</t>
  </si>
  <si>
    <t>Influential entomology: a short review of the scientific, societal, economic and educational services provided by entomology</t>
  </si>
  <si>
    <t>ECOLOGICAL ENTOMOLOGY</t>
  </si>
  <si>
    <t>Cultural; economics; education; entomology; entomophagy; history; influence; medicine; research; society</t>
  </si>
  <si>
    <t>SPECIES-AREA RELATIONSHIPS; HOST PLANTS; ACARI PHYTOSEIIDAE; BRITISH TREES; ECOSYSTEM; INSECTS; ISLANDS; EVOLUTIONARY; HERBIVORES; DIVERSITY</t>
  </si>
  <si>
    <t>1. Entomology as a written science probably originated with the ancient Greeks; Aristotle being regarded as the first published entomologist. It was, however, not until the Renaissance and the invention of the microscope that any further advances were made. The formation of national entomological societies in the early and mid-19th century heralded the blossoming of entomology as a scientific discipline. 2. The role of entomology in the development of ecology as a science is often overlooked, but important concepts in ecology such as the role and types of mimicry, the theoretical development of population dynamics and island biogeography all have their roots in the pioneering work of entomologists. 3. Insect products have long played a part in the economies of human civilizations stretching back several thousand years from the development of the silk industry in China to modern day uses of the excretory products of Hemiptera such as cochineal and shellac. 4. The study of entomology has had indirect applications in human medicine and genetics, such as the development of cryostorage techniques based on an understanding of the freeze-avoidance strategies of Antarctic insects to the direct use of Dipteran larvae in maggot debridement therapy. 5. Insects and their products have been used as sources of food by humans since before written records existed, the use of honey for example, being recorded in pre-historic cave drawings. Insects as recognisable entities such as lepidopteran larvae and adult locusts, play a significant role in the diets of some cultures, but increasingly, the idea that processed insect material can be used as mainstream human and livestock food is gaining ground with a number of commercial enterprises being formed. 6. Culturally insects have long inspired humans, from ancient Egypt and their veneration of scarab beetles, portrayal of insects in ancient Mesoamerican art, in European painting from the medieval period onwards and in literature, poetry, and the performing arts including cinema and music. Although the depiction of insects has not always been positive, it is undeniable that they have had a marked influence on human culture. 7. Insects have also influenced engineers, with their form and function inspiring the development of airless tyres, desert water collection devices and unmanned aerial vehicles.</t>
  </si>
  <si>
    <t>[Leather, Simon R.] Harper Adams Univ, Crop &amp; Environm Sci, Newport TF10 8NB, Gwent, Wales</t>
  </si>
  <si>
    <t>Harper Adams University</t>
  </si>
  <si>
    <t>Leather, SR (corresponding author), Harper Adams Univ, Dept Crop &amp; Environm Sci, Newport TF10 8NB, Gwent, Wales.</t>
  </si>
  <si>
    <t>sleather@harper-adams.ac.uk</t>
  </si>
  <si>
    <t>Leather, Simon R/H-7921-2019</t>
  </si>
  <si>
    <t>Leather, Simon R/0000-0003-3007-8514</t>
  </si>
  <si>
    <t>0307-6946</t>
  </si>
  <si>
    <t>1365-2311</t>
  </si>
  <si>
    <t>ECOL ENTOMOL</t>
  </si>
  <si>
    <t>Ecol. Entomol.</t>
  </si>
  <si>
    <t>10.1111/een.12207</t>
  </si>
  <si>
    <t>CP9NH</t>
  </si>
  <si>
    <t>WOS:000360220600005</t>
  </si>
  <si>
    <t>Nydahl, AC; King, CK; Wasley, J; Jolley, DF; Robinson, SA</t>
  </si>
  <si>
    <t>Nydahl, Anna C.; King, Catherine K.; Wasley, Jane; Jolley, Dianne F.; Robinson, Sharon A.</t>
  </si>
  <si>
    <t>Toxicity of fuel-contaminated soil to Antarctic moss and terrestrial algae</t>
  </si>
  <si>
    <t>ENVIRONMENTAL TOXICOLOGY AND CHEMISTRY</t>
  </si>
  <si>
    <t>Chlorophyll fluorescence; Ecological risk assessment; Petroleum hydrocarbon; Soil contamination; Toxic effect</t>
  </si>
  <si>
    <t>CHLOROPHYLL FLUORESCENCE; SPILLS; BIODEGRADATION; ATTENUATION; EVAPORATION; RESPONSES; ISLANDS; IMPACT; PLANTS; WATER</t>
  </si>
  <si>
    <t>Fuel pollution is a significant problem in Antarctica, especially in areas where human activities occur, such as at scientific research stations. Despite this, there is little information on the effects of petroleum hydrocarbons on Antarctic terrestrial biota. The authors demonstrate that the Antarctic mosses Bryum pseudotriquetrum, Schistidium antarctici, and Ceratodon purpureus, and the Antarctic terrestrial alga Prasiola crispa are relatively tolerant to Special Antarctic Blend (SAB) fuel-contaminated soil (measured as total petroleum hydrocarbons). Freshly spiked soils were more toxic to all species than were aged soils containing degraded fuel, as measured by photosynthetic efficiency (variable fluorescence/maximum fluorescence [Fv/Fm]), pigment content, and visual observations. Concentrations that caused 20% inhibition ranged from 16600 mg/kg to 53200 mg/kg for freshly spiked soils and from 30100 mg/kg to 56200 mg/kg for aged soils. The photosynthetic efficiency of C. purpureus and S. antarctici was significantly inhibited by exposure to freshly spiked soils with lowest-observed-effect concentrations of 27900 mg/kg and 40400 mg/kg, respectively. Prasiola crispa was the most sensitive species to freshly spiked soils (Fv/Fm lowest-observed-effect concentration 6700mg/kg), whereas the Fv/Fm of B. pseudotriquetrum was unaffected by exposure to SAB fuel even at the highest concentration tested (62900 mg/kg). Standard toxicity test methods developed for nonvascular plants can be used in future risk assessments, and sensitivity data will contribute to the development of remediation targets for petroleum hydrocarbons to guide remediation activities in Antarctica. Environ Toxicol Chem 2015;34:2004-2012. (c) 2015 SETAC</t>
  </si>
  <si>
    <t>[Nydahl, Anna C.; Robinson, Sharon A.] Univ Wollongong, Sch Biol Sci, Wollongong, NSW, Australia; [King, Catherine K.; Wasley, Jane] Australian Antarctic Div, Terr &amp; Nearshore Ecosyst Program, Kingston, Tas, Australia; [Jolley, Dianne F.] Univ Wollongong, Sch Chem, Wollongong, NSW, Australia</t>
  </si>
  <si>
    <t>University of Wollongong; Australian Antarctic Division; University of Wollongong</t>
  </si>
  <si>
    <t>Nydahl, AC (corresponding author), Univ Wollongong, Sch Biol Sci, Wollongong, NSW, Australia.</t>
  </si>
  <si>
    <t>an707@uowmail.edu.au</t>
  </si>
  <si>
    <t>King, Catherine K/G-7059-2017; Robinson, Sharon/B-2683-2008; Wasley, Jane/KHX-4880-2024; Jolley, Dianne/D-1597-2009</t>
  </si>
  <si>
    <t>King, Catherine K/0000-0003-3356-0381; Robinson, Sharon/0000-0002-7130-9617; Wasley, Jane/0000-0001-9379-664X; Jolley, Dianne/0000-0003-1028-1603</t>
  </si>
  <si>
    <t>Australian Antarctic Science [4100, 4046]</t>
  </si>
  <si>
    <t>Australian Antarctic Science</t>
  </si>
  <si>
    <t>Funding for the present study was provided through Australian Antarctic Science grants 4100 (to C.K. King) and 4046 (to S.A. Robinson). Photographs in Figures 1 and 2 were taken by A. Netherwood. L. Wise, S. Poynter, and L. Richardson are gratefully acknowledged for assistance with total petroleum hydrocarbon analysis; G. Macoustra for technical assistance with soil preparation; and T. Raymond for providing useful comments on earlier drafts of the manuscript. We thank 2 journal reviewers for their constructive comments that helped to improve the manuscript.</t>
  </si>
  <si>
    <t>0730-7268</t>
  </si>
  <si>
    <t>1552-8618</t>
  </si>
  <si>
    <t>ENVIRON TOXICOL CHEM</t>
  </si>
  <si>
    <t>Environ. Toxicol. Chem.</t>
  </si>
  <si>
    <t>10.1002/etc.3021</t>
  </si>
  <si>
    <t>Environmental Sciences; Toxicology</t>
  </si>
  <si>
    <t>Environmental Sciences &amp; Ecology; Toxicology</t>
  </si>
  <si>
    <t>CQ3KJ</t>
  </si>
  <si>
    <t>WOS:000360500600014</t>
  </si>
  <si>
    <t>Grzesiak, J; Górniak, D; Swiatecki, A; Aleksandrzak-Piekarczyk, T; Szatraj, K; Zdanowski, MK</t>
  </si>
  <si>
    <t>Grzesiak, Jakub; Gorniak, Dorota; Swiatecki, Aleksander; Aleksandrzak-Piekarczyk, Tamara; Szatraj, Katarzyna; Zdanowski, Marek K.</t>
  </si>
  <si>
    <t>Microbial community development on the surface of Hans and Werenskiold Glaciers (Svalbard, Arctic): a comparison</t>
  </si>
  <si>
    <t>EXTREMOPHILES</t>
  </si>
  <si>
    <t>Tidewater glacier; Glacial ice; Cryoconite holes; Microbial community; Microbial abundance; Snow line; Photoautotroph</t>
  </si>
  <si>
    <t>CRYOCONITE HOLES; BACTERIAL COMMUNITIES; HANSBREEN; ECOLOGY; DIVERSITY; NITROGEN; SOILS; WATER; MASS</t>
  </si>
  <si>
    <t>Surface ice and cryoconite holes of two types of polythermal Svalbard Glaciers (Hans Glacier-grounded tidewater glacier and Werenskiold Glacier-land-based valley glacier) were investigated in terms of chemical composition, microbial abundance and diversity. Gathered data served to describe supraglacial habitats and to compare microbe-environment interactions on those different type glaciers. Hans Glacier samples displayed elevated nutrient levels (DOC, nitrogen and seston) compared to Werenskiold Glacier. Adjacent tundra formations, bird nesting sites and marine aerosol were candidates for allochtonic enrichment sources. Microbial numbers were comparable on both glaciers, with surface ice containing cells in the range of 10(4) mL(-1) and cryoconite sediment 10(8) g(-1) dry weight. Denaturating gradient gel electrophoresis band-based clustering revealed differences between glaciers in terms of dominant bacterial taxa structure. Microbial community on Werenskiold Glacier benefited from the snow-released substances. On Hans Glacier, this effect was not as pronounced, affecting mainly the photoautotrophs. Over-fertilization of Hans Glacier surface was proposed as the major factor, desensitizing the microbial community to the snow melt event. Nitrogen emerged as a limiting factor in surface ice habitats, especially to Eukaryotic algae.</t>
  </si>
  <si>
    <t>[Grzesiak, Jakub; Zdanowski, Marek K.] Polish Acad Sci, Inst Biochem &amp; Biophys, Dept Antarctic Biol, PL-02106 Warsaw, Poland; [Gorniak, Dorota; Swiatecki, Aleksander] Univ Warmia &amp; Mazury, Dept Microbiol, PL-10719 Olsztyn, Poland; [Aleksandrzak-Piekarczyk, Tamara; Szatraj, Katarzyna] Polish Acad Sci, Inst Biochem &amp; Biophys, Dept Microbial Biochem, PL-02106 Warsaw, Poland; [Zdanowski, Marek K.] Polish Acad Sci, Inst Geophys, PL-01452 Warsaw, Poland</t>
  </si>
  <si>
    <t>Polish Academy of Sciences; Institute of Biochemistry &amp; Biophysics - Polish Academy of Sciences; University of Warmia &amp; Mazury; Polish Academy of Sciences; Institute of Biochemistry &amp; Biophysics - Polish Academy of Sciences; Polish Academy of Sciences; Institute of Geophysics of the Polish Academy of Sciences</t>
  </si>
  <si>
    <t>Grzesiak, J (corresponding author), Polish Acad Sci, Inst Biochem &amp; Biophys, Dept Antarctic Biol, Pawinskiego 5a, PL-02106 Warsaw, Poland.</t>
  </si>
  <si>
    <t>jgrzesiak@arctowski.pl</t>
  </si>
  <si>
    <t>Aleksandrzak-Piekarczyk, Tamara/E-3332-2012; Grzesiak, Jakub/ABD-5209-2020; Gorniak, Dorota/X-8468-2018</t>
  </si>
  <si>
    <t>Aleksandrzak-Piekarczyk, Tamara/0000-0002-4725-760X; Grzesiak, Jakub/0000-0001-5972-2356; Gorniak, Dorota/0000-0001-6567-1057; Swiatecki, Aleksander/0000-0002-5219-7795</t>
  </si>
  <si>
    <t>National Science Center, Poland [N N304 106940]</t>
  </si>
  <si>
    <t>National Science Center, Poland(National Science Centre, Poland)</t>
  </si>
  <si>
    <t>This work was supported by the National Science Center, Poland (grant N N304 106940). We thank the Institute of Geophysics PAS for all the support during the expedition to the Polish Polar Station Hornsund, sample collection and transport.</t>
  </si>
  <si>
    <t>SPRINGER JAPAN KK</t>
  </si>
  <si>
    <t>TOKYO</t>
  </si>
  <si>
    <t>SHIROYAMA TRUST TOWER 5F, 4-3-1 TORANOMON, MINATO-KU, TOKYO, 105-6005, JAPAN</t>
  </si>
  <si>
    <t>1431-0651</t>
  </si>
  <si>
    <t>1433-4909</t>
  </si>
  <si>
    <t>Extremophiles</t>
  </si>
  <si>
    <t>10.1007/s00792-015-0764-z</t>
  </si>
  <si>
    <t>Biochemistry &amp; Molecular Biology; Microbiology</t>
  </si>
  <si>
    <t>CP9CZ</t>
  </si>
  <si>
    <t>WOS:000360192600001</t>
  </si>
  <si>
    <t>Liu, CL; Huang, XH</t>
  </si>
  <si>
    <t>Liu, Chenlin; Huang, Xiaohang</t>
  </si>
  <si>
    <t>Transcriptome-wide analysis of DEAD-box RNA helicase gene family in an Antarctic psychrophilic alga Chlamydomonas sp ICE-L</t>
  </si>
  <si>
    <t>Chlamydomonas sp ICE-L; DEAD-box RNA helicase; Freezing acclimation; Real-time RT-PCR; Transcriptome analysis</t>
  </si>
  <si>
    <t>ARABIDOPSIS-THALIANA; COLD STRESS; EXPRESSION; ADAPTATION; GROWTH; EVOLUTION; RESPONSES; STRAINS; PROTEIN</t>
  </si>
  <si>
    <t>DEAD-box RNA helicase family proteins have been identified in almost all living organisms. Some of them play a crucial role in adaptation to environmental changes and stress response, especially in the low-temperature acclimation in different kinds of organisms. Compared with the full swing study in plants and bacteria, the characters and functions of DEAD-box family proteins had not been surveyed in algae. To identify genes critical for freezing acclimation in algae, we screened DEAD-box RNA helicase genes from the transcriptome sequences of a psychrophilic microalga Chlamydomonas sp. ICE-L which was isolated from Antarctic sea ice. Totally 39 DEAD-box RNA helicase genes had been identified. Most of the DEAD-box RNA helicase have 1:1 homologous relationships in Chlamydomonas reinhardtii and Chlamydomonas sp. ICE-L with several exceptions. The homologous proteins in ICE-L to the helicases critical for cold or freezing tolerance in Arabidopsis thaliana had been identified based on phylogenetic comparison studies. The response of these helicase genes is not always identical in the Chlamydomonas sp. ICE-L and Arabidopsis under the same low-temperature treatment. The expression of several DEAD-box RNA helicase genes including CiRH5, CiRH25, CiRH28, and CiRH55 were significantly up-regulated under freezing treatment of ICE-L and their function in freezing acclimation of ICE-L deserved further investigation.</t>
  </si>
  <si>
    <t>[Liu, Chenlin; Huang, Xiaohang] State Ocean Adm, Key Lab Marine Bioact Subst, Inst Oceanog 1, Qingdao 266061, Peoples R China</t>
  </si>
  <si>
    <t>First Institute of Oceanography, Ministry of Natural Resources</t>
  </si>
  <si>
    <t>Liu, CL (corresponding author), State Ocean Adm, Key Lab Marine Bioact Subst, Inst Oceanog 1, Xianxialing Rd 6th, Qingdao 266061, Peoples R China.</t>
  </si>
  <si>
    <t>ch.lliu@163.com</t>
  </si>
  <si>
    <t>liu, chen/ISV-2093-2023</t>
  </si>
  <si>
    <t>National Natural Science Foundation [41276203]</t>
  </si>
  <si>
    <t>National Natural Science Foundation(National Natural Science Foundation of China (NSFC))</t>
  </si>
  <si>
    <t>This work was financially supported by a Grant of National Natural Science Foundation (41276203) for Chenlin Liu.</t>
  </si>
  <si>
    <t>10.1007/s00792-015-0768-8</t>
  </si>
  <si>
    <t>WOS:000360192600004</t>
  </si>
  <si>
    <t>Yakymchuk, C; Brown, CR; Brown, M; Siddoway, CS; Fanning, CM; Korhonen, FJ</t>
  </si>
  <si>
    <t>Yakymchuk, Chris; Brown, Caitlin R.; Brown, Michael; Siddoway, Christine S.; Fanning, C. Mark; Korhonen, Fawna J.</t>
  </si>
  <si>
    <t>Paleozoic evolution of western Marie Byrd Land, Antarctica</t>
  </si>
  <si>
    <t>GEOLOGICAL SOCIETY OF AMERICA BULLETIN</t>
  </si>
  <si>
    <t>NORTHERN VICTORIA LAND; U-PB GEOCHRONOLOGY; GRANITE HARBOR INTRUSIVES; PACIFIC MARGIN; NEW-ZEALAND; HF ISOTOPE; S-TYPE; FORD RANGES; TRANSANTARCTIC MOUNTAINS; ZIRCON MEGACRYSTS</t>
  </si>
  <si>
    <t>We report geochemical data from (meta-) sedimentary and igneous rocks that crop out in the Ford Ranges of western Marie Byrd Land and discuss the evolution and reworking of the crust in this region during Paleozoic subduction along the former Gondwanan convergent plate margin. Detrital zircon age spectra from the Swanson Formation, a widespread low-grade metaturbidite sequence, define distinct populations in the late Paleoproterozoic, late Mesoproterozoic, and Neoproterozoic-Cambrian. The late Paleoproterozoic group records magmatism derived from a mixed juvenile and crustal source. By contrast, the late Mesoproterozoic group yields Hf isotope values consistent with derivation from a juvenile Mesoproterozoic source inferred to be an unexposed Grenville-age orogenic belt beneath the East Antarctic ice sheet. For the NeoproterozoicCambrian population, Hf isotope values indicate reworking of these older materials during Ross-Delamerian orogenesis. New U-Pb ages from the Devonian- Carboniferous Ford Granodiorite suite across the Ford Ranges reveal an extended period of arc magmatism from 375 to 345 Ma. For four younger samples of Ford Granodiorite, Hf and O isotope values in zircon suggest involvement of a larger (meta-) sedimentary component in the petrogenesis than for two older samples. This contrasts with the secular trend toward more juvenile values documented from Silurian to Permian granite suites in the Tasmanides of eastern Australia and Famennian to Tournasian granite suites in New Zealand, pieces of continental crust that were once contiguous with western Marie Byrd Land along the Gondwana margin. The differences may relate to an along-arc change from the typical extensional accretionary mode in eastern Australia to a neutral or an advancing mode in West Antarctica, and to an across-arc difference in distance from the trench between the New Zealand fragments of Zealandia and western Marie Byrd Land. Upper Devonian anatectic granites in the Ford Ranges most likely record reworking of early Ford Granodiorite suite members during arc magmatism.</t>
  </si>
  <si>
    <t>[Yakymchuk, Chris; Brown, Caitlin R.; Brown, Michael] Univ Maryland, Dept Geol, Lab Crustal Petr, College Pk, MD 20742 USA; [Siddoway, Christine S.] Colorado Coll, Dept Geol, Colorado Springs, CO 80903 USA; [Fanning, C. Mark] Australian Natl Univ, Res Sch Earth Sci, Canberra, ACT 0200, Australia; [Korhonen, Fawna J.] Geol Survey Western Australia, East Perth, WA 6004, Australia</t>
  </si>
  <si>
    <t>University System of Maryland; University of Maryland College Park; Colorado College; Australian National University; Geological Survey of Western Australia</t>
  </si>
  <si>
    <t>Yakymchuk, C (corresponding author), Univ Waterloo, Dept Earth &amp; Environm Sci, 200 Univ Ave West, Waterloo, ON N2L 3G1, Canada.</t>
  </si>
  <si>
    <t>cyakymchuk@uwaterloo.ca</t>
  </si>
  <si>
    <t>National Science Foundation (NSF) [ANT0944615, OPP-0338279, OPP-0944600]; Materials Research Science and Engineering Center Shared Experimental Facility; National Science and Engineering Research Council of Canada; NSF [EAR1032156]; Directorate For Geosciences; Division Of Earth Sciences [1338583] Funding Source: National Science Foundation</t>
  </si>
  <si>
    <t>National Science Foundation (NSF)(National Science Foundation (NSF)); Materials Research Science and Engineering Center Shared Experimental Facility; National Science and Engineering Research Council of Canada(Natural Sciences and Engineering Research Council of Canada (NSERC)); NSF(National Science Foundation (NSF)); Directorate For Geosciences; Division Of Earth Sciences(National Science Foundation (NSF)NSF - Directorate for Geosciences (GEO))</t>
  </si>
  <si>
    <t>This work was supported by the National Science Foundation (NSF) under grant ANT0944615 to Brown at the University of Maryland, and grants OPP-0338279 and OPP-0944600 to Siddoway at Colorado College. We acknowledge use of facilities in the Nano-Center and the Nanoscale Imaging, Spectroscopy and Properties Laboratory at the University of Maryland, which are supported as a Materials Research Science and Engineering Center Shared Experimental Facility. Yakymchuk was partially funded by a postgraduate scholarship from the National Science and Engineering Research Council of Canada. We thank T. Burton, K. Emery, and D. Uhlmann for their contribution to field logistics and safety, and Kenn Borek Air and Raytheon Polar Services personnel for transportation and logistical support. We thank M. Pecha and N. Giesler for assistance with data collection at the Arizona LaserChron Center, which is supported by funding from NSF grant EAR1032156, and Bin Fu for assistance with sample preparation and analytical work at the Australian National University. John Valley at the University of Wisconsin provided the whole-rock oxygen isotope results. Finally, we thank M. J. Flowerdew and R.J. Pankhurst for thorough and constructive reviews, and C. Miller for editorial comments and advice.</t>
  </si>
  <si>
    <t>0016-7606</t>
  </si>
  <si>
    <t>1943-2674</t>
  </si>
  <si>
    <t>GEOL SOC AM BULL</t>
  </si>
  <si>
    <t>Geol. Soc. Am. Bull.</t>
  </si>
  <si>
    <t>9-10</t>
  </si>
  <si>
    <t>10.1130/B31136.1</t>
  </si>
  <si>
    <t>CQ4FG</t>
  </si>
  <si>
    <t>WOS:000360559100018</t>
  </si>
  <si>
    <t>Candy, SG; Sfiligoj, BJ; King, CK; Mondon, JA</t>
  </si>
  <si>
    <t>Candy, S. G.; Sfiligoj, B. J.; King, C. K.; Mondon, J. A.</t>
  </si>
  <si>
    <t>Modelling grouped survival times in toxicological studies using Generalized Additive Models</t>
  </si>
  <si>
    <t>ENVIRONMENTAL AND ECOLOGICAL STATISTICS</t>
  </si>
  <si>
    <t>Dose-response model; Generalized Additive Model; Grouped survival times; Time-response model</t>
  </si>
  <si>
    <t>MAXIMUM-LIKELIHOOD; LINEAR-MODELS; BIOASSAYS</t>
  </si>
  <si>
    <t>A method for combining a proportional-hazards survival time model with a bioassay model where the log-hazard function is modelled as a linear or smoothing spline function of log-concentration combined with a smoothing spline function of time is described. The combined model is fitted to mortality numbers, resulting from survival times that are grouped due to a common set of observation times, using Generalized Additive Models (GAMs). The GAM fits mortalities as conditional binomials using an approximation to the log of the integral of the hazard function and is implemented using freely-available, general software for fitting GAMs. Extensions of the GAM are described to allow random effects to be fitted and to allow for time-varying concentrations by replacing time with a calibrated cumulative exposure variable with calibration parameter estimated using profile likelihood. The models are demonstrated using data from a studies of a marine and a, previously published, freshwater taxa. The marine study involved two replicate bioassays of the effect of zinc exposure on survival of an Antarctic amphipod, Orchomenella pinguides. The other example modelled survival of the daphnid, Daphnia magna, exposed to potassium dichromate and was fitted by both the GAM and the process-based DEBtox model. The GAM fitted with a cubic regression spline in time gave a 61 % improvement in fit to the daphnid data compared to DEBtox due to a non-monotonic hazard function. A simulation study using each of these hazard functions as operating models demonstrated that the GAM is overall more accurate in recovering lethal concentration values across the range of forms of the underlying hazard function compared to DEBtox and standard multiple endpoint probit analyses.</t>
  </si>
  <si>
    <t>[Candy, S. G.] Australian Antarctic Div, Wildlife Conservat &amp; Fisheries, Kingston, Tas 7050, Australia; [Sfiligoj, B. J.; King, C. K.] Australian Antarctic Div, Terr &amp; Near Shore Ecosyst, Kingston, Tas 7050, Australia; [Sfiligoj, B. J.; Mondon, J. A.] Deakin Univ, Fac Sci &amp; Technol, Environm Sustainabil Res Grp, Warrnambool, Vic 3280, Australia</t>
  </si>
  <si>
    <t>Australian Antarctic Division; Australian Antarctic Division; Deakin University</t>
  </si>
  <si>
    <t>Candy, SG (corresponding author), SCandy Stat Modelling Pty Ltd, 70 Burwood Dr, Blackmans Bay, Tas 7052, Australia.</t>
  </si>
  <si>
    <t>burwood70@gmail.com</t>
  </si>
  <si>
    <t>King, Catherine K/G-7059-2017</t>
  </si>
  <si>
    <t>King, Catherine K/0000-0003-3356-0381; Sfiligoj, Bianca/0000-0001-7439-8857</t>
  </si>
  <si>
    <t>Australian Antarctic Division through AAS Project [2933]</t>
  </si>
  <si>
    <t>Australian Antarctic Division through AAS Project</t>
  </si>
  <si>
    <t>We are grateful to Professor Simon Wood for assistance in understanding the workings of the gam and gamm functions in his mgcv package. The constructive reviews by the Associate Editor and the referees contributed substantially to improvements in this work and its presentation. This research was partly funded by the Australian Antarctic Division through AAS Project 2933 (CI King).</t>
  </si>
  <si>
    <t>1352-8505</t>
  </si>
  <si>
    <t>1573-3009</t>
  </si>
  <si>
    <t>ENVIRON ECOL STAT</t>
  </si>
  <si>
    <t>Environ. Ecol. Stat.</t>
  </si>
  <si>
    <t>10.1007/s10651-014-0306-3</t>
  </si>
  <si>
    <t>Environmental Sciences; Mathematics, Interdisciplinary Applications; Statistics &amp; Probability</t>
  </si>
  <si>
    <t>Environmental Sciences &amp; Ecology; Mathematics</t>
  </si>
  <si>
    <t>CP3ZF</t>
  </si>
  <si>
    <t>WOS:000359821000002</t>
  </si>
  <si>
    <t>Tiwari, M; Nagoji, SS; Ganeshram, RS</t>
  </si>
  <si>
    <t>Tiwari, Manish; Nagoji, Siddhesh S.; Ganeshram, Raja S.</t>
  </si>
  <si>
    <t>Multi-centennial scale SST and Indian summer monsoon precipitation variability since the mid-Holocene and its nonlinear response to solar activity</t>
  </si>
  <si>
    <t>HOLOCENE</t>
  </si>
  <si>
    <t>foraminifera; monsoon; precipitation; salinity; sea surface temperature; solar activity</t>
  </si>
  <si>
    <t>OXYGEN MINIMUM ZONE; PACIFIC WARM POOL; PLANKTONIC-FORAMINIFERA; CLIMATE-CHANGE; ARABIAN SEA; EL-NINO; OCEAN; RECORD; CALIBRATION; RAINFALL</t>
  </si>
  <si>
    <t>Indian Summer Monsoon (ISM) shows a weak correlation with solar variability in the 20th century. However, such climatological observations on solar activity-monsoon relationship are very short and hence uncertain. A few paleomonsoon records also exhibit prominent correspondence with solar activity during early Holocene and beyond. But despite the strong recent solar minima (e.g. Maunder, Sporer, Oort, Wolf), their correlation with monsoon precipitation is weak and inconclusive. Additionally, many of the earlier studies have been from the western Arabian Sea that provides records of the ISM wind intensity instead of the ISM precipitation. We present here mid-Holocene to recent sea surface temperature (SST) reconstructed from Mg/Ca measurements of planktic foraminifera (Globigerinoides ruber; white, sensu stricto) on a centennial-scale resolution from the southeastern Arabian. These measurements are used to correct the oxygen isotope ratios of G. ruber to reconstruct salinity related to monsoon runoff in this region more precisely than hitherto. The long-term trend indicates that the ISM precipitation has declined since the mid-Holocene similar to the solar activity. On shorter multi-centennial timescale, we show that the ISM precipitation declined concurrently with the recent periods of strong solar minima, but lagged by a couple of hundred years beyond 1300 yr BP toward the mid-Holocene - confirmed statistically using wavelet analysis. This nonstationary phase relationship between the ISM and the solar activity indicates the possible influence of the tropical coupled ocean-atmosphere phenomenon.</t>
  </si>
  <si>
    <t>[Tiwari, Manish; Nagoji, Siddhesh S.] Natl Ctr Antarctic &amp; Ocean Res, Vasco Da Gama 403804, Goa, India; [Ganeshram, Raja S.] Univ Edinburgh, Grant Inst, Sch GeoSci, Edinburgh EH8 9YL, Midlothian, Scotland</t>
  </si>
  <si>
    <t>Ministry of Earth Sciences (MoES) - India; National Centre for Polar and Ocean Research (NCPOR); University of Edinburgh</t>
  </si>
  <si>
    <t>Tiwari, M (corresponding author), Natl Ctr Antarctic &amp; Ocean Res, Vasco Da Gama 403804, Goa, India.</t>
  </si>
  <si>
    <t>manish@ncaor.gov.in</t>
  </si>
  <si>
    <t>Ganeshram, Raja S/JPX-5314-2023</t>
  </si>
  <si>
    <t>Nagoji, Siddhesh/0000-0002-9533-3339; Tiwari, Manish/0000-0003-3143-1658</t>
  </si>
  <si>
    <t>Ministry of Earth Sciences</t>
  </si>
  <si>
    <t>M.T. and S.S.N. thank the Ministry of Earth Sciences and Director, National Centre for Antarctic &amp; Ocean Research (NCAOR) for support and encouragement (NCAOR Contribution no. 14/2015). M.T. thanks Department of Science &amp; Technology for awarding BOYSCAST Fellowship that made part of this work possible and Drs Walter Geibert, Colin Chilcott, Laetitia Pichevin, David Bell, Steve Mowbray, and Tom Russon for various analytical help and discussions at the University of Edinburgh. The authors also acknowledge Dr Waliur Rahaman of NCAOR for help in spectral analysis and the AMS Laboratory at University of Arizona for timely providing the radiocarbon dates. They also thank the three anonymous reviewers and the associate editor Dr Giles Young for the constructive criticism and suggestions that helped to improve the manuscript.</t>
  </si>
  <si>
    <t>SAGE PUBLICATIONS LTD</t>
  </si>
  <si>
    <t>1 OLIVERS YARD, 55 CITY ROAD, LONDON EC1Y 1SP, ENGLAND</t>
  </si>
  <si>
    <t>0959-6836</t>
  </si>
  <si>
    <t>1477-0911</t>
  </si>
  <si>
    <t>Holocene</t>
  </si>
  <si>
    <t>10.1177/0959683615585840</t>
  </si>
  <si>
    <t>CP6NO</t>
  </si>
  <si>
    <t>WOS:000360004500005</t>
  </si>
  <si>
    <t>Ljung, K; Holmgren, S; Kylander, M; Sjolte, J; Van der Putten, N; Kageyama, M; Porter, CT; Björck, S</t>
  </si>
  <si>
    <t>Ljung, Karl; Holmgren, Sofia; Kylander, Malin; Sjolte, Jesper; Van der Putten, Nathalie; Kageyama, Masa; Porter, Charles T.; Bjorck, Svante</t>
  </si>
  <si>
    <t>The last termination in the central South Atlantic</t>
  </si>
  <si>
    <t>Multiproxy study; Model simulation; Last termination; South Atlantic; Tristan da Cunha; Southern hemisphere zonal circulation; Subtropical front; Bipolar see-saw climate pattern</t>
  </si>
  <si>
    <t>NORTH-ATLANTIC; NIGHTINGALE ISLAND; ANTARCTIC TEMPERATURE; VOLCANIC ACTIVITY; HOLOCENE CLIMATE; GLACIAL MAXIMUM; BIPOLAR SEESAW; RECORD; TERRESTRIAL; OCEAN</t>
  </si>
  <si>
    <t>Lake sediments and peat deposits from two basins on Nightingale Island (37 degrees S), in the Tristan da Cunha archipelago, South Atlantic, have been analyzed. The studies were focused on the time period 16.2-10.0 cal ka BP, determined by 36 C-14 dates from the two sequences. A wide variety of proxies were used, including pollen and diatom analyzes, biogenic silica content, C and N analyzes, stable isotopes (C-13 and N-15), elemental concentrations and magnetic susceptibility measurements, to detect environmental changes that can be related to shifts of the circulation belts of the Southern Ocean. In addition, climate model simulations were carried out. We find that the sediments are underlain by a &gt;2 cal ka BP long hiatus, possibly representing a dried-out lake bed. The climate simulations corroborate that the area might have been exposed to arid conditions as a consequence of the Heinrich I event in the north and a southward displacement of the ITCZ. The development on the island after 16.2 cal ka BP is determined by the position of the Subtropical Front (STF) and the Southern Hemisphere Westerlies (SHW). The period 16.2-14.75 cal ka BP was characterized by varying influence from SHW and with STF situated south of Tristan da Cunha, ending with a humidity peak and cooler conditions. The stable conditions 14.7-14.1 cal ka BP with cool and fairly arid conditions imply that STF and SHW were both north of the islands during the first part of the Antarctic Cold Reversal. The most unstable period, 14.1-12.7 cal ka BP, indicates incessant latitudinal shifts of the zonal circulation, perhaps related to climate variability in the Northern Hemisphere and bipolar seesaw mechanisms as the strength of the Atlantic Meridional Overturning Circulation (AMOC) varied. At 12.7 cal ka BP the Holocene warming began with a gradually drier and warmer climate as a result of a dampened AMOC during the Younger Dryas cooling in the north with ITCZ, STF and SHW being displaced southwards. Peak warming seems to have occurred in the earliest part of the Holocene, but this period was also characterized by humidity shifts, possibly an effect of retraction and expansion phases of SHW during AMOC variations in the north. (C) 2015 Elsevier Ltd. All rights reserved.</t>
  </si>
  <si>
    <t>[Ljung, Karl; Holmgren, Sofia; Sjolte, Jesper; Van der Putten, Nathalie; Bjorck, Svante] Lund Univ, Dept Geol Quaternary Sci, Lund, Sweden; [Kylander, Malin] Stockholm Univ, Dept Geol Sci, S-10691 Stockholm, Sweden; [Kylander, Malin] Stockholm Univ, Bolin Ctr Climate Res, S-10691 Stockholm, Sweden; [Kageyama, Masa] Lab Sci Climat &amp; Environm, F-91191 Gif Sur Yvette, France; [Porter, Charles T.] Patagonian Res Fdn, Puerto Williams, Chile</t>
  </si>
  <si>
    <t>Lund University; Stockholm University; Stockholm University; CEA; Centre National de la Recherche Scientifique (CNRS); Universite Paris Saclay</t>
  </si>
  <si>
    <t>Björck, S (corresponding author), Lund Univ, Dept Geol Quaternary Sci, Lund, Sweden.</t>
  </si>
  <si>
    <t>svante.bjorck@geol.lu.se</t>
  </si>
  <si>
    <t>Sjolte, Jesper/N-7833-2019; Sjolte, Jesper/O-2942-2016; Kageyama, Masa/F-2389-2010</t>
  </si>
  <si>
    <t>Sjolte, Jesper/0000-0003-0870-5331; Sjolte, Jesper/0000-0003-0870-5331; Van der Putten, Nathalie/0000-0002-0271-9321; Ljung, Karl/0000-0002-4290-7933; Bjorck, Svante/0000-0001-8824-9000; Kageyama, Masa/0000-0003-0822-5880</t>
  </si>
  <si>
    <t>Swedish Research Council [621-2008-2894]; Linneus centers; Crafoord Foundation</t>
  </si>
  <si>
    <t>Swedish Research Council(Swedish Research Council); Linneus centers; Crafoord Foundation</t>
  </si>
  <si>
    <t>The study was partly financed by a grant to SB by the Swedish Research Council (VR 621-2008-2894). It is also part of WP3 in LUCCI, one of the VR funded Linneus centers, from which it also received support. The Crafoord Foundation financed parts of the expedition costs. VR also financed much of the salary costs for SH, JS and NvdP and some of the salary for KL. For this generous support we are very grateful. We appreciate many good comments from two conscientious but anonymous reviewers. Martin Bjorck (Uppsala), Anders Anker Bjork (Copenhagen), Anders Cronholm (Lund) and James Haile (Oxford) are thanked for taking part in the expedition and in the fieldwork. The helpfulness and kindness of the Tristan islanders were invaluable, and we especially thank James and Felicity Glass for all their support and Warren Glass and Donny Green for their help with the fieldwork on Nightingale Island. We also thank the ship cook Matthieu Grignon. Special thoughts go to Charlie Porter, the skipper of the ketch Ocean Tramp, who managed to safely sail us from Falkland Islands/Malvinas to Tristan da Cunha (13 days) and back to Punta del Este in Uruguay (33 days), and in all types of weather. He sadly died in February 2014 and we dedicate this paper to the memory of him: a true enthusiast in climate science, but also a true and very special friend, not only in troubled waters!</t>
  </si>
  <si>
    <t>1873-457X</t>
  </si>
  <si>
    <t>10.1016/j.quascirev.2015.07.003</t>
  </si>
  <si>
    <t>CP4YY</t>
  </si>
  <si>
    <t>WOS:000359889700013</t>
  </si>
  <si>
    <t>Vullo, D; De Luca, V; Del Prete, S; Carginale, V; Scozzafava, A; Capasso, C; Supuran, CT</t>
  </si>
  <si>
    <t>Vullo, Daniela; De Luca, Viviana; Del Prete, Sonia; Carginale, Vincenzo; Scozzafava, Andrea; Capasso, Clemente; Supuran, Claudiu T.</t>
  </si>
  <si>
    <t>Sulfonamide inhibition studies of the γ-carbonic anhydrase from the Antarctic bacterium Pseudoalteromonas haloplanktis</t>
  </si>
  <si>
    <t>BIOORGANIC &amp; MEDICINAL CHEMISTRY LETTERS</t>
  </si>
  <si>
    <t>Carbonic anhydrase; Metalloenzymes; Inhibitors; Sulfonamide; Psychrophiles; Hydratase activity; Antarctic carbonic anhydrase; Cold adaptation; Cold enzymes</t>
  </si>
  <si>
    <t>SULFURIHYDROGENIBIUM-YELLOWSTONENSE YO3AOP1; PATHOGEN PORPHYROMONAS-GINGIVALIS; DIATOM THALASSIOSIRA-WEISSFLOGII; FISH NOTOTHENIA-CORIICEPS; ANION INHIBITION; BIOCHEMICAL-CHARACTERIZATION; CHIONODRACO-HAMATUS; MESSENGER-RNA; METALLOTHIONEIN ISOFORMS; LEGIONELLA-PNEUMOPHILA</t>
  </si>
  <si>
    <t>The Antarctic bacterium Pseudoalteromonas haloplanktis encodes for a gamma-class carbonic anhydrase (CA, EC 4.2.1.1), which was cloned, purified and characterized. The enzyme (PhaCA gamma) has a good catalytic activity for the physiologic reaction of CO2 hydration to bicarbonate and protons, with a k(cat) of 1.4 x 10(5) s(-1) and a k(cat)/K-m of 1.9 x 10(6) M-1 x s(-1). A series of sulfonamides and a sulfamate were investigated as inhibitors of the new enzyme. Methazolamide and indisulam showed the best inhibitory properties (K(I)s of 86.7-94.7 nM). This contribution shed new light on gamma-CAs inhibition profiles with a relevant class of pharmacologic agents. (C) 2015 Elsevier Ltd. All rights reserved.</t>
  </si>
  <si>
    <t>[Vullo, Daniela; Scozzafava, Andrea; Supuran, Claudiu T.] Univ Florence, Dipartimento Chim, Lab Chim Bioinorgan, Polo Sci, I-50019 Florence, Italy; [De Luca, Viviana; Del Prete, Sonia; Carginale, Vincenzo; Capasso, Clemente] CNR, Ist Biosci &amp; Biorisorse, I-80125 Naples, Italy; [Del Prete, Sonia; Supuran, Claudiu T.] Univ Florence, Dipartimento Neurofarba, Sez Sci Farmaceut, Polo Sci, I-50019 Florence, Italy</t>
  </si>
  <si>
    <t>University of Florence; Consiglio Nazionale delle Ricerche (CNR); Istituto di Bioscienze e Biorisorse (IBBR-CNR); University of Florence</t>
  </si>
  <si>
    <t>Capasso, C (corresponding author), CNR, Ist Biosci &amp; Biorisorse, Via Pietro Castellino 81, I-80125 Naples, Italy.</t>
  </si>
  <si>
    <t>clemente.capasso@ibbr.cnr.it; claudiu.supuran@unifi.it</t>
  </si>
  <si>
    <t>De Luca, Viviana/Q-2911-2016; CAPASSO, CLEMENTE/P-3522-2016; Carginale, Vincenzo/N-2531-2014</t>
  </si>
  <si>
    <t>CAPASSO, CLEMENTE/0000-0003-3314-2411; VULLO, Daniela/0000-0002-1352-1900; DE LUCA, Viviana/0000-0003-3406-833X; Carginale, Vincenzo/0000-0002-1842-494X; Supuran, Claudiu/0000-0003-4262-0323; Scozzafava, Andrea/0000-0001-5020-3322</t>
  </si>
  <si>
    <t>Italian National Antarctic Research Project [PNRA2013/AZ1.02]</t>
  </si>
  <si>
    <t>Italian National Antarctic Research Project</t>
  </si>
  <si>
    <t>This work was financed by the Italian National Antarctic Research Project PNRA2013/AZ1.02.</t>
  </si>
  <si>
    <t>0960-894X</t>
  </si>
  <si>
    <t>1464-3405</t>
  </si>
  <si>
    <t>BIOORG MED CHEM LETT</t>
  </si>
  <si>
    <t>Bioorg. Med. Chem. Lett.</t>
  </si>
  <si>
    <t>10.1016/j.bmcl.2015.06.079</t>
  </si>
  <si>
    <t>Chemistry, Medicinal; Chemistry, Organic</t>
  </si>
  <si>
    <t>Pharmacology &amp; Pharmacy; Chemistry</t>
  </si>
  <si>
    <t>CN9XD</t>
  </si>
  <si>
    <t>WOS:000358802900026</t>
  </si>
  <si>
    <t>Gibbons, AD; Zahirovic, S; Müller, RD; Whittaker, JM; Yatheesh, V</t>
  </si>
  <si>
    <t>Gibbons, A. D.; Zahirovic, S.; Mueller, R. D.; Whittaker, J. M.; Yatheesh, V.</t>
  </si>
  <si>
    <t>A tectonic model reconciling evidence for the collisions between India, Eurasia and intra-oceanic arcs of the central-eastern Tethys</t>
  </si>
  <si>
    <t>Gondwana; Eurasian margin; Tethys Ocean; Greater India; India-Eurasia collision; Indian Ocean</t>
  </si>
  <si>
    <t>ZANGBO SUTURE ZONE; YARLUNG-TSANGPO SUTURE; ZIRCON U-PB; RADIOLARIAN AGE CONSTRAINTS; SOUTHERN TIBET IMPLICATIONS; BANGONG-NUJIANG SUTURE; GROUP VOLCANIC-ROCKS; CRETACEOUS RED BEDS; PALEO-ISLAND ARC; RIVER SHEAR ZONE</t>
  </si>
  <si>
    <t>Despite several decades of investigations, inferences on the timing and nature of collisions along the Mesozoic-Cenozoic Eurasian margin remain controversial. We assimilate geological and geophysical evidence into a plate tectonic model for the India-Eurasia collision that includes continuously-closing topological plate polygons, constructed from a time-dependent network of evolving plate boundaries, with synthetic plates constructed for now-subducted ocean floor, including back-arc basins that formed on the southern Eurasian margin. Our model is regionally-constrained and self-consistent, incorporating geophysical data from abyssal plains offshore West Australia and East Antarctica, including Jurassic age data from offshore Northwest Australia, limiting much of northern Greater India to a similar to 1000 km-long indenter, originally reaching to the Wallaby-Zenith Fracture Zone. Southern Eurasia and Southeast Asia are riddled with dismembered oceanic arcs indicating long-lived Tethyan intra-oceanic subduction. This intra-oceanic subduction system was well-established from Cretaceous time in the India-Eurasia convergence zone in the NeoTethys, which was consumed during Greater India's northward trajectory towards Eurasia from the Early Cretaceous. Fragments of obducted oceanic crust within the Yarlung-Tsangpo Suture Zone, between India and Eurasia, predominantly date to the Late Jurassic or mid Cretaceous (Barremian-Aptian). The various ophiolites along strike and a hiatus in subduction-related magmatism during the Tithonian-Aptian suggest that there was at least one generation of intra-oceanic arc formation, whose plate boundary configuration remains uncertain. Paleomagnetic and magmatic studies suggest that the intra-oceanic arc was at equatorial latitudes during the Early Cretaceous before subduction resumed further north beneath the Eurasian margin (Lhasa terrane), with another hiatus in subduction-related magmatism along southern Lhasa during similar to 80-65 Ma, possibly as the back-arc spreading centre approached the active Andean-style margin. In our model, Greater India collided with the Tethyan intra-oceanic arc in Paleocene-Eocene time, finally closing the Tethyan seaway from Mid-Late Eocene time, which is consistent with the age of the youngest marine deposits found between India and Eurasia. Geological evidence from the collision zone indicates an age of initial arc-continent collision by similar to 52 Ma, followed by the soft (initial) continent-continent collision between India and Eurasia by similar to 44 +/- 2 Ma. This timing is supported by marine geophysical data, where the spreading centres in the Indian Ocean record a drastic decline in seafloor spreading rates and changes in spreading directions first at similar to 52 Ma, followed by another reorganisation at similar to 43 Ma. The abandonment of spreading in the Wharton Basin and the onset of extrusion tectonics in Asia by similar to 36 Ma are likely indicators of hard (complete) continent collision, and highlight the multi-stage collisional history of this margin. Our continuously evolving network of mid-ocean ridge and subduction zone geometries, and divergence/convergence vectors through time, provide a basis for future refinements to assimilate new data and/or test alternative tectonic scenarios. (C) 2015 International Association for Gondwana Research. Published by Elsevier B.V. All rights reserved.</t>
  </si>
  <si>
    <t>[Gibbons, A. D.; Zahirovic, S.; Mueller, R. D.] Univ Sydney, Sch Geosci, Sydney, NSW 2006, Australia; [Whittaker, J. M.] Inst Marine &amp; Antarctic Studies, Hobart, Tas, Australia; [Yatheesh, V.] CSIR Natl Inst Oceanog, Panaji 403004, Goa, India</t>
  </si>
  <si>
    <t>University of Sydney; University of Tasmania; Council of Scientific &amp; Industrial Research (CSIR) - India; CSIR - National Institute of Oceanography (NIO)</t>
  </si>
  <si>
    <t>Gibbons, AD (corresponding author), Statoil ASA, Martin Linges Vei 33, N-1330 Oslo, Norway.</t>
  </si>
  <si>
    <t>angi@statoil.com</t>
  </si>
  <si>
    <t>Müller, Dietmar/L-1200-2019; Vadakkeyakath, Yatheesh/C-3067-2009; Zahirovic, Sabin/AAS-9031-2020; Zahirovic, Sabin/AAH-2972-2019; Whittaker, Joanne/B-3695-2010</t>
  </si>
  <si>
    <t>Müller, Dietmar/0000-0002-3334-5764; Zahirovic, Sabin/0000-0002-6751-4976; Zahirovic, Sabin/0000-0002-6751-4976; Vadakkeyakath, Yatheesh/0000-0002-4379-3536; Whittaker, Joanne/0000-0002-3170-3935</t>
  </si>
  <si>
    <t>Department of Innovation, Industry, Science and Research (DIISR), Govt. of Australia [ST0050084]; Department of Science and Technology (DST), Govt. of India [DST/INT/AUS/P-41/2011]; ARC [FL0992245, DE140100376]; Statoil (Norway); Petroleum Exploration Society of Australia (PESA); School of Geosciences at the University of Sydney; Australian Postgraduate Award (APA); University of Sydney</t>
  </si>
  <si>
    <t>Department of Innovation, Industry, Science and Research (DIISR), Govt. of Australia(Australian GovernmentDepartment of Industry, Innovation and Science); Department of Science and Technology (DST), Govt. of India(Department of Science &amp; Technology (India)); ARC(Australian Research Council); Statoil (Norway); Petroleum Exploration Society of Australia (PESA); School of Geosciences at the University of Sydney; Australian Postgraduate Award (APA)(Australian Government); University of Sydney(University of Sydney)</t>
  </si>
  <si>
    <t>We gratefully acknowledge the funding support received from the Department of Innovation, Industry, Science and Research (DIISR), Govt. of Australia (ST0050084) and the Department of Science and Technology (DST), Govt. of India (DST/INT/AUS/P-41/2011), under an Australia-India Strategic Research Fund (AISRF). The project was also supported by ARC grant FL0992245 and JW by DE140100376. We also thank Statoil (Norway), the Petroleum Exploration Society of Australia (PESA), and the School of Geosciences at the University of Sydney for support. Yatheesh is grateful to the Director, CSIR-National Institute of Oceanography (CSIR-NIO, Goa) for permission to publish this paper. This is NIO contribution 5709. Sabin Zahirovic was supported by an Australian Postgraduate Award (APA) and University of Sydney Vice-Chancellor's Research Scholarship (VCRS). All figures were made using GMT (Wessel and Smith, 1998), with reconstruction geometries extracted from GPlates (Boyden et al., 2011), except for Fig. 8, which used TimeScale Creator (www.tscreator.org) to produce the framework.</t>
  </si>
  <si>
    <t>10.1016/j.gr.2015.01.001</t>
  </si>
  <si>
    <t>CO4ZO</t>
  </si>
  <si>
    <t>WOS:000359169600001</t>
  </si>
  <si>
    <t>Noreen, AME; Schmidt-Roach, S; Harrison, PL; van Oppen, MJH</t>
  </si>
  <si>
    <t>Noreen, Annika M. E.; Schmidt-Roach, Sebastian; Harrison, Peter L.; van Oppen, Madeleine J. H.</t>
  </si>
  <si>
    <t>Diverse associations among coral host haplotypes and algal endosymbionts may drive adaptation at geographically peripheral and ecologically marginal locations</t>
  </si>
  <si>
    <t>JOURNAL OF BIOGEOGRAPHY</t>
  </si>
  <si>
    <t>Eastern Australia; local adaptation; peripheral populations; Pocillopora; Symbiodinium; reef; subtropical; transition zones</t>
  </si>
  <si>
    <t>LORD-HOWE ISLAND; SCLERACTINIAN CORAL; GENETIC DIVERSITY; COMPETENCE PERIODS; CLIMATE-CHANGE; REEF CORAL; SYMBIODINIUM; CONNECTIVITY; PATTERNS; DIFFERENTIATION</t>
  </si>
  <si>
    <t>AimTo understand the evolutionary history and local adaptation of marginal, subtropical populations of a common reef-building coral (genus Pocillopora) and their Symbiodinium endosymbionts. LocationSubtropical coastal (Solitary Islands, Flinders Reef) and offshore (Lord Howe Island, Middleton Reef, Elizabeth Reef) eastern Australia and the southern Great Barrier Reef (GBR). MethodsCoral genetic diversity and identity were assessed by sequence analysis of a mitochondrial (mtDNA) region (ORF), a PCR-based mtDNA screening assay, and microsatellite loci. The identity of the Symbiodinium was determined using denaturing gradient gel electrophoresis (DGGE) analysis of nuclear rDNA ITS2. ResultsThe mitochondrial haplotype Pocillopora damicornis Type was present at all locations: 100% on the GBR and Flinders Reef, 85% and 87% respectively at Middleton Reef and Elizabeth Reef, 25% at Lord Howe Island and 5% at the Solitary Islands. An additional haplotype was observed at the Solitary Islands (corresponding to the recently described Pocillopora aliciae), and a third haplotype at the offshore high-latitude reefs (termed the Lord Howe Island haplotype). Congruent with the mtDNA results, microsatellite markers showed the same three population clusters. One Symbiodinium profile occurred in 100% of the samples at two of the three GBR reefs and Flinders Reef, and a different profile occurred in all colonies analysed from Lord Howe Island. These two profiles were observed at Middleton and Elizabeth reefs in association with both P. damicornis Type and the Lord Howe Island coral haplotype. Two unique Symbiodinium profiles were detected at the Solitary Islands. Main conclusionsWe detected evidence for local adaptation of subtropical coral and Symbiodinium, flexible coral-Symbiodinium associations, and the presence of transition zones that may contain evolutionarily significant novelty.</t>
  </si>
  <si>
    <t>[Noreen, Annika M. E.; Schmidt-Roach, Sebastian; van Oppen, Madeleine J. H.] Australian Inst Marine Sci, Townsville, Qld 4810, Australia; [Noreen, Annika M. E.; Harrison, Peter L.] So Cross Univ, Marine Ecol Res Ctr, Lismore, NSW 2480, Australia; [Schmidt-Roach, Sebastian] Univ Tasmania, Inst Marine &amp; Antarctic Studies, Hobart, Tas 7001, Australia</t>
  </si>
  <si>
    <t>Australian Institute of Marine Science; Southern Cross University; University of Tasmania</t>
  </si>
  <si>
    <t>Noreen, AME (corresponding author), So Cross Univ, Marine Ecol Res Ctr, POB 157, Lismore, NSW 2480, Australia.</t>
  </si>
  <si>
    <t>anoreen@gmail.com</t>
  </si>
  <si>
    <t>van Oppen, Madeleine JH/C-3261-2008; Schmidt-Roach, Sebastian/N-7129-2013; Harrison, Peter/B-4763-2011</t>
  </si>
  <si>
    <t>Harrison, Peter/0000-0002-4048-2409; van Oppen, Madeleine/0000-0003-4607-0744; Noreen, Annika/0000-0002-7695-5095</t>
  </si>
  <si>
    <t>Ocean Foundation/International Society for Reef Studies Fellowship; Australian Commonwealth International Postgraduate Research Scholarship at Southern Cross University; GBRMPA; Queensland Parks and Wildlife; NSW Fisheries and NSW Marine Parks Authority; Department of Environment, Water, Heritage and the Arts; Lord Howe Island Board</t>
  </si>
  <si>
    <t>Funding was provided by The Ocean Foundation/International Society for Reef Studies Fellowship to A.M.E. Noreen. A.M.E. Noreen was supported by an Australian Commonwealth International Postgraduate Research Scholarship at Southern Cross University. We thank GBRMPA, Queensland Parks and Wildlife, NSW Fisheries and NSW Marine Parks Authority, the Department of Environment, Water, Heritage and the Arts, the Lord Howe Island Board, Paul Anderson, Andy Muirhead, Lesa Peplow, Greg Torda, Craig Starger, Simon Hartley, Greg Luker, Alexander Mandel, Adeline Seah and Alison Wee for support. We also thank the anonymous referees for their suggestions in refining this manuscript.</t>
  </si>
  <si>
    <t>0305-0270</t>
  </si>
  <si>
    <t>1365-2699</t>
  </si>
  <si>
    <t>J BIOGEOGR</t>
  </si>
  <si>
    <t>J. Biogeogr.</t>
  </si>
  <si>
    <t>10.1111/jbi.12536</t>
  </si>
  <si>
    <t>Ecology; Geography, Physical</t>
  </si>
  <si>
    <t>Environmental Sciences &amp; Ecology; Physical Geography</t>
  </si>
  <si>
    <t>CO7XJ</t>
  </si>
  <si>
    <t>WOS:000359376600006</t>
  </si>
  <si>
    <t>Lüchmann, KH; Clark, MS; Bainy, ACD; Gilbert, JA; Craft, JA; Chipman, JK; Thorne, MAS; Mattos, JJ; Siebert, MN; Schroeder, DC</t>
  </si>
  <si>
    <t>Luechmann, Karim H.; Clark, Melody S.; Bainy, Afonso C. D.; Gilbert, Jack A.; Craft, John A.; Chipman, J. Kevin; Thorne, Michael A. S.; Mattos, Jaco J.; Siebert, Marilia N.; Schroeder, Declan C.</t>
  </si>
  <si>
    <t>Key metabolic pathways involved in xenobiotic biotransformation and stress responses revealed by transcriptomics of the mangrove oyster Crassostrea brasiliana</t>
  </si>
  <si>
    <t>AQUATIC TOXICOLOGY</t>
  </si>
  <si>
    <t>Xenobiotic metabolism; Antioxidant parameters; Pollutants; Bioaccumulation; Bivalve; Polycyclic aromatic hydrocarbon</t>
  </si>
  <si>
    <t>HEAT-SHOCK PROTEINS; SHORT-TERM EXPOSURE; MYTILUS-GALLOPROVINCIALIS; OXIDATIVE STRESS; MOLECULAR CHAPERONES; EASTERN OYSTER; PACIFIC OYSTER; CYP GENES; EXPRESSION; IDENTIFICATION</t>
  </si>
  <si>
    <t>The Brazilian oyster Crassostrea brasiliana was challenged to three common environmental contaminants: phenanthrene, diesel fuel water-accommodated fraction (WAF) and domestic sewage. Total RNA was extracted from the gill and digestive gland, and cDNA libraries were sequenced using the 454 FLX platform. The assembled transcriptome resulted in (similar to)20,000 contigs, which were annotated to produce the first de novo transcriptome for C brasiliana. Sequences were screened to identify genes potentially involved in the biotransformation of xenobiotics and associated antioxidant defence mechanisms. These gene families included those of the cytochrome P450 (CYP450), 70kDa heat shock, antioxidants, such as glutathione S-transferase, superoxide dismutase, catalase and also multi-drug resistance proteins. Analysis showed that the massive expansion of the CYP450 and HSP70 family due to gene duplication identified in the Crassostrea gigas genome also occurred in C brasiliana, suggesting these processes form the base of the Crasostrea lineage. Preliminary expression analyses revealed several candidates biomarker genes that were up-regulated during each of the three treatments, suggesting the potential for environmental monitoring. (C) 2015 Elsevier B.V. All rights reserved.</t>
  </si>
  <si>
    <t>[Luechmann, Karim H.] Santa Catarina State Univ, Fishery Engn Dept, Laguna, Brazil; [Clark, Melody S.; Thorne, Michael A. S.] British Antarctic Survey, NERC, Cambridge CB3 0ET, England; [Bainy, Afonso C. D.; Mattos, Jaco J.; Siebert, Marilia N.] Univ Fed Santa Catarina, Dept Biochem, Florianopolis, SC, Brazil; [Gilbert, Jack A.] Argonne Natl Lab, Biosci Div BIO, Argonne, IL 60439 USA; [Gilbert, Jack A.] Univ Chicago, Dept Ecol &amp; Evolut, Chicago, IL 60637 USA; [Gilbert, Jack A.] Marine Biol Lab, Woods Hole, MA 02543 USA; [Gilbert, Jack A.] Zhejiang Univ, Coll Environm &amp; Resource Sci, Hangzhou 310003, Zhejiang, Peoples R China; [Craft, John A.] Glasgow Caledonian Univ, Biol &amp; Biomed Sci, Glasgow G4 0BA, Lanark, Scotland; [Chipman, J. Kevin] Univ Birmingham, Sch Biol Sci, Birmingham B15 2TT, W Midlands, England; [Schroeder, Declan C.] Marine Biol Assoc United Kingdom MBA, Plymouth, Devon, England</t>
  </si>
  <si>
    <t>Universidade do Estado de Santa Catarina; UK Research &amp; Innovation (UKRI); Natural Environment Research Council (NERC); NERC British Antarctic Survey; Universidade Federal de Santa Catarina (UFSC); United States Department of Energy (DOE); Argonne National Laboratory; University of Chicago; Marine Biological Laboratory - Woods Hole; Zhejiang University; Glasgow Caledonian University; University of Birmingham; Marine Biological Association United Kingdom</t>
  </si>
  <si>
    <t>Lüchmann, KH (corresponding author), Santa Catarina State Univ, Fishery Engn Dept, Laguna, Brazil.</t>
  </si>
  <si>
    <t>khluchmann@gmail.com; mscl@bas.ac.uk; afonso.bainy@ufsc.br; gilbertjack@anl.gov; J.A.Craft@gcu.ac.uk; j.k.chipman@bham.ac.uk; mior@bas.ac.uk; jaco.mattos@ufsc.br; marilia.siebert@ifsc.edu.br; dsch@mba.ac.uk</t>
  </si>
  <si>
    <t>Schroeder, Declan C./O-9131-2019; Bainy, Afonso C/J-6097-2012; Gilbert, Jack/AAF-3270-2019; Clark, Melody/D-7371-2014</t>
  </si>
  <si>
    <t>Schroeder, Declan C./0000-0001-5991-2838; Bainy, Afonso/0000-0002-3885-7718; Joaquim Mattos, Jaco/0000-0002-8766-4285; Thorne, Michael/0000-0001-7759-612X; Clark, Melody/0000-0002-3442-3824</t>
  </si>
  <si>
    <t>NERC, UK; CNPq [CT-Petro 550706/2005-4]; CAPES Ph.D. Fellowship, Brazil; CNPq Ph.D. Sandwich Fellowship, Brazil; CNPq Productivity Fellowship, Brazil; NERC; CNPq (CNPq INCT-TA); NERC [bas0100036] Funding Source: UKRI; Natural Environment Research Council [bas0100036] Funding Source: researchfish</t>
  </si>
  <si>
    <t>NERC, UK(UK Research &amp; Innovation (UKRI)Natural Environment Research Council (NERC)); CNPq(Conselho Nacional de Desenvolvimento Cientifico e Tecnologico (CNPQ)); CAPES Ph.D. Fellowship, Brazil(Coordenacao de Aperfeicoamento de Pessoal de Nivel Superior (CAPES)); CNPq Ph.D. Sandwich Fellowship, Brazil; CNPq Productivity Fellowship, Brazil; NERC(UK Research &amp; Innovation (UKRI)Natural Environment Research Council (NERC)); CNPq (CNPq INCT-TA)(Conselho Nacional de Desenvolvimento Cientifico e Tecnologico (CNPQ)); NERC(UK Research &amp; Innovation (UKRI)Natural Environment Research Council (NERC)); Natural Environment Research Council(UK Research &amp; Innovation (UKRI)Natural Environment Research Council (NERC))</t>
  </si>
  <si>
    <t>This research was supported by grants from NERC, UK to JAG and CNPq to ACDB (CT-Petro 550706/2005-4 and CNPq INCT-TA). KHL was a Guest Student at the Marine Biological Association of the United Kingdom and Glasgow Caledonian University and was supported by a CAPES Ph.D. Fellowship and CNPq Ph.D. Sandwich Fellowship, Brazil. ACDB was recipient of the CNPq Productivity Fellowship, Brazil. MSC and MAST were funded by NERC core funding to the British Antarctic Survey. We would like to thank Dr. Fabricio Flores-Nunes, Dr. Tarquin S. Dorrington and M.Sc. Christielly Rodrigues and for the assistance during experiments and Mr Jamie Oliver (British Antarctic Survey) for his help with Figure 2. We are grateful to Dr. Claudio M.R. Melo and to M.Sc. Carlos H.A.M. Gomes for supplying the oysters used in this study.</t>
  </si>
  <si>
    <t>0166-445X</t>
  </si>
  <si>
    <t>1879-1514</t>
  </si>
  <si>
    <t>AQUAT TOXICOL</t>
  </si>
  <si>
    <t>Aquat. Toxicol.</t>
  </si>
  <si>
    <t>10.1016/j.aquatox.2015.06.012</t>
  </si>
  <si>
    <t>Marine &amp; Freshwater Biology; Toxicology</t>
  </si>
  <si>
    <t>CR3TS</t>
  </si>
  <si>
    <t>WOS:000361256600002</t>
  </si>
  <si>
    <t>Gencarelli, CN; De Simone, F; Hedgecock, IM; Sprovieri, F; Yang, X; Pirrone, N</t>
  </si>
  <si>
    <t>Gencarelli, Christian N.; De Simone, Francesco; Hedgecock, Ian M.; Sprovieri, Francesca; Yang, Xin; Pirrone, Nicola</t>
  </si>
  <si>
    <t>European and Mediterranean mercury modelling: Local and long-range contributions to the deposition flux</t>
  </si>
  <si>
    <t>Mercury; Modelling; Mediterranean; Deposition</t>
  </si>
  <si>
    <t>SCIENTIFIC UNCERTAINTIES; ELEMENTAL MERCURY; CHEMISTRY; OXIDATION; GAS; PREPROCESSOR; RESOLUTION; BROMINE; IMPACT; METHYLMERCURY</t>
  </si>
  <si>
    <t>Mercury (Hg) is a global pollutant that is known to have adverse effects on human health, and most human exposure to toxic methylmercury is through fish consumption. Soluble Hg compounds in the marine environment can be methylated in the water column and enter the base of the food chain. Atmospheric deposition is the most important pathway by which Hg enters marine ecosystems. The atmospheric chemistry of Hg has been simulated over Europe and the Mediterranean for the year 2009, using the WRF/Chem model and employing two different gas phase Hg oxidation mechanisms. The contributions to the marine deposition flux from dry deposition, synoptic scale wet deposition and convective wet deposition have been determined. The Hg deposition fluxes resulting from transcontinental transport and local/regional emission sources has been determined using both Br/BrO and O-3/OH atmospheric oxidation mechanisms. The two mechanisms give significantly different annual deposition fluxes (129 Mg and 266 Mg respectively) over the modelling domain. Dry deposition is more significant using the O-3/OH mechanism, while proportionally convective wet deposition is enhanced using the Br/BrO mechanism. The simulations using the Br/BrO oxidation compared best with observed Hg fluxes in precipitation. Local/regional Hg emissions have the most impact within the model domain during the summer. A comparison of simulations using the 2005 and 2010 AMAP/UNEP Hg emission inventories show that although there is a decrease of 33% in anthropogenic emissions between the two reference years, the total simulated deposition in the regions diminishes by only 12%. Simulations using the 2010 inventory reproduce observations somewhat better than those using the 2005 inventory for 2009. (C) 2015 Elsevier Ltd. All rights reserved.</t>
  </si>
  <si>
    <t>[Gencarelli, Christian N.; De Simone, Francesco; Hedgecock, Ian M.; Sprovieri, Francesca] CNR Inst Atmospher Pollut Res, Div Rende, UNICAL Polifunz, I-87036 Arcavacata Di Rende, Italy; [Yang, Xin] British Antarctic Survey, Cambridge CB3 0ET, England; [Pirrone, Nicola] CNR Inst Atmospher Pollut Res, I-00015 Rome, Italy</t>
  </si>
  <si>
    <t>Consiglio Nazionale delle Ricerche (CNR); Istituto Sull'inquinamento Atmosferico (IIA-CNR); UK Research &amp; Innovation (UKRI); Natural Environment Research Council (NERC); NERC British Antarctic Survey; Consiglio Nazionale delle Ricerche (CNR); Istituto Sull'inquinamento Atmosferico (IIA-CNR)</t>
  </si>
  <si>
    <t>Hedgecock, IM (corresponding author), CNR Inst Atmospher Pollut Res, Div Rende, UNICAL Polifunz, I-87036 Arcavacata Di Rende, Italy.</t>
  </si>
  <si>
    <t>ihedegcock@iia.cnr.it</t>
  </si>
  <si>
    <t>Pirrone, Nicola/IXD-5019-2023; Hedgecock, Ian Michael/ITV-3348-2023; De Simone, Francesco/IZP-8333-2023; Yang, Xin/AGB-3514-2022; De Simone, Francesco/HDN-9081-2022</t>
  </si>
  <si>
    <t>Hedgecock, Ian Michael/0000-0002-3743-1870; Yang, Xin/0000-0002-3838-9758; Gencarelli, Christian Natale/0000-0002-2366-661X; De Simone, Francesco/0000-0003-0252-2382</t>
  </si>
  <si>
    <t>EU project GMOS (FP7) [265113]; Natural Environment Research Council [bas0100032] Funding Source: researchfish; NERC [bas0100032] Funding Source: UKRI</t>
  </si>
  <si>
    <t>EU project GMOS (FP7); Natural Environment Research Council(UK Research &amp; Innovation (UKRI)Natural Environment Research Council (NERC)); NERC(UK Research &amp; Innovation (UKRI)Natural Environment Research Council (NERC))</t>
  </si>
  <si>
    <t>We are grateful to the WRF/Chem developers and to the NCAR ESL Atmospheric Chemistry Division for making the WRF/Chem and the WRF/Chem preprocessor codes freely available. We gratefully acknowledge EMEP for maintaining and making available the database of monitoring station data. The research was performed in the framework of the EU project GMOS (FP7 - 265113) and the National Reference Centre for Mercury (CNRM), Italy. Our thanks to the two anonymous reviewers whose comments helped improve the manuscript.</t>
  </si>
  <si>
    <t>10.1016/j.atmosenv.2015.07.015</t>
  </si>
  <si>
    <t>CX0AW</t>
  </si>
  <si>
    <t>WOS:000365360300016</t>
  </si>
  <si>
    <t>Williamson, D; Blaker, AT; Hampton, C; Salter, J</t>
  </si>
  <si>
    <t>Williamson, Daniel; Blaker, Adam T.; Hampton, Charlotte; Salter, James</t>
  </si>
  <si>
    <t>Identifying and removing structural biases in climate models with history matching</t>
  </si>
  <si>
    <t>CLIMATE DYNAMICS</t>
  </si>
  <si>
    <t>Tuning; Ensembles; Emulators; HadCM3; Climate model</t>
  </si>
  <si>
    <t>EARTH SYSTEM MODEL; PARAMETER-ESTIMATION; COUPLED MODEL; SENSITIVITY; ENSEMBLE; VARIABILITY; TEMPERATURE; CALIBRATION; SIMULATION; INFERENCE</t>
  </si>
  <si>
    <t>We describe the method of history matching, a method currently used to help quantify parametric uncertainty in climate models, and argue for its use in identifying and removing structural biases in climate models at the model development stage. We illustrate the method using an investigation of the potential to improve upon known ocean circulation biases in a coupled non-flux-adjusted climate model (the third Hadley Centre Climate Model; HadCM3). In particular, we use history matching to investigate whether or not the behaviour of the Antarctic Circumpolar Current (ACC), which is known to be too strong in HadCM3, represents a structural bias that could be corrected using the model parameters. We find that it is possible to improve the ACC strength using the parameters and observe that doing this leads to more realistic representations of the sub-polar and sub-tropical gyres, sea surface salinities (both globally and in the North Atlantic), sea surface temperatures in the sinking regions in the North Atlantic and in the Southern Ocean, North Atlantic Deep Water flows, global precipitation, wind fields and sea level pressure. We then use history matching to locate a region of parameter space predicted not to contain structural biases for ACC and SSTs that is around 1 % of the original parameter space. We explore qualitative features of this space and show that certain key ocean and atmosphere parameters must be tuned carefully together in order to locate climates that satisfy our chosen metrics. Our study shows that attempts to tune climate model parameters that vary only a handful of parameters relevant to a given process at a time will not be as successful or as efficient as history matching.</t>
  </si>
  <si>
    <t>[Williamson, Daniel; Hampton, Charlotte; Salter, James] Univ Exeter, Coll Engn Math &amp; Phys Sci, Exeter, Devon, England; [Blaker, Adam T.; Hampton, Charlotte] Natl Oceanog Ctr, Southampton SO14 3ZH, Hants, England</t>
  </si>
  <si>
    <t>University of Exeter; NERC National Oceanography Centre</t>
  </si>
  <si>
    <t>Williamson, D (corresponding author), Univ Exeter, Coll Engn Math &amp; Phys Sci, Exeter, Devon, England.</t>
  </si>
  <si>
    <t>d.williamson@exeter.ac.uk</t>
  </si>
  <si>
    <t>Blaker, Adam T/I-8861-2012</t>
  </si>
  <si>
    <t>Blaker, Adam/0000-0001-5454-0131</t>
  </si>
  <si>
    <t>NERC RAPID-RAPIT project [NE/G015368/1]; EPSRC [EP/K019112/1]; EPSRC [EP/K019112/1] Funding Source: UKRI; NERC [noc010010, NE/G015368/1] Funding Source: UKRI; Engineering and Physical Sciences Research Council [EP/K019112/1] Funding Source: researchfish; Natural Environment Research Council [noc010010, NE/G015368/1] Funding Source: researchfish</t>
  </si>
  <si>
    <t>NERC RAPID-RAPIT project; EPSRC(UK Research &amp; Innovation (UKRI)Engineering &amp; Physical Sciences Research Council (EPSRC));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</si>
  <si>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This research was funded by the NERC RAPID-RAPIT project (NE/G015368/1). Daniel Williamson was also funded by an EPSRC fellowship, grant number EP/K019112/1. We would like to thank the CPDN team for their work on submitting our ensemble to CPDN users. We'd also like to thank the Institute of Advanced Study at Durham University for funding and hosting our workshop on ocean model discrepancy which formed the motivation for these investigations. In addition, we thank the oceanographers who participated in this workshop. We'd like to thank the CPDN users around the world who contributed their spare computing resource as part of the generation of our ensemble. NCEP and CMAP Precipitation data were provided by the NOAA/OAR/ESRL PSD, Boulder, Colorado, USA, from their website at http://www.esrl.noaa.gov/psd/.</t>
  </si>
  <si>
    <t>0930-7575</t>
  </si>
  <si>
    <t>1432-0894</t>
  </si>
  <si>
    <t>CLIM DYNAM</t>
  </si>
  <si>
    <t>Clim. Dyn.</t>
  </si>
  <si>
    <t>5-6</t>
  </si>
  <si>
    <t>10.1007/s00382-014-2378-z</t>
  </si>
  <si>
    <t>CQ3MZ</t>
  </si>
  <si>
    <t>WOS:000360507700010</t>
  </si>
  <si>
    <t>Marshall, GJ; Bracegirdle, TJ</t>
  </si>
  <si>
    <t>Marshall, Gareth J.; Bracegirdle, Thomas J.</t>
  </si>
  <si>
    <t>An examination of the relationship between the Southern Annular Mode and Antarctic surface air temperatures in the CMIP5 historical runs</t>
  </si>
  <si>
    <t>Southern Annular Mode; Antarctica; Climate change; CMIP5; Temperature</t>
  </si>
  <si>
    <t>WEST ANTARCTICA; CLIMATE; OSCILLATION; VARIABILITY; PENINSULA; IMPACTS; TRENDS; OCEAN</t>
  </si>
  <si>
    <t>Strong relationships exist between the Southern Annular Mode (SAM) and surface air temperature (SAT) across much of Antarctica. Changes in the SAM will have a profound influence on future Antarctic climate so it is important that the models used to predict climate change can accurately reproduce current SAM-SAT relationships. We analyse data from 50 Climate Model Intercomparison Project (CMIP) 5 models to assess how well they reproduce the observed mean and variability of annual and seasonal SAM-SAT relationships at six Antarctic stations. Overall, the models do better at reproducing these relationships when meridional flow has its largest influence on SAT, doing best (worst) in winter (autumn and summer). They are generally unable to replicate existing seasonal cycles in the strength of the SAM-SAT relationship and show much less spatial and especially temporal variability in the strength of these relationships than is observed. Using an estimate of intrinsic variability to quantify the skill of the CMIP5 models, their average ability to successfully replicate a seasonal SAM-SAT relationship at the six locations studied ranges from 16 % in autumn to 32 % in winter. The mean success rate of a single model across all four seasons is 24 %, ranging from 8 to 38 % (compared to a 'perfect model' with 46 %). Analysing the different atmospheric circulation patterns associated with extreme SAM-SAT correlations in the models demonstrates the importance of correctly reproducing both the climatological mean and variability of the planetary longwaves at Southern Hemisphere high-latitudes (particularly wave-number 3), in order to accurately reproduce observed SAM-SAT relationships across Antarctica.</t>
  </si>
  <si>
    <t>[Marshall, Gareth J.; Bracegirdle, Thomas J.] British Antarctic Survey, Cambridge CB3 0ET, England</t>
  </si>
  <si>
    <t>Marshall, GJ (corresponding author), British Antarctic Survey, High Cross,Madingley Rd, Cambridge CB3 0ET, England.</t>
  </si>
  <si>
    <t>GJMA@bas.ac.uk</t>
  </si>
  <si>
    <t>Bracegirdle, Tom/AAD-6060-2020</t>
  </si>
  <si>
    <t>Bracegirdle, Thomas/0000-0002-8868-4739</t>
  </si>
  <si>
    <t>UK Natural Environment Research Council through the British Antarctic Survey research programme Polar Science for Planet Earth; Natural Environment Research Council [bas0100023] Funding Source: researchfish; NERC [bas0100023] Funding Source: UKRI</t>
  </si>
  <si>
    <t>UK Natural Environment Research Council through the British Antarctic Survey research programme Polar Science for Planet Earth; Natural Environment Research Council(UK Research &amp; Innovation (UKRI)Natural Environment Research Council (NERC)); NERC(UK Research &amp; Innovation (UKRI)Natural Environment Research Council (NERC))</t>
  </si>
  <si>
    <t>We thank the reviewers for their constructive comments that helped improve the final manuscript. This work was supported by the UK Natural Environment Research Council through the British Antarctic Survey research programme Polar Science for Planet Earth.</t>
  </si>
  <si>
    <t>10.1007/s00382-014-2406-z</t>
  </si>
  <si>
    <t>WOS:000360507700021</t>
  </si>
  <si>
    <t>Kemp, AC; Dutton, A; Raymo, ME</t>
  </si>
  <si>
    <t>Kemp, Andrew C.; Dutton, Andrea; Raymo, Maureen E.</t>
  </si>
  <si>
    <t>Paleo Constraints on Future Sea-Level Rise</t>
  </si>
  <si>
    <t>CURRENT CLIMATE CHANGE REPORTS</t>
  </si>
  <si>
    <t>Pliocene; Last interglacial; Ice sheet</t>
  </si>
  <si>
    <t>GLACIAL ISOSTATIC-ADJUSTMENT; ANTARCTIC ICE-SHEET; DYNAMIC TOPOGRAPHY; LATE HOLOCENE; PROBABILISTIC ASSESSMENT; MIDDLE PLIOCENE; UNITED-STATES; LAND-LEVEL; CLIMATE; MODEL</t>
  </si>
  <si>
    <t>Sea-level rise predicted for the twenty-first century and beyond will become increasingly hazardous to coastal populations, economies, static infrastructure, and ecosystems. Accurately predicting the magnitude and rate of future sea-level rise at local, regional, and global scales is necessary to effectively plan for and manage this growing hazard. Sea-level reconstructions show how high and how fast sea level rose when Earth's climate regime was similar to that anticipated in the immediate future. We draw upon examples from the past three million years, including the Pliocene (similar to 3 million years ago), the Last Interglacial period (Marine Isotope Stage 5c, similar to 125,000 years ago), and the Common Era (last similar to 2000 years) to provide a synopsis of what is known about sea-level rise during these past warm periods and highlight some of the benefits and challenges of using paleo sea-level data to predict future changes.</t>
  </si>
  <si>
    <t>[Kemp, Andrew C.] Tufts Univ, Dept Earth &amp; Ocean Sci, 2 North Hill Rd, Medford, MA 02176 USA; [Dutton, Andrea] Univ Florida, Dept Geol Sci, Gainesville, FL 32611 USA; [Raymo, Maureen E.] Columbia Univ, Lamont Doherty Earth Observ, Palisades, NY 10964 USA</t>
  </si>
  <si>
    <t>Tufts University; State University System of Florida; University of Florida; Columbia University</t>
  </si>
  <si>
    <t>Kemp, AC (corresponding author), Tufts Univ, Dept Earth &amp; Ocean Sci, 2 North Hill Rd, Medford, MA 02176 USA.</t>
  </si>
  <si>
    <t>andrew.kemp@tufts.edu; adutton@ufl.edu; raymo@ldeo.columbia.edu</t>
  </si>
  <si>
    <t>Raymo, Maureen E/A-1270-2012; IPO, PAGES/JXY-7546-2024; Dutton, Andrea/A-2506-2008</t>
  </si>
  <si>
    <t>Dutton, Andrea/0000-0002-3836-119X</t>
  </si>
  <si>
    <t>NSF [OCE-1202632, 1155495]; NOAA [NA11OAR4310101]; Directorate For Geosciences; Division Of Ocean Sciences [1155495] Funding Source: National Science Foundation; Division Of Ocean Sciences; Directorate For Geosciences [1458921] Funding Source: National Science Foundation</t>
  </si>
  <si>
    <t>NSF(National Science Foundation (NSF)); NOAA(National Oceanic Atmospheric Admin (NOAA) - USA); Directorate For Geosciences; Division Of Ocean Sciences(National Science Foundation (NSF)NSF - Directorate for Geosciences (GEO)); Division Of Ocean Sciences; Directorate For Geosciences(National Science Foundation (NSF)NSF - Directorate for Geosciences (GEO))</t>
  </si>
  <si>
    <t>We thank Bob Kopp and Klaus Bittermann for providing the MAGICC climate projections and two anonymous reviewers for their helpful and insightful comments. This is a contribution to the PaleoConstraints on Sea-Level Rise (PALSEA2) working group. We acknowledge support from NSF award OCE-1202632 PLIOMAX toMER, NSF award #1155495 to AD, and NOAA award NA11OAR4310101 to ACK.</t>
  </si>
  <si>
    <t>2198-6061</t>
  </si>
  <si>
    <t>CURR CLIM CHANGE REP</t>
  </si>
  <si>
    <t>Curr. Clim. Chang. Rep.</t>
  </si>
  <si>
    <t>10.1007/s40641-015-0014-6</t>
  </si>
  <si>
    <t>VI2LO</t>
  </si>
  <si>
    <t>WOS:000463896300009</t>
  </si>
  <si>
    <t>Kulkarni, HM; Swamy, CVB; Jagannadham, MV</t>
  </si>
  <si>
    <t>Kulkarni, Heramb M.; Swamy, Ch. V. B.; Jagannadham, Medicharla V.</t>
  </si>
  <si>
    <t>The proteome of the outer membrane vesicles of an Antarctic bacterium Pseudomonas syringae Lz4W</t>
  </si>
  <si>
    <t>DATA IN BRIEF</t>
  </si>
  <si>
    <t>Article; Data Paper</t>
  </si>
  <si>
    <t>Outer membrane vesicles; Grant-negative bacteria; Physiology; Proteomics; ESI-MS/MS</t>
  </si>
  <si>
    <t>Outer membrane vesicles (OMVs) of gram-negative bacteria are released during all growth phases and play an important role in bacterial physiology. They consist of lipids, proteins, lipopolysaccharides and other molecules. The OMVs of the Antarctic bacterium Pseudomonas syringae Lz 4W were isolated and identified their proteins. The mass spectral data set deposited with PRIDE, accession number PXD 000221 is presented in this report The proteins identified from the OMVs of P sytingae Lz4W, data of this study were published in the Journal of proteome research [1]. (C) 2015 The Authors. Published by Elsevier Inc. This is an open access article under the CC BY license</t>
  </si>
  <si>
    <t>[Kulkarni, Heramb M.; Swamy, Ch. V. B.; Jagannadham, Medicharla V.] CSIR, Ctr Cellular &amp; Mol Biol, Uppal Road, Hyderabad 500007, Andhra Pradesh, India</t>
  </si>
  <si>
    <t>Jagannadham, MV (corresponding author), CSIR, Ctr Cellular &amp; Mol Biol, Uppal Road, Hyderabad 500007, Andhra Pradesh, India.</t>
  </si>
  <si>
    <t>jagan@ccmb.res.in</t>
  </si>
  <si>
    <t>Jagannadham, Medicharla V. V./AAW-6773-2021; Kulkarni, Heamb/JMC-4945-2023</t>
  </si>
  <si>
    <t>Department of Science and Technology (DST), New Delhi</t>
  </si>
  <si>
    <t>Department of Science and Technology (DST), New Delhi(Department of Science &amp; Technology (India))</t>
  </si>
  <si>
    <t>We would like to thank the Department of Science and Technology (DST), New Delhi for financial support to carry out this research work.</t>
  </si>
  <si>
    <t>2352-3409</t>
  </si>
  <si>
    <t>DATA BRIEF</t>
  </si>
  <si>
    <t>Data Brief</t>
  </si>
  <si>
    <t>10.1016/j.dib.2015.07.001</t>
  </si>
  <si>
    <t>VH4GI</t>
  </si>
  <si>
    <t>WOS:000453157400075</t>
  </si>
  <si>
    <t>Ansorge, IJ; Jackson, JM; Reid, K; Durgadoo, JV; Swart, S; Eberenz, S</t>
  </si>
  <si>
    <t>Ansorge, I. J.; Jackson, J. M.; Reid, K.; Durgadoo, J. V.; Swart, S.; Eberenz, S.</t>
  </si>
  <si>
    <t>Evidence of a southward eddy corridor in the South-West Indian ocean</t>
  </si>
  <si>
    <t>Mesoscale variability; South-West Indian Ridge; Antarctic Circumpolar Current; Antarctic Polar Frontal Zone</t>
  </si>
  <si>
    <t>ANTARCTIC CIRCUMPOLAR CURRENT; HEAT; FRONTS; EDDIES; FLUX; VARIABILITY; SECTOR; ENERGY</t>
  </si>
  <si>
    <t>Mesoscale eddies and meanders have been shown to be one of the dominant sources of flow variability in the world's ocean. One example of an isolated eddy hotspot is the South-West Indian Ridge (SWIR). Several investigations have shown that the SVVIR and the corresponding planetary potential vorticity field (f/H) exert a strong influence on the location and dynamics of the Antarctic Circumpolar Current (ACC), resulting in substantial fragmentation of the jets downstream of the ridge. The easterly extension of this eddy corridor appears to be restricted to the deep channel separating the Conrad Rise from the Del Cano and Crozet Plateau. However, while the fate of eddies formed at the SWIR has been widely investigated and the frontal character of this eastward extension is well known, the zone of diminishing variability that extends southwards to approximately 60 degrees S remains poorly sampled. Using a combination of Argo, AVISO and NCEP/NCAR datasets, the character of this eddy corridor as a conduit for warm core eddies to move across the ACC into the Antarctic zone is investigated. In this study, we track a single warm-core eddy as it moves southwards from an original position of 31 degrees E, 50 degrees 20'S to where it dissipates 10 months later in the Enderby Basin at 56 degrees 20'S. An Argo float entrained within the eddy confirms that its water masses are consistent with water found within the Antarctic Polar Frontal Zone north of the APF. Latent and sensible heat fluxes are on average 8 W/m(2) and 10 W/m(2) greater over the eddy than directly east of this feature. It is estimated that the eddy lost an average of 5W/m(2) of latent heat and 5 W/m(2) of sensible heat over a 1-year period, an amount capable of melting approximately 0.92 m of sea ice. In addition, using an eddy tracking algorithm a total of 28 eddies are identified propagating southwards, 25 of which are anti-cyclonic in rotation. Based on the new Argo float data, combined with AVISO and NCEP/NCAR datasets, these results suggest that the southward passage of warm-core eddies act as vehicles transporting heat, salt and biota southwards across the ACC and into the eastern boundary of the Weddell gyre. (C) 2014 Elsevier Ltd. All rights reserved.</t>
  </si>
  <si>
    <t>[Ansorge, I. J.; Jackson, J. M.; Reid, K.; Swart, S.] Univ Cape Town, Marine Res Inst, Dept Oceanog, ZA-7701 Rondebosch, South Africa; [Jackson, J. M.] ASL Environm Sci Inc, Victoria, BC V8M 1Z5, Canada; [Durgadoo, J. V.; Eberenz, S.] GEOMAR Helmholtz Ctr Ocean Res, D-24105 Kiel, Germany; [Swart, S.] CSIR, Southern Ocean Carbon &amp; Climate Observ, ZA-7599 Stellenbosch, South Africa</t>
  </si>
  <si>
    <t>University of Cape Town; Helmholtz Association; GEOMAR Helmholtz Center for Ocean Research Kiel; Council for Scientific &amp; Industrial Research (CSIR) - South Africa</t>
  </si>
  <si>
    <t>Ansorge, IJ (corresponding author), Univ Cape Town, Marine Res Inst, Dept Oceanog, ZA-7701 Rondebosch, South Africa.</t>
  </si>
  <si>
    <t>Isabelle.Ansorge@uct.ac.za</t>
  </si>
  <si>
    <t>ANSORGE, ISABELLE/AAY-7396-2020; Swart, Sebastiaan/U-5498-2017</t>
  </si>
  <si>
    <t>Durgadoo, Jonathan/0000-0001-6297-5178; Eberenz, Samuel/0000-0001-7221-4647; Swart, Sebastiaan/0000-0002-2251-8826; Jackson, Jennifer/0000-0002-2318-8814; Ansorge, Isabelle/0000-0001-7071-8147</t>
  </si>
  <si>
    <t>South African National Antarctic Programme through the National Research Foundation (NRF), Department of Science and Technology; University of Cape Town; Bundesministerium fur Bildung und Forschung [SPACES 03G0835A]</t>
  </si>
  <si>
    <t>South African National Antarctic Programme through the National Research Foundation (NRF), Department of Science and Technology; University of Cape Town; Bundesministerium fur Bildung und Forschung(Federal Ministry of Education &amp; Research (BMBF))</t>
  </si>
  <si>
    <t>Financial support for this study was provided by the South African National Antarctic Programme through the National Research Foundation (NRF), Department of Science and Technology and the University of Cape Town. The authors wish to thank Dr. Bjorn Backeberg, Director of the Nansen Tutu Centre in South Africa, for his input and help with the analysis of the Chelton et al. (2011) eddy tracking dataset and Fig. 5. The authors would also like to thank the highly constructive comments from two anonymous reviewers. J.V.D. acknowledges funding by the Bundesministerium fur Bildung und Forschung project SPACES 03G0835A.</t>
  </si>
  <si>
    <t>10.1016/j.dsr2.2014.05.012</t>
  </si>
  <si>
    <t>CR8DK</t>
  </si>
  <si>
    <t>WOS:000361581100008</t>
  </si>
  <si>
    <t>Carvalho, EL; Wallau, GD; Rangel, DL; Machado, LC; da Silva, AF; da Silva, LFD; Macedo, PE; Pereira, AB; Victoria, FD; Boldo, JT; Dal Belo, CA; Pinto, PM</t>
  </si>
  <si>
    <t>Carvalho, Evelise Leis; Wallau, Gabriel da Luz; Rangel, Darlene Lopes; Machado, Lais Ceschini; da Silva, Alexandre Freitas; Duarte da Silva, Luiz Fernando; Macedo, Pablo Echeverria; Pereira, Antonio Batista; Victoria, Filipe de Carvalho; Boldo, Juliano Tomazzoni; Dal Belo, Chariston Andre; Pinto, Paulo Marcos</t>
  </si>
  <si>
    <t>Draft Plastid and Mitochondrial Genome Sequences from Antarctic Alga Prasiola crispa</t>
  </si>
  <si>
    <t>GENOME ANNOUNCEMENTS</t>
  </si>
  <si>
    <t>The organelle genomes of the Antarctic alga Prasiola crispa (Lightfoot) Kutzing have been sequenced. The plastid and mitochondrial genomes have a total length of 196,502 bp and 89,819 bp, respectively. These genomes have 19 putative photosynthesis-related genes and 17 oxidative metabolism-related genes, respectively.</t>
  </si>
  <si>
    <t>[Carvalho, Evelise Leis; Wallau, Gabriel da Luz; Rangel, Darlene Lopes; Machado, Lais Ceschini; da Silva, Alexandre Freitas; Duarte da Silva, Luiz Fernando; Macedo, Pablo Echeverria; Boldo, Juliano Tomazzoni; Dal Belo, Chariston Andre; Pinto, Paulo Marcos] Univ Pampa, Appl Prote Lab, Sao Gabriel, Brazil; [Pereira, Antonio Batista; Victoria, Filipe de Carvalho] Univ Pampa, Natl Inst Antarctic Sci &amp; Technol Environm Res, Antarctic Studies Plant Core, Sao Gabriel, Brazil</t>
  </si>
  <si>
    <t>Pinto, PM (corresponding author), Univ Pampa, Appl Prote Lab, Sao Gabriel, Brazil.</t>
  </si>
  <si>
    <t>paulopinto@unipampa.edu.br</t>
  </si>
  <si>
    <t>Wallau, Gabriel/B-5911-2008; Pinto, Paulo Marcos/O-4358-2019; Pereira, Antonio B/I-8201-2014; Pinto, Paulo Marcos/JCD-9191-2023; Pereira, Antonio/AAD-5703-2019; Victoria, Filipe/F-6066-2013; Victoria, Filipe C/E-1890-2012</t>
  </si>
  <si>
    <t>Wallau, Gabriel/0000-0002-1419-5713; Pinto, Paulo Marcos/0000-0002-8513-0335; Pereira, Antonio B/0000-0003-0368-4594; Victoria, Filipe/0000-0002-8580-1813; Silva, Alexandre Freitas/0000-0002-8034-8562; Dal Belo, Chariston Andre/0000-0001-7010-6503</t>
  </si>
  <si>
    <t>National Council for Scientific and Technological Development (CNPq-Brazil); Coordination for the Improvement of Higher Education Personnel (CAPES-Brazil); Fundacao de Amparo a Pesquisa do Estado do Rio Grande do Sul (FAPERGS-Brazil); National Institute of Science and Technology-Antarctic Environmental Research (INCT-APA)</t>
  </si>
  <si>
    <t>National Council for Scientific and Technological Development (CNPq-Brazil)(Conselho Nacional de Desenvolvimento Cientifico e Tecnologico (CNPQ)); Coordination for the Improvement of Higher Education Personnel (CAPES-Brazil)(Coordenacao de Aperfeicoamento de Pessoal de Nivel Superior (CAPES)); Fundacao de Amparo a Pesquisa do Estado do Rio Grande do Sul (FAPERGS-Brazil)(Fundacao de Amparo a Ciencia e Tecnologia do Estado do Rio Grande do Sul (FAPERGS)); National Institute of Science and Technology-Antarctic Environmental Research (INCT-APA)</t>
  </si>
  <si>
    <t>This work was supported by the National Council for Scientific and Technological Development (CNPq-Brazil), the Coordination for the Improvement of Higher Education Personnel (CAPES-Brazil), the Fundacao de Amparo a Pesquisa do Estado do Rio Grande do Sul (FAPERGS-Brazil), and the National Institute of Science and Technology-Antarctic Environmental Research (INCT-APA). E.L.C. received research fellowships from the Fundacao de Amparo a Pesquisa do Estado do Rio Grande do Sul (FAPERGS-Brazil).</t>
  </si>
  <si>
    <t>AMER SOC MICROBIOLOGY</t>
  </si>
  <si>
    <t>1752 N ST NW, WASHINGTON, DC 20036-2904 USA</t>
  </si>
  <si>
    <t>2169-8287</t>
  </si>
  <si>
    <t>Genom. Ann.</t>
  </si>
  <si>
    <t>e01151-15</t>
  </si>
  <si>
    <t>10.1128/genomeA.01151-15</t>
  </si>
  <si>
    <t>VI1DM</t>
  </si>
  <si>
    <t>WOS:000460642600153</t>
  </si>
  <si>
    <t>Hahm, D; Baker, ET; Rhee, TS; Won, YJ; Resing, JA; Lupton, JE; Lee, WK; Kim, M; Park, SH</t>
  </si>
  <si>
    <t>Hahm, Doshik; Baker, Edward T.; Rhee, Tae Siek; Won, Yong-Jin; Resing, Joseph A.; Lupton, John E.; Lee, Won-Kyung; Kim, Minjeong; Park, Sung-Hyun</t>
  </si>
  <si>
    <t>First hydrothermal discoveries on the Australian-Antarctic Ridge: Discharge sites, plume chemistry, and vent organisms</t>
  </si>
  <si>
    <t>GEOCHEMISTRY GEOPHYSICS GEOSYSTEMS</t>
  </si>
  <si>
    <t>EAST PACIFIC RISE; FLOW-INJECTION-ANALYSIS; MID-ATLANTIC RIDGE; FORCIPULATACEA ASTEROIDEA; SPREADING CENTER; METHANE; EVOLUTION; MANGANESE; SEAWATER; FLUIDS</t>
  </si>
  <si>
    <t>The Australian-Antarctic Ridge (AAR) is one of the largest unexplored regions of the global mid-ocean ridge system. Here, we report a multiyear effort to locate and characterize hydrothermal activity on two first-order segments of the AAR:KR1 and KR2. To locate vent sites on each segment, we used profiles collected by Miniature Autonomous Plume Recorders on rock corers during R/V Araon cruises in March and December of 2011. Optical and oxidation-reduction-potential anomalies indicate multiple active sites on both segments. Seven profiles on KR2 found 3 sites, each separated by similar to 25 km. Forty profiles on KR1 identified 17 sites, some within a few kilometer of each other. The spatial density of hydrothermal activity along KR1 and KR2 (plume incidence of 0.34) is consistent with the global trend for a spreading rate of similar to 70 mm/yr. The densest area of hydrothermal activity, named Mujin,'' occurred along the 20 km-long inflated section near the segment center of KR1. Continuous plume surveys conducted in January-February of 2013 on R/V Araon found CH4/He-3 (1-15 x 10(6)) and CH4/Mn (0.01-0.5) ratios in the plume samples, consistent with a basaltic-hosted system and typical of ridges with intermediate spreading rates. Additionally, some of the plume samples exhibited slightly higher ratios of H-2/He-3 and Fe/Mn than others, suggesting that those plumes are supported by a younger hydrothermal system that may have experienced a recent eruption. The Mujin-field was populated by Kiwa crabs and seven-armed Paulasterias starfish previously recorded on the East Scotia Ridge, raising the possibility of circum-Antarctic biogeographic connections of vent fauna.</t>
  </si>
  <si>
    <t>[Hahm, Doshik; Rhee, Tae Siek; Park, Sung-Hyun] Korea Polar Res Inst, Inchon, South Korea; [Baker, Edward T.; Resing, Joseph A.] Univ Washington, Joint Inst Study Atmosphere &amp; Ocean, Seattle, WA 98195 USA; [Baker, Edward T.; Resing, Joseph A.] NOAA, Pacific Marine Environm Lab, Seattle, WA 98115 USA; [Won, Yong-Jin] Ewha Womans Univ, Dept Life Sci, Seoul, South Korea; [Lupton, John E.] NOAA, PMEL, Newport, OR USA; [Lee, Won-Kyung] Ewha Womans Univ, Div EcoSci, Seoul, South Korea; [Hahm, Doshik; Kim, Minjeong] Korea Univ Sci &amp; Technol, Dept Polar Sci, Inchon, South Korea</t>
  </si>
  <si>
    <t>Korea Institute of Ocean Science &amp; Technology (KIOST); Korea Polar Research Institute (KOPRI); University of Washington; University of Washington Seattle; National Oceanic Atmospheric Admin (NOAA) - USA; Ewha Womans University; National Oceanic Atmospheric Admin (NOAA) - USA; Ewha Womans University</t>
  </si>
  <si>
    <t>Park, SH (corresponding author), Korea Polar Res Inst, Inchon, South Korea.</t>
  </si>
  <si>
    <t>shpark314@kopri.re.kr</t>
  </si>
  <si>
    <t>Baker, Edward/C-7688-2015; Resing, Joseph A/J-6110-2017</t>
  </si>
  <si>
    <t>Resing, Joseph A/0000-0002-7334-4176</t>
  </si>
  <si>
    <t>Korea Polar Research Institute [PP13040, PE15050]; (Earth-Ocean Interactions) Program; Joint Institute for the Study of the Atmosphere and Ocean (JISAO) under NOAA [NA10OAR4320148]</t>
  </si>
  <si>
    <t>Korea Polar Research Institute(Korea Polar Research Institute of Marine Research Placement (KOPRI)); (Earth-Ocean Interactions) Program; Joint Institute for the Study of the Atmosphere and Ocean (JISAO) under NOAA</t>
  </si>
  <si>
    <t>Data from this study will be available at Korea Polar Data Center (http:// kpdc.kopri.re.kr). This work is supported by grants from Korea Polar Research Institute (PP13040 and PE15050). E.T.B. was supported by the NOAA Vents (now Earth-Ocean Interactions) Program and the Joint Institute for the Study of the Atmosphere and Ocean (JISAO) under NOAA Cooperative Agreement NA10OAR4320148. PMEL contribution 4312, JISAO contribution 2425. We wish to thank the caption and crew of IBRV Araon for the assistance on board. We thank Jian Lin at Woods Hole Oceanographic Institution and Charles Langmuir at Harvard University for joining the first cruise and giving advice about locating vent sites. We thank Seung-Sep Kim at Chungnam National University for operating MAPRs during the first and second cruises. We appreciate the cooperation of all science parties of the three cruises.</t>
  </si>
  <si>
    <t>1525-2027</t>
  </si>
  <si>
    <t>GEOCHEM GEOPHY GEOSY</t>
  </si>
  <si>
    <t>Geochem. Geophys. Geosyst.</t>
  </si>
  <si>
    <t>10.1002/2015GC005926</t>
  </si>
  <si>
    <t>CW5ML</t>
  </si>
  <si>
    <t>WOS:000365039400019</t>
  </si>
  <si>
    <t>Rudraswami, NG; Prasad, MS; Nagashima, K; Jones, RH</t>
  </si>
  <si>
    <t>Rudraswami, N. G.; Prasad, M. Shyam; Nagashima, K.; Jones, R. H.</t>
  </si>
  <si>
    <t>Oxygen isotopic composition of relict olivine grains in cosmic spherules: Links to chondrules from carbonaceous chondrites</t>
  </si>
  <si>
    <t>INTERPLANETARY DUST PARTICLES; ANTARCTIC MICROMETEORITES; REFRACTORY INCLUSIONS; CHEMICAL-COMPOSITIONS; ACCRETION RATE; TRACE-ELEMENT; II CHONDRULES; ALLENDE; SYSTEMATICS; MINERALOGY</t>
  </si>
  <si>
    <t>Most olivine relict grains in cosmic spherules selected for the present study are pristine and have not been disturbed during their atmospheric entry, thereby preserving their chemical, mineralogical and isotopic compositions. In order to understand the origin of the particles, oxygen isotope compositions of relict olivine grains in twelve cosmic spherules collected from deep sea sediments of the Indian Ocean were studied using secondary ion mass spectrometry. Most of the data lie close to the CCAM (Carbonaceous Chondrite Anhydrous Mineral) line, with Delta O-17 ranging from -5 parts per thousand to 0 parts per thousand. The data overlap oxygen isotopic compositions of chondrules from carbonaceous chondrites such as CV, CK, CR and CM, which suggests that chondrules from carbonaceous chondrites are the source of relict grains in cosmic spherules. Chemical compositions of olivine in cosmic spherules are also very similar to chondrule olivine from carbonaceous chondrites. Several olivine relict grains in three cosmic spherules are O-16-rich (Delta O-17 - 21.9 parts per thousand to -18.7 parts per thousand), similar to oxygen isotopic compositions observed in calcium aluminum rich inclusions (CAIs), amoeboid olivine aggregates (AOAs), and some porphyritic chondrules from carbonaceous chondrites. These grains appear to have recorded the initial oxygen isotopic composition of the inner solar nebula. Three olivine grains from two cosmic spherules have delta O-18 values &gt;+20 parts per thousand, which could be interpreted as mixing with stratospheric oxygen during atmospheric entry. (C) 2015 Elsevier Ltd. All rights reserved.</t>
  </si>
  <si>
    <t>[Rudraswami, N. G.; Prasad, M. Shyam] CSIR, Natl Inst Oceanog, Panaji 403004, Goa, India; [Nagashima, K.] Hawaii Inst Geophys &amp; Planetol, Honolulu, HI 96822 USA; [Jones, R. H.] Univ New Mexico, Dept Earth &amp; Planetary Sci, Albuquerque, NM 87131 USA</t>
  </si>
  <si>
    <t>Council of Scientific &amp; Industrial Research (CSIR) - India; CSIR - National Institute of Oceanography (NIO); University of New Mexico</t>
  </si>
  <si>
    <t>Rudraswami, NG (corresponding author), CSIR, Natl Inst Oceanog, Panaji 403004, Goa, India.</t>
  </si>
  <si>
    <t>rudra@nio.org</t>
  </si>
  <si>
    <t>Jones, Rhian/ABI-6612-2020</t>
  </si>
  <si>
    <t>Nagashima, Kazuhide/0000-0002-9322-3187; Shyam Prasad, Mokkapati/0000-0001-6629-7482</t>
  </si>
  <si>
    <t>Indo-US Science and Technology Forum (IUSSTF); NASA Cosmochemistry [NNX12AH61G]; NASA [NNX12AH61G, 19743] Funding Source: Federal RePORTER</t>
  </si>
  <si>
    <t>Indo-US Science and Technology Forum (IUSSTF); NASA Cosmochemistry(National Aeronautics &amp; Space Administration (NASA)); NASA(National Aeronautics &amp; Space Administration (NASA))</t>
  </si>
  <si>
    <t>N.G.R. and M.S.P. are also grateful to the GEOSINKS (Council of Scientific and Industrial Research XII Plan) and PLANEX (Physical Research Laboratory, Ahmedabad) project, under which this work has been carried out. N.G.R. would also thank Indo-US Science and Technology Forum (IUSSTF) for providing the fellowship and support to carry out the research. We thank Carole Cordier and two anonymous reviewers for their constructive comments and suggestions. R.J. acknowledges financial support from NASA Cosmochemistry grant NNX12AH61G. The laboratory assistance of Vijay Khedekar and Samena Balagar is gratefully acknowledged. We would like to thank Gary Huss are Sasha Krot for their support. This is NIO contribution No. 5753.</t>
  </si>
  <si>
    <t>10.1016/j.gca.2015.05.004</t>
  </si>
  <si>
    <t>CM9IM</t>
  </si>
  <si>
    <t>WOS:000358021900004</t>
  </si>
  <si>
    <t>Jackson, WA; Böhlke, JK; Andraski, BJ; Fahlquist, L; Bexfield, L; Eckardt, FD; Gates, JB; Davila, AF; McKay, CP; Rao, B; Sevanthi, R; Rajagopalan, S; Estrada, N; Sturchio, N; Hatzinger, PB; Anderson, TA; Orris, G; Betancourt, J; Stonestrom, D; Latorre, C; Li, YH; Harvey, GJ</t>
  </si>
  <si>
    <t>Jackson, W. Andrew; Boehlke, J. K.; Andraski, Brian J.; Fahlquist, Lynne; Bexfield, Laura; Eckardt, Frank D.; Gates, John B.; Davila, Alfonso F.; McKay, Christopher P.; Rao, Balaji; Sevanthi, Ritesh; Rajagopalan, Srinath; Estrada, Nubia; Sturchio, Neil; Hatzinger, Paul B.; Anderson, Todd A.; Orris, Greta; Betancourt, Julio; Stonestrom, David; Latorre, Claudio; Li, Yanhe; Harvey, Gregory J.</t>
  </si>
  <si>
    <t>Global patterns and environmental controls of perchlorate and nitrate co-occurrence in arid and semi-arid environments</t>
  </si>
  <si>
    <t>ISOTOPIC COMPOSITION; NATURAL PERCHLORATE; HIGH-PLAINS; DESERT; OXYGEN; GROUNDWATER; REDUCTION; WATER; SOIL; NITROGEN</t>
  </si>
  <si>
    <t>Natural perchlorate (ClO4) is of increasing interest due to its wide-spread occurrence on Earth and Mars, yet little information exists on the relative abundance of ClO4- compared to other major anions, its stability, or long-term variations in production that may impact the observed distributions. Our objectives were to evaluate the occurrence and fate of ClO4- in groundwater and soils/caliche in arid and semi-arid environments (southwestern United States, southern Africa, United Arab Emirates, China, Antarctica, and Chile) and the relationship of ClO4 to the more well-studied atmospherically deposited anions NO3- and Cl- as a means to understand the prevalent processes that affect the accumulation of these species over various time scales. ClO4- is globally distributed in soil and groundwater in arid and semi-arid regions on Earth at concentrations ranging from 10(-1) to 10(6) mu g/kg. Generally, the ClO4- concentration in these regions increases with aridity index, but also depends on the duration of arid conditions. In many arid and semi-arid areas, NO3- and ClO4- co-occur at molar ratios (NO3-/ClO4-) that vary between similar to 10(4) and 10(5). We hypothesize that atmospheric deposition ratios are largely preserved in hyper-arid areas that support little or no biological activity (e.g. plants or bacteria), but can be altered in areas with more active biological processes including N-2 fixation, N mineralization, nitrification, denitrification, and microbial ClO4- reduction, as indicated in part by NO3- isotope data. In contrast, much larger ranges of Cl-/ClO4- and Cl-/NO3- ratios indicate Cl- varies independently from both ClO4- and NO3-. The general lack of correlation between Cl- and ClO4- or NO3- implies that Cl- is not a good indicator of co-deposition and should be used with care when interpreting oxyanion cycling in arid systems. The Atacama Desert appears to be unique compared to all other terrestrial locations having a NO3-/ClO4- molar ratio similar to 10(3). The relative enrichment in ClO4- compared to Cl- or NO3- and unique isotopic composition of Atacama ClO4- may reflect either additional in-situ production mechanism(s) or higher relative atmospheric production rates in that specific region or in the geological past. Elevated concentrations of ClO4- reported on the surface of Mars, and its enrichment with respect to Cl- and NO3-, could reveal important clues regarding the climatic, hydrologic, and potentially biologic evolution of that planet. Given the highly conserved ratio of NO3-/ClO4- in non-biologically active areas on Earth, it may be possible to use alterations of this ratio as a biomarker on Mars and for interpreting major anion cycles and processes on both Mars and Earth, particularly with respect to the less-conserved NO3- pool terrestrially. (C) 2015 Elsevier Ltd. All rights reserved.</t>
  </si>
  <si>
    <t>[Jackson, W. Andrew; Rao, Balaji; Sevanthi, Ritesh; Estrada, Nubia; Anderson, Todd A.] Texas Tech Univ, Lubbock, TX 79409 USA; [Boehlke, J. K.; Betancourt, Julio] US Geol Survey, Natl Ctr 431, Reston, VA 20192 USA; [Andraski, Brian J.] US Geol Survey, Carson City, NV 89701 USA; [Fahlquist, Lynne] US Geol Survey, Austin, TX 78754 USA; [Bexfield, Laura] US Geol Survey, Albuquerque, NM 87109 USA; [Eckardt, Frank D.] Univ Cape Town, Dept Environm &amp; Geog Sci, ZA-7701 Rondebosch, South Africa; [Gates, John B.] Univ Nebraska, Dept Earth &amp; Atmospher Sci, Lincoln, NE 68588 USA; [Davila, Alfonso F.] SETI Inst, Carl Sagan Ctr, Mountain View, CA 94043 USA; [McKay, Christopher P.] NASA, Ames Res Ctr, Moffett Field, CA 94035 USA; [Rajagopalan, Srinath] SSN Coll Engn, Dept Civil Engn, Kalavakkam 603110, India; [Sturchio, Neil] Univ Delaware, Dept Geol Sci, Newark, DE 19716 USA; [Hatzinger, Paul B.] CB&amp;I Fed Serv, Lawrenceville, NJ 08648 USA; [Orris, Greta] US Geol Survey, Tucson, AZ USA; [Stonestrom, David] US Geol Survey, Menlo Pk, CA 94025 USA; [Latorre, Claudio] Inst Ecol &amp; Biodivers IEB, Santiago, Chile; [Latorre, Claudio] Pontificia Univ Catolica Chile, Dept Ecol, Santiago, Chile; [Li, Yanhe] Chinese Acad Geol Sci, Inst Mineral Resources, Key Lab Metallogeny &amp; Mineral Assessment, Beijing 100037, Peoples R China; [Harvey, Gregory J.] USAFSAM OEC, Wright Patterson AFB, OH 45433 USA</t>
  </si>
  <si>
    <t>Texas Tech University System; Texas Tech University; United States Department of the Interior; United States Geological Survey; United States Department of the Interior; United States Geological Survey; United States Department of the Interior; United States Geological Survey; United States Department of the Interior; United States Geological Survey; University of Cape Town; University of Nebraska System; University of Nebraska Lincoln; National Aeronautics &amp; Space Administration (NASA); NASA Ames Research Center; SSN College of Engineering; University of Delaware; United States Department of the Interior; United States Geological Survey; United States Department of the Interior; United States Geological Survey; Pontificia Universidad Catolica de Chile; China Geological Survey; Chinese Academy of Geological Sciences</t>
  </si>
  <si>
    <t>Jackson, WA (corresponding author), Texas Tech Univ, Lubbock, TX 79409 USA.</t>
  </si>
  <si>
    <t>andrew.jackson@ttu.edu</t>
  </si>
  <si>
    <t>Hatzinger, Paul B./AAG-3978-2020; Davila, Alfonso F/A-2198-2013; Rajagopalan, Srinath/GRI-9494-2022; Sevanthi (Dilipan), Ritesh/O-5502-2018; Cheng, Shiqi/JZS-9783-2024; Betancourt, Julio/JXM-4534-2024; Latorre, Claudio/P-3917-2019; Stonestrom, David A/E-9125-2011; Eckardt, Frank D/N-3682-2015; Sevanthi, Ritesh/O-7462-2019; Jackson, William/B-8999-2009; Anderson, Todd/A-2296-2012; Rajagopalan, Srinath/V-1432-2018</t>
  </si>
  <si>
    <t>Hatzinger, Paul B./0000-0003-4473-0112; Sevanthi (Dilipan), Ritesh/0000-0002-7651-3553; Latorre, Claudio/0000-0003-4708-7599; Eckardt, Frank D/0000-0003-0200-7110; Jackson, William/0000-0003-4232-4364; Anderson, Todd/0000-0001-8176-6339; Rajagopalan, Srinath/0000-0001-9320-3824; Sturchio, Neil/0000-0002-7581-9585; Stonestrom, David/0000-0001-7883-3385; Orris, Greta/0000-0002-2340-9955; McKay, Christopher/0000-0002-6243-1362; Bohlke, John Karl/0000-0001-5693-6455</t>
  </si>
  <si>
    <t>Strategic Environmental Research and Development Program (SERDP) of U.S. Department of Defense [ER-1435]; U.S. Geological Survey Toxic Substances Hydrology Program; National Research Program; Groundwater Resources Program; National Water Quality Assessment Program; U.S. Antarctic Research Program[NSF]; Abu Dhabi Emirate National Drilling Company; [ICM P05-002]; [PFB-23]</t>
  </si>
  <si>
    <t>Strategic Environmental Research and Development Program (SERDP) of U.S. Department of Defense; U.S. Geological Survey Toxic Substances Hydrology Program(United States Geological Survey); National Research Program; Groundwater Resources Program; National Water Quality Assessment Program; U.S. Antarctic Research Program[NSF]; Abu Dhabi Emirate National Drilling Company; ;</t>
  </si>
  <si>
    <t>This work was supported by the Strategic Environmental Research and Development Program (SERDP Project ER-1435) of the U.S. Department of Defense; the U.S. Geological Survey Toxic Substances Hydrology Program, National Research Program, Groundwater Resources Program, and National Water Quality Assessment Program; the U.S. Antarctic Research Program[NSF]; and the Abu Dhabi Emirate National Drilling Company. CL acknowledges additional support from grants ICM P05-002 and PFB-23 to the IEB. We are also grateful to SQM for allowing access to a nitrate mine. We thank Dr. Peter McMahon, Dr. Hans Eggenkamp, and anonymous reviewers for insightful comments and suggestions on the manuscript. We thank J. Hannon and S. Mroczkowski for assistance with nitrate isotopic analyses. Any use of trade, product, or firm names is for descriptive purposes only and does not imply endorsement by the U.S. Government.</t>
  </si>
  <si>
    <t>10.1016/j.gca.2015.05.016</t>
  </si>
  <si>
    <t>WOS:000358021900030</t>
  </si>
  <si>
    <t>Ryan, TE; Downie, RA; Kloser, RJ; Keith, G</t>
  </si>
  <si>
    <t>Ryan, Tim E.; Downie, Ryan A.; Kloser, Rudy J.; Keith, Gordon</t>
  </si>
  <si>
    <t>Reducing bias due to noise and attenuation in open-ocean echo integration data</t>
  </si>
  <si>
    <t>acoustics; attenuation; noise; ocean observing system</t>
  </si>
  <si>
    <t>POST-PROCESSING TECHNIQUE; TRANSDUCER MOTION; ACOUSTIC ATTENUATION; BACKGROUND-NOISE; FISH; ABUNDANCE; EQUATION; BUBBLES; SEA</t>
  </si>
  <si>
    <t>Measurements of mean volume backscattering strength (S-v, dB re 1 m(-1)) at ocean-basin scale were made using 38-kHz hull-mounted echosounders on ships of opportunity as part of Australia's Integrated Marine Observing System. The data were collected on vessels of various designs, none of which were purposely built for collecting high-quality acoustic data. A full range of weather extremes affected the quality of the data and could cause large biases in S-v. To remove first-order biases and improve processing efficiency, a sequence of new and existing data processing filters were applied in a semi-automated procedure. These filters were designed to mitigate the effects of three types of noise: impulsive (less than one ping), transient (multiple pings), and background (hours or longer). A filter was also applied to identify signals that were attenuated by air bubbles beneath the transducer. These filters were applied to data from transits across the Southwest Pacific, Indian, and Southern Oceans to produce quality controlled Sv datasets that are now available from a publicly accessible repository. These filters may be relevant to other open-ocean acoustic observing endeavours, and one or more could be used to mitigate bias in data from a range of acoustic applications.</t>
  </si>
  <si>
    <t>[Ryan, Tim E.; Downie, Ryan A.; Kloser, Rudy J.; Keith, Gordon] Commonwealth Sci &amp; Ind Res Org, Oceans &amp; Atmosphere Flagship, Hobart, Tas 7001, Australia</t>
  </si>
  <si>
    <t>Ryan, TE (corresponding author), Commonwealth Sci &amp; Ind Res Org, Oceans &amp; Atmosphere Flagship, GPO Box 1538, Hobart, Tas 7001, Australia.</t>
  </si>
  <si>
    <t>tim.ryan@csiro.au</t>
  </si>
  <si>
    <t>Kloser, Rudy J/A-1464-2012</t>
  </si>
  <si>
    <t>Kloser, Rudy/0000-0002-8620-536X; ryan, tim/0000-0002-4857-9846</t>
  </si>
  <si>
    <t>Integrated Marine Observing System (IMOS)</t>
  </si>
  <si>
    <t>We sincerely thank all contributors to our repository of opportunistic acoustic data. In particular, the fishing industry companies Austral Fisheries (Martin Excel), Sealord New Zealand (Graham Patchell), and Australian Wild Tuna (Angelo Maiorana) and their ships' officers and vessel managers who generously contribute their time and efforts. Also, we are grateful for the contributions by the scientific research vessels, the Australian Marine National Facility's Southern Surveyor, the Australian Antarctic Division's Aurora Australis, and IPEV's L'Astrolabe. Funding for this project was made available by the Integrated Marine Observing System (IMOS). CSIRO's Oceans and Atmosphere Flagship is thanked for supporting the development of this manuscript. Toby Jarvis and two anonymous reviewers are thanked for their efforts. Alan Butler is thanked for his editing input, which greatly improved this manuscript.</t>
  </si>
  <si>
    <t>10.1093/icesjms/fsv121</t>
  </si>
  <si>
    <t>WOS:000368251600029</t>
  </si>
  <si>
    <t>Kubilius, R; Ona, E; Calise, L</t>
  </si>
  <si>
    <t>Kubilius, Rokas; Ona, Egil; Calise, Lucio</t>
  </si>
  <si>
    <t>Measuring in situ krill tilt orientation by stereo photogrammetry: examples for Euphausia superba and Meganyctiphanes norvegica</t>
  </si>
  <si>
    <t>Euphausia superba; krill; Meganyctiphanes norvegica; orientation; stereo camera; stereo photogrammetry; tilt; underwater photography; zooplankton; zooplankton acoustics</t>
  </si>
  <si>
    <t>DIEL VERTICAL MIGRATION; TARGET-STRENGTH MODEL; ANTARCTIC KRILL; IMPROVED PARAMETERIZATION; ISADA KRILL; BEHAVIOR; SDWBA; IDENTIFICATION; BACKSCATTERING; AGGREGATION</t>
  </si>
  <si>
    <t>The natural body orientation adopted by krill is a crucial parameter for understanding and estimating the acoustic backscattering from these animals. Published data are scarce and are usually acquired with single camera systems that provide suboptimal control over the measurement accuracy. Here, we describe a stereo photo camera application for accurate krill measurements in situ, based on several Euphausia superba and Meganyctiphanes norvegica datasets. Body tilt orientation, body length, and school volume density from scattered and schooling krill are presented. Some challenges to the practical implementation of the method are discussed, including practical limits on krill body yaw angles for obtaining useful measurement accuracy and how to account accurately for the true vertical. Calibration and measurement accuracy is discussed together with a practical definition of krill body orientation. Krill sizes determined from stereo images are compared with those measured from trawl samples. The krill body tilt measurements yielded mean estimates of positive (head-up) or negative tilt of 9-17 degrees with rather large spread for scattered aggregations of M. norvegica (SD = 30-37 degrees) and about half of that for polarized schools of E. superba (SD = 14-17 degrees). The measured krill body orientation distributions were also used to calculate krill acoustic target strength as predicted by the stochastic distorted wave Born approximation (SDWBA) model.</t>
  </si>
  <si>
    <t>[Kubilius, Rokas] Metas AS, N-5106 Bergen, Norway; [Kubilius, Rokas; Ona, Egil; Calise, Lucio] Inst Marine Res, NO-5817 Bergen, Norway; [Kubilius, Rokas] Univ Bergen, Dept Biol, N-5020 Bergen, Norway</t>
  </si>
  <si>
    <t>Institute of Marine Research - Norway; University of Bergen</t>
  </si>
  <si>
    <t>Kubilius, R (corresponding author), Metas AS, Nedre Astveit 12, N-5106 Bergen, Norway.</t>
  </si>
  <si>
    <t>rokask@metas.no</t>
  </si>
  <si>
    <t>Kubilius, Rokas/0000-0002-7329-2505</t>
  </si>
  <si>
    <t>Research Council of Norway [190318/S40, 212113/O30]; Marine Ecosystem Technologies AS Company [212113/O30]</t>
  </si>
  <si>
    <t>Research Council of Norway(Research Council of Norway); Marine Ecosystem Technologies AS Company</t>
  </si>
  <si>
    <t>The crews of RV G.O. Sars, RV Hakon Mosby, RV Hans Brattstrom, and Austevoll Research Station (Norway) personnel are thanked for their cooperation during the work. Ronald Pedersen (IMR) is thanked for his effort when collecting Antarctic krill data. James Seager is thanked for his effort when producing camera calibration files for exp. A. Tor Knutsen (IMR) is thanked for his help during Northern krill sampling. The Research Council of Norway is thanked for its financial contribution to the WESTZOO project (no. 190318/S40) and industrial PhD project (no. 212113/O30). The Marine Ecosystem Technologies AS Company is thanked for its financial contribution to industrial PhD project (no. 212113/O30). All AKES (2008) survey contributors are also thanked (Royal Norwegian Ministry of Fisheries and Coastal Affairs, Institute of Marine Research, University of Bergen, Norwegian Antarctic Research Expeditions, Research Council of Norway, Norsk Hydro, Norwegian Petroleum Directorate, and ABB Norway).</t>
  </si>
  <si>
    <t>10.1093/icesjms/fsv077</t>
  </si>
  <si>
    <t>WOS:000368251600030</t>
  </si>
  <si>
    <t>Tschitschko, B; Williams, TJ; Allen, MA; Páez-Espino, D; Kyrpides, N; Zhong, L; Raftery, MJ; Cavicchioli, R</t>
  </si>
  <si>
    <t>Tschitschko, Bernhard; Williams, Timothy J.; Allen, Michelle A.; Paez-Espino, David; Kyrpides, Nikos; Zhong, Ling; Raftery, Mark J.; Cavicchioli, Ricardo</t>
  </si>
  <si>
    <t>Antarctic archaea-virus interactions: metaproteome-led analysis of invasion, evasion and adaptation</t>
  </si>
  <si>
    <t>DEEP LAKE; VIRION ARCHITECTURE; HOST INTERACTIONS; HYPERSALINE LAKE; TAILED VIRUSES; VESTFOLD HILLS; IMMUNE-SYSTEMS; S-LAYER; RESISTANCE; EVOLUTION</t>
  </si>
  <si>
    <t>Despite knowledge that viruses are abundant in natural ecosystems, there is limited understanding of which viruses infect which hosts, and how both hosts and viruses respond to those interactions-interactions that ultimately shape community structure and dynamics. In Deep Lake, Antarctica, intergenera gene exchange occurs rampantly within the low complexity, haloarchaea-dominated community, strongly balanced by distinctions in niche adaptation which maintain sympatric speciation. By performing metaproteomics for the first time on haloarchaea, genomic variation of S-layer, archaella and other cell surface proteins was linked to mechanisms of infection evasion. CRISPR defense systems were found to be active, with haloarchaea responding to at least eight distinct types of viruses, including those infecting between genera. The role of BREX systems in defending against viruses was also examined. Although evasion and defense were evident, both hosts and viruses also may benefit from viruses carrying and expressing host genes, thereby potentially enhancing genetic variation and phenotypic differences within populations. The data point to a complex inter-play leading to a dynamic optimization of host-virus interactions. This comprehensive overview was achieved only through the integration of results from metaproteomics, genomics and metagenomics.</t>
  </si>
  <si>
    <t>[Tschitschko, Bernhard; Williams, Timothy J.; Allen, Michelle A.; Cavicchioli, Ricardo] Univ New S Wales, Sch Biotechnol &amp; Biomol Sci, Sydney, NSW 2052, Australia; [Paez-Espino, David; Kyrpides, Nikos] US DOE, Joint Genome Inst, Walnut Creek, CA USA; [Zhong, Ling; Raftery, Mark J.] Univ New S Wales, Bioanalyt Mass Spectrometry Facil, Sydney, NSW 2052, Australia</t>
  </si>
  <si>
    <t>University of New South Wales Sydney; United States Department of Energy (DOE); Joint Genome Institute - JGI; Joint BioEnergy Institute - JBEI; University of New South Wales Sydney</t>
  </si>
  <si>
    <t>Paez-Espino, David/I-8297-2019; Kyrpides, Nikos C./A-6305-2014; Cavicchioli, Ricardo/D-4341-2013</t>
  </si>
  <si>
    <t>Paez-Espino, David/0000-0002-2939-5398; Kyrpides, Nikos C./0000-0002-6131-0462; Cavicchioli, Ricardo/0000-0001-8989-6402; Williams, Timothy/0000-0002-2738-3019; Tschitschko, Bernhard/0000-0002-0379-3187; Allen, Michelle/0000-0002-8852-1454</t>
  </si>
  <si>
    <t>Australian Research Council; Australian Antarctic Science program; Office of Science of the U.S. Department of Energy [DE-AC02-05CH11231]</t>
  </si>
  <si>
    <t>Australian Research Council(Australian Research Council); Australian Antarctic Science program; Office of Science of the U.S. Department of Energy(United States Department of Energy (DOE))</t>
  </si>
  <si>
    <t>This work was supported by the Australian Research Council and the Australian Antarctic Science program.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Subsidized access to this facility is gratefully acknowledged. The work conducted by the U.S. Department of Energy Joint Genome Institute is supported by the Office of Science of the U.S. Department of Energy under Contract No. DE-AC02-05CH11231. We thank Matthew DeMaere for assistance with Deep Lake databases, Sheree Yau and Susanne Erdmann for valuable discussion about viruses and CRISPRs, and the PRIDE team and ProteomeXchange for efficiently processing and hosting the mass spectrometry data. We warmly acknowledge the positive and constructive comments made during the review process.</t>
  </si>
  <si>
    <t>10.1038/ismej.2015.110</t>
  </si>
  <si>
    <t>CP6SW</t>
  </si>
  <si>
    <t>WOS:000360019500017</t>
  </si>
  <si>
    <t>Long, MC; Lindsay, K; Holland, MM</t>
  </si>
  <si>
    <t>Long, Matthew C.; Lindsay, Keith; Holland, Marika M.</t>
  </si>
  <si>
    <t>Modeling photosynthesis in sea ice-covered waters</t>
  </si>
  <si>
    <t>JOURNAL OF ADVANCES IN MODELING EARTH SYSTEMS</t>
  </si>
  <si>
    <t>THICKNESS DISTRIBUTION; CLIMATE; REPRESENTATION; IMPACT; CCSM4; CYCLE; EARTH</t>
  </si>
  <si>
    <t>The lower trophic levels of marine ecosystems play a critical role in the Earth System mediating fluxes of carbon to the ocean interior. Many of the functional relationships describing biological rate processes, such as primary productivity, in marine ecosystem models are nonlinear functions of environmental state variables. As a result of nonlinearity, rate processes computed from mean fields at coarse resolution will differ from similar computations that incorporate small-scale heterogeneity. Here we examine how subgrid-scale variability in sea ice thickness impacts simulated net primary productivity (NPP) in a 1 degrees x1 degrees configuration of the Community Earth System Model (CESM). CESM simulates a subgrid-scale ice thickness distribution and computes shortwave penetration independently for each ice thickness category. However, the default model formulation uses grid-cell mean irradiance to compute NPP. We demonstrate that accounting for subgrid-scale shortwave heterogeneity by computing light limitation terms under each ice category then averaging the result is a more accurate invocation of the photosynthesis equations. Moreover, this change delays seasonal bloom onset and increases interannual variability in NPP in the sea ice zone in the model. The new treatment reduces annual production by about 32% in the Arctic and 19% in the Antarctic. Our results highlight the importance of considering heterogeneity in physical fields when integrating nonlinear biogeochemical reactions.</t>
  </si>
  <si>
    <t>[Long, Matthew C.; Lindsay, Keith; Holland, Marika M.] Natl Ctr Atmospher Res, Boulder, CO 80307 USA</t>
  </si>
  <si>
    <t>National Center Atmospheric Research (NCAR) - USA</t>
  </si>
  <si>
    <t>Long, MC (corresponding author), Natl Ctr Atmospher Res, POB 3000, Boulder, CO 80307 USA.</t>
  </si>
  <si>
    <t>mclong@ucar.edu</t>
  </si>
  <si>
    <t>Long, Matthew C/H-4632-2016</t>
  </si>
  <si>
    <t>Long, Matthew/0000-0003-1273-2957; Holland, Marika/0000-0001-5621-8939; Lindsay, Keith/0000-0002-3672-1665</t>
  </si>
  <si>
    <t>NSF [OCE-1048926, PLR-0968703]; National Science Foundation</t>
  </si>
  <si>
    <t>NSF(National Science Foundation (NSF)); National Science Foundation(National Science Foundation (NSF))</t>
  </si>
  <si>
    <t>The authors thank Bruce Briegleb and Nancy Norton for their work on implementing the multicolumn capabilities in CESM. Thanks is also given to Gokhan Danabasoglu for useful discussions and to the anonymous reviewers for their insightful comments and suggestions. M.C.L. acknowledges NSF support (OCE-1048926) and M.M.H. also acknowledges NSF support (PLR-0968703). Computational facilities have been provided by the Climate Simulation Laboratory, which is managed by CISL at NCAR. NCAR is supported by the National Science Foundation. The CESM source code is freely available at http://www2.cesm.ucar.edu. The model output described in this paper can be obtained by contacting the lead author (mclong@ucar.edu).</t>
  </si>
  <si>
    <t>1942-2466</t>
  </si>
  <si>
    <t>J ADV MODEL EARTH SY</t>
  </si>
  <si>
    <t>J. Adv. Model. Earth Syst.</t>
  </si>
  <si>
    <t>10.1002/2015MS000436</t>
  </si>
  <si>
    <t>CU1JV</t>
  </si>
  <si>
    <t>WOS:000363278200012</t>
  </si>
  <si>
    <t>Ramos, R; Sanz, V; Militao, T; Bried, J; Neves, VC; Biscoito, M; Phillips, RA; Zino, F; González-Solís, J</t>
  </si>
  <si>
    <t>Ramos, Rauel; Sanz, Victor; Militao, Teresa; Bried, Joel; Neves, Veronica C.; Biscoito, Manuel; Phillips, Richard A.; Zino, Francis; Gonzalez-Solis, Jacob</t>
  </si>
  <si>
    <t>Leapfrog migration and habitat preferences of a small oceanic seabird, Bulwer's petrel (Bulweria bulwerii)</t>
  </si>
  <si>
    <t>Activity patterns; Bulweria bulwerii; Bulwer's petrel; capture-mark-recapture; geolocator data; habitat modelling; Macaronesian seabirds; metapopulation studies; oceanic migrations</t>
  </si>
  <si>
    <t>FROG MIGRATION; TIME-ALLOCATION; POPULATION; EVOLUTION; DISTANCE; CONNECTIVITY; CONSERVATION; HYPOTHESIS; PATTERNS; TRACKING</t>
  </si>
  <si>
    <t>AimOur current understanding of migratory strategies and the reasons for their high variability along the phylogenetic tree remains relatively poor. Most of the hypotheses relating to migration have been formulated for terrestrial taxa; classically, oceanic migrations were considered as merely dispersive because of the scarcity of observations in the open ocean. We describe for the first time, the migration strategy of a small seabird, the Bulwer's petrel (Bulweria bulwerii), and provide new insights into the ecology and evolution of long-distance marine migrations. LocationSubtropical and tropical Atlantic Ocean. MethodsUsing cutting-edge geolocators, we examined the year-round distribution and at-sea activity patterns of adult Bulwer's petrels sampled at five localities throughout the species' breeding range in the Atlantic, within the Azores, Salvages, Canary and Cape Verde archipelagos. We assessed the migratory connectivity of the species and its habitat use at population and metapopulation scales. ResultsOur results provide the first evidence of an oriented leapfrog migration in oceanic seabirds. Ecological niche models based on breeding-season data effectively predicted that subtropical waters of the South Atlantic would be the preferred habitat for the northern populations of Bulwer's petrels during the non-breeding season. Habitat modelling also highlighted similarities in distributions between the breeding and non-breeding periods for the southern populations. Data on at-sea activity patterns suggested that birds from the northern and southern populations behave differently during the breeding season, as well as in the northern and southern non-breeding ranges during the non-breeding period. Main conclusionsThese results indicate that specific habitat preferences, presumably related to differences in prey availability, explain the observed distributions and hence the pattern of leapfrog migration described for Bulwer's petrel. Our study demonstrates the utility of integrating diverse tracking data from multiple populations across international boundaries, and habitat modelling, for identifying important areas common to many marine species in the vast oceanic environments.</t>
  </si>
  <si>
    <t>[Ramos, Rauel; Sanz, Victor; Militao, Teresa; Gonzalez-Solis, Jacob] Univ Barcelona, Fac Biol, Inst Recerca Biodiversitat IRBio, E-08028 Barcelona, Spain; [Ramos, Rauel; Sanz, Victor; Militao, Teresa; Gonzalez-Solis, Jacob] Univ Barcelona, Fac Biol, Dept Biol Anim, E-08028 Barcelona, Spain; [Ramos, Rauel] CNRS UMR 5175, Ctr Ecol Fonct &amp; Evolut, F-34293 Montpellier, France; [Bried, Joel; Neves, Veronica C.] Univ Acores, Marine &amp; Environm Sci Ctr MARE, Horta, Acores, Portugal; [Bried, Joel; Neves, Veronica C.] Univ Acores, Dept Oceanog &amp; Pescas, Inst Marine Res IMAR, Horta, Acores, Portugal; [Biscoito, Manuel] Museu Hist Nat Funchal, P-9004546 Funchal, Madeira, Portugal; [Phillips, Richard A.] British Antarctic Survey, NERC, Cambridge CB3 0ET, England; [Zino, Francis] Freira Conservat Project, P-9000015 Funchal, Madeira, Portugal</t>
  </si>
  <si>
    <t>University of Barcelona; University of Barcelona; Universite PSL; Ecole Pratique des Hautes Etudes (EPHE); Institut Agro; Montpellier SupAgro; CIRAD; Centre National de la Recherche Scientifique (CNRS); Institut de Recherche pour le Developpement (IRD); Universite Paul-Valery; Universite de Montpellier; Universidade dos Acores; Universidade dos Acores; UK Research &amp; Innovation (UKRI); Natural Environment Research Council (NERC); NERC British Antarctic Survey</t>
  </si>
  <si>
    <t>Ramos, R (corresponding author), Univ Barcelona, Fac Biol, Inst Recerca Biodiversitat IRBio, Av Diagonal 643, E-08028 Barcelona, Spain.</t>
  </si>
  <si>
    <t>ramos@ub.edu</t>
  </si>
  <si>
    <t>Biscoito, Manuel/AAC-4390-2021; Neves, Verónica R C/A-4642-2009; Militao, Teresa/AAA-6151-2019; Gonzalez-Solis, Jacob/C-3942-2008; González-Solís, Jacob/AAB-1161-2019; Neves, Verónica/AAS-6850-2021; Ramos, Raül/S-3112-2016</t>
  </si>
  <si>
    <t>Biscoito, Manuel/0000-0002-9347-0823; Neves, Verónica R C/0000-0002-6826-4542; Militao, Teresa/0000-0002-2862-1592; Gonzalez-Solis, Jacob/0000-0002-8691-9397; Ramos, Raül/0000-0002-0551-8605</t>
  </si>
  <si>
    <t>Ministerio de Ciencia e Innovacion; Fondos FEDER [CGL2009-11278/BOS]; SEO/BirdLife [LIFE+INDEMARES: LIFE07NAT/E/000732]; Beatriu de Pinos program from the Catalan AGAUR agency [2010-BPA-00173]; Juan de la Cierva program from the Spanish MINECO [JCI-2012-11848]; FCT (Portugal) [SFRH/BD/47467/2008]; [SFRH/BPD/26657/2006]; [SFRH/BPD/88914/2012]; [SFRH/BPD/36425/2007]; NERC [bas0100035] Funding Source: UKRI; Natural Environment Research Council [bas0100035] Funding Source: researchfish; Fundação para a Ciência e a Tecnologia [SFRH/BPD/36425/2007] Funding Source: FCT</t>
  </si>
  <si>
    <t>Ministerio de Ciencia e Innovacion(Instituto de Salud Carlos IIISpanish Government); Fondos FEDER(European Union (EU)); SEO/BirdLife; Beatriu de Pinos program from the Catalan AGAUR agency; Juan de la Cierva program from the Spanish MINECO; FCT (Portugal)(Fundacao para a Ciencia e a Tecnologia (FCT)); ; ; ; NERC(UK Research &amp; Innovation (UKRI)Natural Environment Research Council (NERC)); Natural Environment Research Council(UK Research &amp; Innovation (UKRI)Natural Environment Research Council (NERC)); Fundação para a Ciência e a Tecnologia(Fundacao para a Ciencia e a Tecnologia (FCT))</t>
  </si>
  <si>
    <t>We thank Consejeria de Medio Ambiente del Cabildo de Gran Canaria for permission to conduct fieldwork, the Ministerio de Ciencia e Innovacion, Fondos FEDER (CGL2009-11278/BOS) and SEO/BirdLife (project LIFE+INDEMARES: LIFE07NAT/E/000732) for funding, and Pascual Calabuig, Loly Estevez, Jose Manuel de los Reyes, Pedro Rodrigues, Veronica Cortes, Zuzana Zajkova, Laura Zango, Enric Batllori and Clara Peron for help at various stages of the work. R.R. was supported by postdoctoral contracts of the Beatriu de Pinos and Juan de la Cierva programs, from the Catalan AGAUR agency (2010-BPA-00173) and the Spanish MINECO (JCI-2012-11848), respectively. FCT (Portugal) supported T.M. (PhD grant SFRH/BD/47467/2008), V.C.N. (post-doc grant SFRH/BPD/26657/2006 and SFRH/BPD/88914/2012), and J.B. (post-doc grant SFRH/BPD/36425/2007). Permits to work on Vila Islet were issued to V.C.N. and J.B. by the Regional Directorate of the Environment from the Azores (SRAM).</t>
  </si>
  <si>
    <t>10.1111/jbi.12541</t>
  </si>
  <si>
    <t>WOS:000359376600007</t>
  </si>
  <si>
    <t>Zheng, F; Li, JP; Wang, L; Xie, F; Li, XF</t>
  </si>
  <si>
    <t>Zheng, Fei; Li, Jianping; Wang, Lei; Xie, Fei; Li, Xiaofeng</t>
  </si>
  <si>
    <t>Cross-Seasonal Influence of the December-February Southern Hemisphere Annular Mode on March-May Meridional Circulation and Precipitation</t>
  </si>
  <si>
    <t>Annular mode; Atmosphere-ocean interaction; Meridional overturning circulation; Precipitation; Antarctic Oscillation</t>
  </si>
  <si>
    <t>ZONAL WIND VACILLATION; ANTARCTIC OSCILLATION; GENERAL-CIRCULATION; PART II; EXTRATROPICAL CIRCULATION; INTERANNUAL VARIABILITY; TROPICAL CLIMATE; HADLEY-CELL; OCEAN; IMPACT</t>
  </si>
  <si>
    <t>New evidence suggests that interannual variability in zonal-mean meridional circulation and precipitation can be partially attributed to the Southern Hemisphere annular mode (SAM), the dominant mode of climate variability in the Southern Hemisphere (SH) extratropics. A cross-seasonal correlation exists between the December-February (DJF) SAM and March-May (MAM) zonal-mean meridional circulation and precipitation. This correlation is not confined to the SH: it also extends to the Northern Hemisphere (NH) subtropics. When the preceding DJF SAM is positive, counterclockwise, and clockwise meridional cells, accompanied by less and more precipitation, occur alternately between the SH middle latitudes and NH subtropics in MAM. In particular, less precipitation occurs in the SH middle latitudes, the SH tropics, and the NH subtropics, but more precipitation occurs in the SH subtropics and the NH tropics. A framework is built to explain the cross-seasonal impact of SAM-related SST anomalies. Evidence indicates that the DJF SAM tends to lead to dipolelike SST anomalies in the SH extratropics, which are referred to in this study as the SH ocean dipole (SOD). The DJF SOD can persist until the following MAM when it begins to modulate MAM meridional circulation and large-scale precipitation. Atmospheric general circulation model simulations further verify that MAM meridional circulation between the SH middle latitudes and the northern subtropics responds to the MAM SOD.</t>
  </si>
  <si>
    <t>[Zheng, Fei; Li, Xiaofeng] Chinese Acad Sci, Inst Atmospher Phys, State Key Lab Numer Modeling Atmospher Sci &amp; Geop, Beijing, Peoples R China; [Li, Jianping; Xie, Fei] Beijing Normal Univ, Coll Global Change &amp; Earth Syst Sci, Beijing 100875, Peoples R China; [Li, Jianping; Xie, Fei] Joint Ctr Global Change Studies, Beijing, Peoples R China; [Wang, Lei] Natl Marine Environm Forecasting Ctr, Key Lab Res Marine Hazards Forecasting, Beijing, Peoples R China</t>
  </si>
  <si>
    <t>Chinese Academy of Sciences; Institute of Atmospheric Physics, CAS; Beijing Normal University; National Marine Environmental Forecasting Center</t>
  </si>
  <si>
    <t>Zheng, Fei/AAV-7512-2021; Xie, Fei/I-9766-2016; Li, Jianping/I-2661-2012; Zheng, Fei/AAQ-4559-2020</t>
  </si>
  <si>
    <t>Zheng, Fei/0000-0001-6135-6148; Xie, Fei/0000-0003-2891-3883; Zheng, Fei/0000-0001-6135-6148; Li, Xiao-Feng/0000-0002-2016-290X</t>
  </si>
  <si>
    <t>973 Program [2013CB430200]; NSFC [41405086, 41030961]</t>
  </si>
  <si>
    <t>973 Program(National Basic Research Program of China); NSFC(National Natural Science Foundation of China (NSFC))</t>
  </si>
  <si>
    <t>This work was jointly supported by the 973 Program (2013CB430200) and the NSFC Project (41405086 and 41030961). NCEP-NCAR reanalysis data were provided by the NOAA/OAR/ESRL PSD, Boulder, Colorado, from their website at http://www.esrl.noaa.gov/psd/. We are grateful to F. F. Jin for comments on early versions of this work. We thank the editor Dr. Judith Perlwitz and the three anonymous reviewers; their comments and suggestions helped the authors to significantly improve the manuscript.</t>
  </si>
  <si>
    <t>10.1175/JCLI-D-14-00515.1</t>
  </si>
  <si>
    <t>CQ4QW</t>
  </si>
  <si>
    <t>WOS:000360590700015</t>
  </si>
  <si>
    <t>van Wessem, JM; Reijmer, CH; van de Berg, WJ; van den Broeke, MR; Cook, AJ; van Ulft, LH; van Meijgaard, E</t>
  </si>
  <si>
    <t>van Wessem, Jan Melchior; Reijmer, Carleen H.; van de Berg, Willem Jan; van den Broeke, Michiel R.; Cook, Alison J.; van Ulft, Lambertus H.; van Meijgaard, Erik</t>
  </si>
  <si>
    <t>Temperature and Wind Climate of the Antarctic Peninsula as Simulated by a High-Resolution Regional Atmospheric Climate Model</t>
  </si>
  <si>
    <t>SURFACE MASS-BALANCE; HEMISPHERE ANNULAR MODE; DIGITAL ELEVATION MODEL; SOUTHERN-HEMISPHERE; ICE SHELVES; SUMMER TEMPERATURES; EAST ANTARCTICA; ENERGY BALANCE; WEDDELL SEA; PRECIPITATION</t>
  </si>
  <si>
    <t>The latest polar version of the Regional Atmospheric Climate Model (RACMO2.3) has been applied to the Antarctic Peninsula (AP). In this study, the authors present results of a climate run at 5.5 km for the period 1979-2013, in which RACMO2.3 is forced by ERA-Interim atmospheric and ocean surface fields, using an updated AP surface topography. The model results are evaluated with near-surface temperature and wind measurements from 12 manned and automatic weather stations and vertical profiles from balloon soundings made at three stations. The seasonal cycle of near-surface temperature and wind is simulated well, with most biases still related to the limited model resolution. High-resolution climate maps of temperature and wind showing that the AP climate exhibits large spatial variability are discussed. Over the steep and high mountains of the northern AP, large west-to-east climate gradients exist, while over the gentle southern AP mountains the near-surface climate is dominated by katabatic winds. Over the flat ice shelves, where katabatic wind forcing is weak, interannual variability in temperature is largest. Finally, decadal trends of temperature and wind are presented, and it is shown that recently there has been distinct warming over the northwestern AP and cooling over the rest of the AP, related to changes in sea ice cover.</t>
  </si>
  <si>
    <t>[van Wessem, Jan Melchior; Reijmer, Carleen H.; van de Berg, Willem Jan; van den Broeke, Michiel R.] Univ Utrecht, Inst Marine &amp; Atmospher Res Utrecht, Utrecht, Netherlands; [Cook, Alison J.] Swansea Univ, Dept Geog, Swansea, W Glam, Wales; [van Ulft, Lambertus H.; van Meijgaard, Erik] Royal Netherlands Meteorol Inst, NL-3730 AE De Bilt, Netherlands</t>
  </si>
  <si>
    <t>Utrecht University; Swansea University; Royal Netherlands Meteorological Institute</t>
  </si>
  <si>
    <t>van Wessem, JM (corresponding author), Princetonpl 5, NL-3584 CC Utrecht, Netherlands.</t>
  </si>
  <si>
    <t>j.m.vanwessem@uu.nl</t>
  </si>
  <si>
    <t>Van den Broeke, Michiel R./F-7867-2011; van de Berg, Willem Jan/H-4385-2011; Reijmer, Carleen H/G-8736-2011; van Wessem, Melchior/AAB-1987-2019</t>
  </si>
  <si>
    <t>Van den Broeke, Michiel R./0000-0003-4662-7565; van de Berg, Willem Jan/0000-0002-8232-2040; Reijmer, Carleen H/0000-0001-8299-3883; van Wessem, Melchior/0000-0003-3221-791X</t>
  </si>
  <si>
    <t>NWO/ALW, Netherlands Polar Programme</t>
  </si>
  <si>
    <t>We are grateful for the financial support of NWO/ALW, Netherlands Polar Programme. We thank the ECMWF for the use of their supercomputing facilities. Graphics and calculations were made using the NCAR Command Language (Version 6.2.1; UCAR/NCAR/CISL/VETS 2014). We thank Peter Kuipers Munneke for providing us with the Larsen C Ice Shelf radiosonde data and Stefan Ligtenberg for providing us with the FDM data for model initialization. We are grateful for data from the SCAR-READER dataset and for Steve Colwell helping us with the usage of these data. We thank three anonymous reviewers for their helpful comments, which have improved the paper.</t>
  </si>
  <si>
    <t>10.1175/JCLI-D-15-0060.1</t>
  </si>
  <si>
    <t>Bronze, Green Submitted, Green Accepted, Green Published</t>
  </si>
  <si>
    <t>WOS:000361036800019</t>
  </si>
  <si>
    <t>Isaac, T; Petra, N; Stadler, G; Ghattas, O</t>
  </si>
  <si>
    <t>Isaac, Tobin; Petra, Noemi; Stadler, Georg; Ghattas, Omar</t>
  </si>
  <si>
    <t>Scalable and efficient algorithms for the propagation of uncertainty from data through inference to prediction for large-scale problems, with application to flow of the Antarctic ice sheet</t>
  </si>
  <si>
    <t>JOURNAL OF COMPUTATIONAL PHYSICS</t>
  </si>
  <si>
    <t>Uncertainty quantification; Inverse problems; Bayesian inference; Data-to-prediction; Low-rank approximation; Adjoint-based Hessian; Nonlinear Stokes equations; Inexact Newton-Krylov method; Preconditioning; Ice sheet flow modeling; Antarctic ice sheet</t>
  </si>
  <si>
    <t>INVERSE PROBLEMS; QUANTIFICATION; PARAMETERS; RHEOLOGY; STRESS; MESHES</t>
  </si>
  <si>
    <t>The majority of research on efficient and scalable algorithms in computational science and engineering has focused on the forward problem: given parameter inputs, solve the governing equations to determine output quantities of interest. In contrast, here we consider the broader question: given a (large-scale) model containing uncertain parameters, (possibly) noisy observational data, and a prediction quantity of interest, how do we construct efficient and scalable algorithms to (1) infer the model parameters from the data (the deterministic inverse problem), (2) quantify the uncertainty in the inferred parameters (the Bayesian inference problem), and (3) propagate the resulting uncertain parameters through the model to issue predictions with quantified uncertainties (the forward uncertainty propagation problem)? We present efficient and scalable algorithms for this end-to-end, data-to-prediction process under the Gaussian approximation and in the context of modeling the flow of the Antarctic ice sheet and its effect on loss of grounded ice to the ocean. The ice is modeled as a viscous, incompressible, creeping, shear-thinning fluid. The observational data come from satellite measurements of surface ice flow velocity, and the uncertain parameter field to be inferred is the basal sliding parameter, represented by a heterogeneous coefficient in a Robin boundary condition at the base of the ice sheet. The prediction quantity of interest is the present-day ice mass flux from the Antarctic continent to the ocean. We show that the work required for executing this data-to-prediction process-measured in number of forward (and adjoint) ice sheet model solves-is independent of the state dimension, parameter dimension, data dimension, and the number of processor cores. The key to achieving this dimension independence is to exploit the fact that, despite their large size, the observational data typically provide only sparse information on model parameters. This property can be exploited to construct a low rank approximation of the linearized parameter-to-observable map via randomized SVD methods and adjoint-based actions of Hessians of the data misfit functional. (C) 2015 Elsevier Inc. All rights reserved.</t>
  </si>
  <si>
    <t>[Isaac, Tobin; Ghattas, Omar] Univ Texas Austin, Inst Computat Engn &amp; Sci, Austin, TX 78712 USA; [Petra, Noemi] Univ Calif Merced, Sch Nat Sci, Appl Math, Merced, CA 95343 USA; [Stadler, Georg] NYU, Courant Inst Math Sci, New York, NY USA; [Ghattas, Omar] Univ Texas Austin, Dept Mech Engn, Austin, TX 78712 USA; [Ghattas, Omar] Univ Texas Austin, Jackson Sch Geosci, Austin, TX 78712 USA</t>
  </si>
  <si>
    <t>University of Texas System; University of Texas Austin; University of California System; University of California Merced; New York University; University of Texas System; University of Texas Austin; University of Texas System; University of Texas Austin</t>
  </si>
  <si>
    <t>Petra, N (corresponding author), Univ Calif Merced, Sch Nat Sci, Appl Math, Merced, CA 95343 USA.</t>
  </si>
  <si>
    <t>tisaac@ices.utexas.edu; npetra@ucmerced.edu; stadler@cims.nyu.edu; omar@ices.utexas.edu</t>
  </si>
  <si>
    <t>U.S. Air Force Office of Scientific Research Computational Mathematics program [FA9550-12-1-0484]; U.S. Department of Energy Office of Science Advanced Scientific Computing Research program [DE-FG02-09ER25914, DE-FC02-13ER26128, DE-SC0010518]; U.S. National Science Foundation Cyber-Enabled Discovery and Innovation program [CMS-1028889, OPP-0941678]; Office of Science of the DOE [DE-AC05-00OR22725]; Div Of Civil, Mechanical, &amp; Manufact Inn; Directorate For Engineering [1028889] Funding Source: National Science Foundation</t>
  </si>
  <si>
    <t>U.S. Air Force Office of Scientific Research Computational Mathematics program(United States Department of DefenseAir Force Office of Scientific Research (AFOSR)); U.S. Department of Energy Office of Science Advanced Scientific Computing Research program(United States Department of Energy (DOE)); U.S. National Science Foundation Cyber-Enabled Discovery and Innovation program(National Science Foundation (NSF)); Office of Science of the DOE(United States Department of Energy (DOE)); Div Of Civil, Mechanical, &amp; Manufact Inn; Directorate For Engineering(National Science Foundation (NSF)NSF - Directorate for Engineering (ENG))</t>
  </si>
  <si>
    <t>We thank the anonymous reviewers for their thorough reading of the manuscript, and for their valuable comments and suggestions that improved the quality of the paper. Support for this work was provided by: the U.S. Air Force Office of Scientific Research Computational Mathematics program under award number FA9550-12-1-0484; the U.S. Department of Energy Office of Science Advanced Scientific Computing Research program under award numbers DE-FG02-09ER25914, DE-FC02-13ER26128, and DE-SC0010518; and the U.S. National Science Foundation Cyber-Enabled Discovery and Innovation program under awards CMS-1028889 and OPP-0941678. This research used resources of the Oak Ridge Leadership Facility at the ORNL, which is supported by the Office of Science of the DOE under Contract No. DE-AC05-00OR22725. Computing time on TACC's Stampede was provided under XSEDE, TG- DPP130002.</t>
  </si>
  <si>
    <t>0021-9991</t>
  </si>
  <si>
    <t>1090-2716</t>
  </si>
  <si>
    <t>J COMPUT PHYS</t>
  </si>
  <si>
    <t>J. Comput. Phys.</t>
  </si>
  <si>
    <t>10.1016/j.jcp.2015.04.047</t>
  </si>
  <si>
    <t>Computer Science, Interdisciplinary Applications; Physics, Mathematical</t>
  </si>
  <si>
    <t>Computer Science; Physics</t>
  </si>
  <si>
    <t>CI6MO</t>
  </si>
  <si>
    <t>WOS:000354873900017</t>
  </si>
  <si>
    <t>Winter, K; Woodward, J; Ross, N; Dunning, SA; Bingham, RG; Corr, HFJ; Siegert, MJ</t>
  </si>
  <si>
    <t>Winter, Kate; Woodward, John; Ross, Neil; Dunning, Stuart A.; Bingham, Robert G.; Corr, Hugh F. J.; Siegert, Martin J.</t>
  </si>
  <si>
    <t>Airborne radar evidence for tributary flow switching in Institute Ice Stream, West Antarctica: Implications for ice sheet configuration and dynamics</t>
  </si>
  <si>
    <t>West Antarctica; ice streams; ice sheet stability; subglacial troughs; radio echo sounding; Holocene</t>
  </si>
  <si>
    <t>WEDDELL SEA SECTOR; PINE ISLAND GLACIER; SURFACE; BED; STAGNATION; DIRECTION; EXTENT; SHELF; LAND</t>
  </si>
  <si>
    <t>Despite the importance of ice streaming to the evaluation of West Antarctic Ice Sheet (WAIS) stability we know little about mid- to long-term dynamic changes within the Institute Ice Stream (IIS) catchment. Here we use airborne radio echo sounding to investigate the subglacial topography, internal stratigraphy, and Holocene flow regime of the upper IIS catchment near the Ellsworth Mountains. Internal layer buckling within three discrete, topographically confined tributaries, through Ellsworth, Independence, and Horseshoe Valley Troughs, provides evidence for former enhanced ice sheet flow. We suggest that enhanced ice flow through Independence and Ellsworth Troughs, during the mid-Holocene to late Holocene, was the source of ice streaming over the region now occupied by the slow-flowing Bungenstock Ice Rise. Although buckled layers also exist within the slow-flowing ice of Horseshoe Valley Trough, a thicker sequence of surface-conformable layers in the upper ice column suggests slowdown more than 4000years ago, so we do not attribute enhanced flow switch-off here, to the late Holocene ice-flow reorganization. Intensely buckled englacial layers within Horseshoe Valley and Independence Troughs cannot be accounted for under present-day flow speeds. The dynamic nature of ice flow in IIS and its tributaries suggests that recent ice stream switching and mass changes in the Siple Coast and Amundsen Sea sectors are not unique to these sectors, that they may have been regular during the Holocene and may characterize the decline of the WAIS.</t>
  </si>
  <si>
    <t>[Winter, Kate; Woodward, John; Dunning, Stuart A.] Northumbria Univ, Fac Engn &amp; Environm, Dept Geog, Newcastle Upon Tyne NE1 8ST, Tyne &amp; Wear, England; [Ross, Neil] Newcastle Univ, Sch Geog Polit &amp; Sociol, Newcastle Upon Tyne NE1 7RU, Tyne &amp; Wear, England; [Bingham, Robert G.] Univ Edinburgh, Sch Geosci, Edinburgh, Midlothian, Scotland; [Corr, Hugh F. J.] British Antarctic Survey, Cambridge CB3 0ET, England; [Siegert, Martin J.] Univ London Imperial Coll Sci Technol &amp; Med, Grantham Inst, London, England; [Siegert, Martin J.] Univ London Imperial Coll Sci Technol &amp; Med, Dept Earth Sci &amp; Engn, London, England</t>
  </si>
  <si>
    <t>Northumbria University; Newcastle University - UK; University of Edinburgh; UK Research &amp; Innovation (UKRI); Natural Environment Research Council (NERC); NERC British Antarctic Survey; Imperial College London; Imperial College London</t>
  </si>
  <si>
    <t>Winter, K (corresponding author), Northumbria Univ, Fac Engn &amp; Environm, Dept Geog, Newcastle Upon Tyne NE1 8ST, Tyne &amp; Wear, England.</t>
  </si>
  <si>
    <t>kate.winter@northumbria.ac.uk</t>
  </si>
  <si>
    <t>Corr, Hugh/C-5398-2011; Siegert, Martin/M-9939-2019; Woodward, John/I-1046-2013; Facility, NERC Geophysical Equipment/G-5260-2010; Siegert, Martin J/A-3826-2008; Bingham, Robert G/G-3576-2017; Dunning, Stuart/A-1820-2010</t>
  </si>
  <si>
    <t>Siegert, Martin/0000-0002-0090-4806; Siegert, Martin J/0000-0002-0090-4806; Winter, Kate/0000-0003-2389-8637; Bingham, Robert G/0000-0002-0630-2021; Woodward, John/0000-0002-4980-4080; Dunning, Stuart/0000-0002-2310-7367</t>
  </si>
  <si>
    <t>UK Natural Environment Research Council (NERC) Antarctic Funding Initiative grant [NE/G013071/1]; NERC [NE/I027576/1, NE/I025840/1, NE/I024194/1, NE/I025263/1]; Natural Environment Research Council [NE/G013071/2, NE/I025840/1, NE/G013071/1, bas0100034, NE/I025263/1, NE/G014248/1, NE/I027576/1, NE/I024194/1] Funding Source: researchfish; NERC [NE/I025840/1, NE/I024194/1, NE/I025263/1, NE/G013071/2, bas0100034, NE/G013071/1, NE/G014248/1, NE/I027576/1] Funding Source: UKRI</t>
  </si>
  <si>
    <t>UK Natural Environment Research Council (NERC) Antarctic Funding Initiative grant(UK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</si>
  <si>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Radar data used for this article are available at the NERC Airborne Geophysics Data Portal: https://secure.antarctica.ac.uk/data/aerogeo/access/imafi/. Note that original line numbers are required to access the specific data used in this paper; this information is available in Figure S1 in the supporting information. Data related to surface ice velocity from MEaSUREs [Rignot et al., 2011a], bed elevation, derived from Bedmap2 [Fretwell et al., 2013], and mosaic imagery (LIMA, MODIS, and RADARSAT) can be downloaded from the Quantarctica data set: http://www.quantarctica.org/downloads/. Financial support for the Institute and Moller Ice Stream Project was provided by the UK Natural Environment Research Council (NERC) Antarctic Funding Initiative grant NE/G013071/1. Project work was funded by NERC standard grants NE/I027576/1, NE/I025840/1, NE/I024194/1, and NE/I025263/1. We thank the British Antarctic Survey for the field logistics support.</t>
  </si>
  <si>
    <t>10.1002/2015JF003518</t>
  </si>
  <si>
    <t>CU3ZB</t>
  </si>
  <si>
    <t>Green Published, Green Submitted, hybrid, Green Accepted</t>
  </si>
  <si>
    <t>WOS:000363464200001</t>
  </si>
  <si>
    <t>Stuhne, GR; Peltier, WR</t>
  </si>
  <si>
    <t>Stuhne, G. R.; Peltier, W. R.</t>
  </si>
  <si>
    <t>Reconciling the ICE-6G_C reconstruction of glacial chronology with ice sheet dynamics: The cases of Greenland and Antarctica</t>
  </si>
  <si>
    <t>glacial isostatic adjustment; ice sheet dynamics; paleoclimate; mass balance</t>
  </si>
  <si>
    <t>RELATIVE SEA-LEVEL; MELTWATER PULSE 1A; ISOSTATIC-ADJUSTMENT; PLEISTOCENE DEGLACIATION; SPATIAL SENSITIVITIES; ENVIRONMENTAL-CHANGE; MANTLE VISCOSITY; MASS RESPONSE; AGE CYCLE; MODEL</t>
  </si>
  <si>
    <t>We describe a theoretical and numerical framework that has been developed to investigate the compatibility of the ICE-6G_C reconstruction of the glaciation histories of the Greenland and Antarctic ice sheets with the latest understanding of ice physics. The ICE-6G_C reconstruction has been produced solely on the basis of the theory of the glacial isostatic adjustment (GIA) process, and it has remained an issue as to whether such reconstructions of the time-dependent thickness variations of grounded continental ice sheets were compatible with physics-based ice mechanical considerations. Our analyses focus on the evolution over the last glacial cycle of these extent ice sheet complexes and demonstrate that the GIA-inferred models are entirely consistent with such considerations when uncertainties in (net) mass balance history are taken fully into account.</t>
  </si>
  <si>
    <t>[Stuhne, G. R.; Peltier, W. R.] Univ Toronto, Dept Phys, Toronto, ON, Canada</t>
  </si>
  <si>
    <t>University of Toronto</t>
  </si>
  <si>
    <t>Stuhne, GR (corresponding author), Univ Toronto, Dept Phys, Toronto, ON, Canada.</t>
  </si>
  <si>
    <t>gordan@atmosp.physics.utoronto.ca</t>
  </si>
  <si>
    <t>Peltier, William R./A-1102-2008</t>
  </si>
  <si>
    <t>Nuclear Waste Management Organization (NWMO); NSERC [A9627]</t>
  </si>
  <si>
    <t>Nuclear Waste Management Organization (NWMO); NSERC(Natural Sciences and Engineering Research Council of Canada (NSERC))</t>
  </si>
  <si>
    <t>Partial support for this study has been provided by the Nuclear Waste Management Organization (NWMO). The research of W.R.P. at Toronto is supported by NSERC Discovery grant A9627. All of the computational analyses reported in this paper were performed on the SciNet High Performance Computing facility which is a component of the Compute Canada HPC platform. The data underlying the reported analyses are cited in conformity with the AGU Data Policy: I6G-related data sets are available as supplemental materials to Peltier et al. [2015] and on WRP's web site (http://www.atmosp.physics.utoronto.ca/similar to peltier/data.php); the source codes for version 0.6 of the PISM ice sheet model were obtained through the model developers' public web site (http://pism-docs.org/wiki/doku.php? id=stable version) along with the supporting information needed to reproduce SeaRISE analyses of Greenland and Antarctica from the cited, publicly available climatological and geophysical data sets.</t>
  </si>
  <si>
    <t>10.1002/2015JF003580</t>
  </si>
  <si>
    <t>WOS:000363464200013</t>
  </si>
  <si>
    <t>Smith, EC; Smith, AM; White, RS; Brisbourne, AM; Pritchard, HD</t>
  </si>
  <si>
    <t>Smith, E. C.; Smith, A. M.; White, R. S.; Brisbourne, A. M.; Pritchard, H. D.</t>
  </si>
  <si>
    <t>Mapping the ice-bed interface characteristics of Rutford Ice Stream, West Antarctica, using microseismicity</t>
  </si>
  <si>
    <t>subglacial processes; microearthquakes; ice streams; basal conditions; West Antarctic Ice Sheet</t>
  </si>
  <si>
    <t>BASAL CONDITIONS; BENEATH; EARTHQUAKES; FLOW; GORNERGLETSCHER</t>
  </si>
  <si>
    <t>Flow dynamics of the ice streams that drain the Antarctic Ice Sheet are heavily influenced by processes at the bed. Natural seismic activity generated beneath an ice stream is associated with the motion of the ice over its bed and can be used to map both the characteristics of the ice-bed interface and to understand these basal processes. Basal microseismicity was recorded over a 34day period on Rutford Ice Stream, West Antarctica, using 10 three-component geophones 40km upstream of the grounding line. Around 3000 microseismic events were located in discrete spatial clusters near the ice-bed interface. The activity of each cluster varies with time, and the source mechanism for the events is interpreted as subhorizontal, low-angle faulting, slipping in the ice flow direction. Cluster locations are interpreted as sticky spots of stiff basal sediment at the ice-bed interface, where ice movement is accommodated by stick-slip basal sliding. The sticky spots occur in areas where independent active-source seismic surveys show low porosity sediments at the bed. We show that the sticky spots probably accommodate only a small amount of the total basal motion. Our results suggest that most of the ice stream basal motion is accommodated by aseismic deformation of soft, dilatant basal sediment, or by a well-lubricated, stiffer bed.</t>
  </si>
  <si>
    <t>[Smith, E. C.; Smith, A. M.; Brisbourne, A. M.; Pritchard, H. D.] British Antarctic Survey, NERC, Cambridge, England; [Smith, E. C.; White, R. S.] Univ Cambridge, Dept Earth Sci, Bullard Labs, Cambridge CB2 3EQ, England</t>
  </si>
  <si>
    <t>UK Research &amp; Innovation (UKRI); Natural Environment Research Council (NERC); NERC British Antarctic Survey; University of Cambridge</t>
  </si>
  <si>
    <t>Smith, EC (corresponding author), British Antarctic Survey, NERC, Cambridge, England.</t>
  </si>
  <si>
    <t>emit1@bas.ac.uk</t>
  </si>
  <si>
    <t>Brisbourne, Alex/E-6198-2013; Smith, Emma/AAO-5329-2021; Pritchard, Hamish Daniel/AAU-4696-2021; Facility, NERC Geophysical Equipment/G-5260-2010</t>
  </si>
  <si>
    <t>Smith, Emma/0000-0002-8672-8259</t>
  </si>
  <si>
    <t>Natural Environment Research Council (NERC) through the British Antarctic Survey (BAS); BAS's Global Science in the Antarctic Context Programme (NERC) [NE/B502287/1]; Natural Environment Research Council [bas0100027, 1119453] Funding Source: researchfish; NERC [bas0100027] Funding Source: UKRI</t>
  </si>
  <si>
    <t>Natural Environment Research Council (NERC) through the British Antarctic Survey (BAS); BAS's Global Science in the Antarctic Context Programme (NERC); Natural Environment Research Council(UK Research &amp; Innovation (UKRI)Natural Environment Research Council (NERC)); NERC(UK Research &amp; Innovation (UKRI)Natural Environment Research Council (NERC))</t>
  </si>
  <si>
    <t>E.C. Smith was funded by a Natural Environment Research Council (NERC) PhD Studentship through the British Antarctic Survey (BAS). Data collection was funded by BAS's Global Science in the Antarctic Context Programme (NERC award NE/B502287/1); equipment was provided by NERC Geophysical Equipment Facility (Loan 852). Data are available through NERC's Polar Data Centre (http://pdc.nerc.ac.uk/). We thank BAS Operations and C. Griffiths for fieldwork support. Basal topography data were supplied by E. King at BAS, and we also thank him for his discussion on this work along with D.G. Vaughan for his insightful comments on the manuscript. F. Walter is thanked for providing software and advice for the moment tensor inversion. Schlumberger Gould Research Center provided both advice and processing software. Our thanks go to Editors A.L. Densmore and D.J. Quincey and to M.J. Pratt and two anonymous reviewers for their detailed and constructive comments which have lead to a much improved paper. We would also like to thank the following people from the Bullard Laboratories, Cambridge: T. Greenfield, R.G. Green, and J.A. Neufeld for many hours of discussion and D. Pugh for supplying event picking software. Department of Earth Sciences, University of Cambridge contribution number ESC3256.</t>
  </si>
  <si>
    <t>10.1002/2015JF003587</t>
  </si>
  <si>
    <t>WOS:000363464200015</t>
  </si>
  <si>
    <t>Mosig, JEM; Montiel, F; Squire, VA</t>
  </si>
  <si>
    <t>Mosig, Johannes E. M.; Montiel, Fabien; Squire, Vernon A.</t>
  </si>
  <si>
    <t>Comparison of viscoelastic-type models for ocean wave attenuation in ice-covered seas</t>
  </si>
  <si>
    <t>viscoelasticity; continuum models; sea ice; water waves</t>
  </si>
  <si>
    <t>IN-SITU MEASUREMENTS; PANCAKE ICE; GRAVITY-WAVES; PROPAGATION; DISPERSION; TRANSECTS; THICKNESS; TRENDS; ZONE</t>
  </si>
  <si>
    <t>Continuum-based models that describe the propagation of ocean waves in ice-infested seas are considered, where the surface ocean layer (including ice floes, brash ice, etc.) is modeled by a homogeneous viscoelastic material which causes waves to attenuate as they travel through the medium. Three ice layer models are compared, namely a viscoelastic fluid layer model currently being trialed in the spectral wave model WAVEWATCH III (R) and two simpler viscoelastic thin beam models. All three models are two dimensional. A comparative analysis shows that one of the beam models provides similar predictions for wave attenuation and wavelength to the viscoelastic fluid model. The three models are calibrated using wave attenuation data recently collected in the Antarctic marginal ice zone as an example. Although agreement with the data is obtained with all three models, several important issues related to the viscoelastic fluid model are identified that raise questions about its suitability to characterize wave attenuation in ice-covered seas. Viscoelastic beam models appear to provide a more robust parameterization of the phenomenon being modeled, but still remain questionable as a valid characterization of wave-ice interactions generally.</t>
  </si>
  <si>
    <t>[Mosig, Johannes E. M.; Montiel, Fabien; Squire, Vernon A.] Univ Otago, Dept Math &amp; Stat, Dunedin, New Zealand</t>
  </si>
  <si>
    <t>Mosig, JEM (corresponding author), Univ Otago, Dept Math &amp; Stat, Dunedin, New Zealand.</t>
  </si>
  <si>
    <t>jmosig@maths.otago.ac.nz</t>
  </si>
  <si>
    <t>Squire, Vernon/0000-0002-5570-3446; Mosig, Johannes/0000-0003-4977-4173; Montiel, Fabien/0000-0002-6126-6385</t>
  </si>
  <si>
    <t>University of Otago; Office of Naval Research Departmental Research Initiative [N00014-131-0279]; EU [SPA-2013.1.1-06]</t>
  </si>
  <si>
    <t>University of Otago; Office of Naval Research Departmental Research Initiative(Office of Naval Research); EU(European Union (EU))</t>
  </si>
  <si>
    <t>J.E.M.M. was supported by the University of Otago Postgraduate Scholarship. F.M. and V.A.S. were supported by the Office of Naval Research Departmental Research Initiative Sea State and Boundary Layer Physics of the Emerging Arctic Ocean'' (award N00014-131-0279), the EU FP7 grant (SPA-2013.1.1-06), and the University of Otago. The authors have enjoyed discussions with H. Shen and E. Rogers, which have improved the work reported in this paper. We are grateful to L. Bennetts (luke.bennetts@adelaide.edu.au) for providing wave attenuation data from Meylan et al. [2014]. The source code necessary to reproduce the figures presented in this article is available from the authors upon request (jmosig@maths.otago.ac.nz).</t>
  </si>
  <si>
    <t>10.1002/2015JC010881</t>
  </si>
  <si>
    <t>WOS:000363470300011</t>
  </si>
  <si>
    <t>Quintanilla, S; Gómez, A; Mariño-Ramírez, C; Sorzano, C; Bessudo, S; Soler, G; Bernal, JE; Caballero, S</t>
  </si>
  <si>
    <t>Quintanilla, Sonia; Gomez, Alberto; Marino-Ramirez, Camila; Sorzano, Carolina; Bessudo, Sandra; Soler, German; Bernal, Jaime E.; Caballero, Susana</t>
  </si>
  <si>
    <t>Conservation Genetics of the Scalloped Hammerhead Shark in the Pacific Coast of Colombia</t>
  </si>
  <si>
    <t>JOURNAL OF HEREDITY</t>
  </si>
  <si>
    <t>genetic connectivity; Malpelo Island; shark nurseries; Sphyrna lewini</t>
  </si>
  <si>
    <t>MAXIMUM-LIKELIHOOD-ESTIMATION; SPHYRNA-LEWINI GRIFFITH; POPULATION-STRUCTURE; BLACKTIP SHARK; CARCHARHINUS-LIMBATUS; REPRODUCTIVE-BIOLOGY; PAIRWISE RELATEDNESS; MICROSATELLITE LOCI; COMPUTER-PROGRAM; PHILOPATRY</t>
  </si>
  <si>
    <t>Previous investigations of the population genetics of the scalloped hammerhead sharks (Sphyrna lewini) in the Eastern Tropical Pacific have lacked information about nursery areas. Such areas are key to promoting conservation initiatives that can protect young sharks from threats such as overfishing. Here, we investigated the genetic diversity, phylogeography, and connectivity of S. lewini found in 3 areas of Colombia's Pacific coast: around Malpelo Island and in 2 National Natural Parks on the Colombian Pacific mainland (Sanquianga and Ensenada de Utria). We analyzed mtDNA control region (CR) sequences and genotyped 15 microsatellite loci in 137 samples of adults and juveniles. The mtDNA analyses showed haplotypes shared between the Colombian Pacific individuals sampled in this investigation and other areas in the Eastern Tropical Pacific, the Indo-Pacific, and with sequences previously reported in Colombia (Buenaventura Port), as well as 4 unique haplotypes. Population assignment and paternity analyses detected 3 parent-offspring pairs between Malpelo and Sanquianga and 1 between Malpelo and Utria. These results indicate high genetic connectivity between Malpelo Island and the Colombian Pacific coast, suggesting that these 2 areas are nurseries for S. lewini. This is, to our knowledge, the first evidence of nursery areas identified for the scalloped hammerhead shark anywhere in the world. Additional conservation planning may be required to protect these nursery habitats of this endangered shark species.</t>
  </si>
  <si>
    <t>[Quintanilla, Sonia; Gomez, Alberto; Bernal, Jaime E.] Pontificia Univ Javeriana, Inst Genet Humana, Bogota, Colombia; [Marino-Ramirez, Camila; Sorzano, Carolina; Bessudo, Sandra] Fdn Malpelo &amp; Otros Ecosistemas Marinos, Bogota, Colombia; [Bessudo, Sandra] Comis Colombiana Oceano, Bogota, Colombia; [Soler, German] Univ Tasmania, Inst Marine &amp; Antarctic Studies, Hobart, Tas 7001, Australia; [Caballero, Susana] Univ los Andes, Fac Ciencias, LEMVA, Lab 103, Bogota, Colombia</t>
  </si>
  <si>
    <t>Pontificia Universidad Javeriana; University of Tasmania; Universidad de los Andes (Colombia)</t>
  </si>
  <si>
    <t>Caballero, S (corresponding author), Univ los Andes, Fac Ciencias, LEMVA, Lab 103, Carrera 1E 18 A-10,Edificio J, Bogota, Colombia.</t>
  </si>
  <si>
    <t>sj.caballero26@uniandes.edu.co</t>
  </si>
  <si>
    <t>S. Sorzano, Carlos Oscar/ABE-4884-2021; Sorzano, Carlos Oscar S./F-2639-2016</t>
  </si>
  <si>
    <t>Sorzano, Carlos Oscar S./0000-0002-9473-283X; Bernal Villegas, Jaime Eduardo/0000-0002-9733-5143; Gomez, Alberto/0000-0002-5592-3844</t>
  </si>
  <si>
    <t>Whitley Fund for Nature Foundation; Fondo Patrimonial Fundacion Malpelo; Fundacion Malpelo y Otros Ecosistemas Marinos; Iniciativa Genomica; Universidad Javeriana; Facultad de Ciencias, Universidad de los Andes, Bogota, Colombia</t>
  </si>
  <si>
    <t>Whitley Fund for Nature Foundation, Fondo Patrimonial Fundacion Malpelo, Fundacion Malpelo y Otros Ecosistemas Marinos, Iniciativa Genomica, Universidad Javeriana, and Facultad de Ciencias, Universidad de los Andes, Bogota, Colombia.</t>
  </si>
  <si>
    <t>0022-1503</t>
  </si>
  <si>
    <t>1465-7333</t>
  </si>
  <si>
    <t>J HERED</t>
  </si>
  <si>
    <t>J. Hered.</t>
  </si>
  <si>
    <t>10.1093/jhered/esv050</t>
  </si>
  <si>
    <t>Evolutionary Biology; Genetics &amp; Heredity</t>
  </si>
  <si>
    <t>CP2TT</t>
  </si>
  <si>
    <t>WOS:000359730800004</t>
  </si>
  <si>
    <t>Hambrey, MJ; Davies, BJ; Glasser, NF; Holt, TO; Smellie, JL; Carrivick, JL</t>
  </si>
  <si>
    <t>Hambrey, Michael J.; Davies, Bethan J.; Glasser, Neil F.; Holt, Tom O.; Smellie, John L.; Carrivick, Jonathan L.</t>
  </si>
  <si>
    <t>Structure and sedimentology of George VI Ice Shelf, Antarctic Peninsula: implications for ice-sheet dynamics and landform development</t>
  </si>
  <si>
    <t>LAST GLACIAL MAXIMUM; ALEXANDER-ISLAND; LATADY BASIN; HISTORY; HOLOCENE; SOUND; MORAINES; RETREAT; SURFACE; STRATIGRAPHY</t>
  </si>
  <si>
    <t>Collapse of Antarctic ice shelves in response to a warming climate is well documented, but its legacy in terms of depositional landforms is little known. This paper uses remote-sensing, structural glaciological and sedimento-logical data to evaluate the evolution of the c. 25000 km(2) George VI Ice Shelf, SW Antarctic Peninsula. The ice shelf occupies a north-south-trending tectonic rift between Alexander Island and Palmer Land, and is nourished mainly by ice streams from the latter region. The structure of the ice shelf is dominated by inherited foliation and fractures, and with velocity data indicates a largely compressive flow regime. The formation of a moraine complex at the margin of the ice shelf is controlled by debris entrained within foliation and folds. This englacial debris is of basal origin, and includes both local Mesozoic sedimentary and volcanic lithologies, and exotic crystalline rocks from Palmer Land. Folding of basal ice to a high level in the source glaciers on Palmer Land is required to bring the debris to the surface. These results have implications for understanding flow dynamics of ice shelves under compressive flow, and debris entrainment and moraine formation associated with palaeo-ice shelves.</t>
  </si>
  <si>
    <t>[Hambrey, Michael J.; Davies, Bethan J.; Glasser, Neil F.; Holt, Tom O.] Aberystwyth Univ, Dept Geog &amp; Earth Sci, Ctr Glaciol, Aberystwyth SY23 3DB, Dyfed, Wales; [Davies, Bethan J.] Univ London, Quaternary Res Ctr, Dept Geog, Royal Holloway, Egham TW20 0EX, Surrey, England; [Smellie, John L.] Univ Leicester, Dept Geol, Leicester LE1 7RH, Leics, England; [Carrivick, Jonathan L.] Univ Leeds, Sch Geog &amp; Water Leeds, Leeds LS2 9JT, W Yorkshire, England</t>
  </si>
  <si>
    <t>Aberystwyth University; University of London; Royal Holloway University London; University of Leicester; University of Leeds</t>
  </si>
  <si>
    <t>Hambrey, MJ (corresponding author), Aberystwyth Univ, Dept Geog &amp; Earth Sci, Ctr Glaciol, Aberystwyth SY23 3DB, Dyfed, Wales.</t>
  </si>
  <si>
    <t>mjh@aber.ac.uk</t>
  </si>
  <si>
    <t>Holt, Tom/0000-0001-8361-0688; Davies, Bethan/0000-0002-8636-1813; Carrivick, Jonathan/0000-0002-9286-5348</t>
  </si>
  <si>
    <t>Natural Environment Research Council, Antarctic Funding Initiative [NE/F012896/1]; NERC [NE/F012896/1] Funding Source: UKRI; Natural Environment Research Council [NE/F012896/1] Funding Source: researchfish</t>
  </si>
  <si>
    <t>Natural Environment Research Council,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</si>
  <si>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This paper is an outcome of the project 'Glacial history of the NE Antarctic Peninsula Region over centennial to millennial timescales', funded by the Natural Environment Research Council, Antarctic Funding Initiative (Grant no. NE/F012896/1). We thank the British Antarctic Survey and its staff in Cambridge and at Rothera Station, Antarctica, for excellent logistical support. We acknowledge especially our field assistant, I. Hey, for organizing the field logistics and helping with the field campaign. Project design was by N.F.G., with contributions from M.J.H., B.J.D., J.L.S. and J.L.C. The fieldwork was undertaken by M.J.H. and B.J.D. in November-December 2012. T.O.H. under-took the satellite image analysis and J.L.S. described thin sections of clasts for provenance. The paper was largely written by M.J.H., with contributions from all authors. We thank D. Sugden and D. Evans for their helpful and perceptive comments on this paper.</t>
  </si>
  <si>
    <t>10.1144/jgs2014-134</t>
  </si>
  <si>
    <t>CQ0TG</t>
  </si>
  <si>
    <t>WOS:000360309500006</t>
  </si>
  <si>
    <t>Ratcliffe, N; Guihen, D; Robst, J; Crofts, S; Stanworth, A; Enderlein, P</t>
  </si>
  <si>
    <t>Ratcliffe, Norman; Guihen, Damien; Robst, Jeremy; Crofts, Sarah; Stanworth, Andrew; Enderlein, Peter</t>
  </si>
  <si>
    <t>A protocol for the aerial survey of penguin colonies using UAVs</t>
  </si>
  <si>
    <t>JOURNAL OF UNMANNED VEHICLE SYSTEMS</t>
  </si>
  <si>
    <t>aerial survey; colony; drone; penguin; seabird; UAV</t>
  </si>
  <si>
    <t>POPULATIONS; VEHICLES</t>
  </si>
  <si>
    <t>Penguins, and many other seabirds, often nest in the open in large colonies, and so are amenable to aerial survey. UAVs offer a flexible and inexpensive method of achieving this but, to date, few published examples are available. We present a protocol for acquiring aerial images of penguin colonies using UAVs and describe simple, open-source tools for processing these into counts. Our approach is demonstrated using a case study for a penguin colony in the Falkland Islands. We discuss the advantages and limitations of UAVs for penguin surveys and make recommendations for their wider application.</t>
  </si>
  <si>
    <t>[Ratcliffe, Norman; Guihen, Damien; Robst, Jeremy; Enderlein, Peter] British Antarctic Survey, Madingley Rd, Cambridge CB25 0EF, England; [Crofts, Sarah; Stanworth, Andrew] Falklands Conservat, Stanley FIQQ 1ZZ, Falkland Island</t>
  </si>
  <si>
    <t>Ratcliffe, N (corresponding author), British Antarctic Survey, Madingley Rd, Cambridge CB25 0EF, England.</t>
  </si>
  <si>
    <t>notc@bas.ac.uk</t>
  </si>
  <si>
    <t>Natural Environmental Research Council; NERC [bas0100035, bas0100025] Funding Source: UKRI; Natural Environment Research Council [bas0100025, bas0100035] Funding Source: researchfish</t>
  </si>
  <si>
    <t>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</si>
  <si>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funded by the Natural Environmental Research Council. RSPB kindly granted permission to conduct test flights over their farm in the UK. We thank Buzzflyer for advice on, and supply of, the UAV equipment. M. Collins generously accommodated NR during the fieldwork. M. Tierney and N. McNally assisted with the fieldwork. Permission for fieldwork in the Falklands was provided by the Falkland Island Environment Committee and permission to access the site was granted by J. Cheek of Johnson Harbour Farm.</t>
  </si>
  <si>
    <t>2291-3467</t>
  </si>
  <si>
    <t>J UNMANNED VEH SYST</t>
  </si>
  <si>
    <t>J. Unmanned Veh. Syst.</t>
  </si>
  <si>
    <t>10.1139/juvs-2015-0006</t>
  </si>
  <si>
    <t>Remote Sensing</t>
  </si>
  <si>
    <t>VG2US</t>
  </si>
  <si>
    <t>WOS:000446100500003</t>
  </si>
  <si>
    <t>Rabineau, M; Cloetingh, S; Kuroda, J; Aslanian, D; Droxler, A; Gorini, C; Garcia-Castellanos, D; Moscariello, A; Burov, E; Sierro, F; Lirer, F; Roure, F; Pezard, PA; Matenco, L; Hello, Y; Mart, Y; Camerlenghi, A; Tripati, A</t>
  </si>
  <si>
    <t>Rabineau, M.; Cloetingh, S.; Kuroda, J.; Aslanian, D.; Droxler, A.; Gorini, C.; Garcia-Castellanos, D.; Moscariello, A.; Burov, E.; Sierro, F.; Lirer, F.; Roure, F.; Pezard, P. A.; Matenco, L.; Hello, Y.; Mart, Y.; Camerlenghi, A.; Tripati, A.</t>
  </si>
  <si>
    <t>Gold &amp; Dream Working Grp</t>
  </si>
  <si>
    <t>Probing connections between deep earth and surface processes in a land-locked ocean basin transformed into a giant saline basin: The Mediterranean GOLD project</t>
  </si>
  <si>
    <t>MARINE AND PETROLEUM GEOLOGY</t>
  </si>
  <si>
    <t>Deep drilling; Geodynamics; Passive margins; Paleoclimate; Messinian erosional and salinity crisis; Deep biosphere; Georesources</t>
  </si>
  <si>
    <t>EXPANDING SPREAD PROFILES; PACIFIC-ANTARCTIC RIDGE; GYPSUM HYDRATION WATER; LATE MIOCENE; SOUTH ATLANTIC; ISOTOPE FRACTIONATION; CONTINENTAL MARGINS; CRUSTAL STRUCTURE; PROVENCAL BASIN; NUMERICAL-MODEL</t>
  </si>
  <si>
    <t>During the last decade, the interaction of deep processes in the lithosphere and mantle with surface processes (erosion, climate, sea-level, subsidence, glacio-isostatic readjustment) has been the subject of heated discussion. The use of a multidisciplinary approach linking geology, geophysics, geodesy, modelling, and geotechnology has led to the awareness of coupled deep and surface processes. Deep earth dynamics (topography, erosion, tectonics) are strongly connected to natural hazards such as earthquakes, landslides, and tsunamis; sedimentary mass transfers have important consequences on isostatic movements and on georesources, geothermal energy repartitions. The ability to read and understand the link between deep Earth dynamics and surface processes has therefore important societal impacts. Ground-truthing at carefully-selected sites of investigation is imperative to better understand these connections. Due to its youth (&lt;30 Ma) and its subsidence history, the almost land-locked Gulf of Lion Sardinia continental margins system provides a unique record of sedimentary deposition from the Miocene to present. Due to its high subsidence rate, palaeoclimatic variations, tectonic events and vertical evolution are all recorded here at very high resolution. The late Miocene isolation and desiccation of the Mediterranean, the youngest and most catastrophic event, the Messinian Salinity Crisis (MSC), induced drastic changes in marine environments: widespread deposition of evaporite (gypsum, anhydrite and halite) in the central basin, and intense subaerial erosion along its periphery. These extraordinary mass transfers from land to sea induced strong isostatic re-adjustments that are archived in the sedimentary record and represent a window to the lithospheric rheology and the deep processes. The GOLD (Gulf of Lion Drilling) project, proposes to explore this unique sedimentary record as well as the nature of the deep crustal structure, providing valuable information about the mechanisms underlying vertical motions in basins and their margins. (C) 2015 Elsevier Ltd. All rights reserved.</t>
  </si>
  <si>
    <t>[Rabineau, M.; Tripati, A.] IUEM, Domaines Ocean, UMR6538, CNRS, F-29280 Plouzane, France; [Cloetingh, S.; Matenco, L.] Univ Utrecht, Dept Earth Sci, NL-3584CD Utrecht, Netherlands; [Kuroda, J.] Japan Agcy Marine Earth Sci &amp; Technol, Yokosuka, Kanagawa 2370061, Japan; [Aslanian, D.; Tripati, A.] IFREMER, UR Geosci Marines, F-29280 Plouzane, France; [Droxler, A.] Rice Univ MS 126, Dept Earth Sci, Houston, TX 77005 USA; [Gorini, C.; Burov, E.] Univ Paris 06, Sorbonne Univ, Inst Sci Terre Paris iSTeP, UMR 7193, F-75005 Paris, France; [Garcia-Castellanos, D.] Inst Ciencias Tierra Jaume Almera ICTJA CSIC, Barcelona 08028, Spain; [Moscariello, A.] Univ Geneva, Earth &amp; Environm Sci, CH-1205 Geneva, Switzerland; [Sierro, F.] Univ Salamanca, Fac Sci, E-37008 Salamanca, Spain; [Lirer, F.] CNR Calata Porta Massa, IAMC, I-80133 Naples, Italy; [Roure, F.] IFP Energies Nouvelles, F-92852 Rueil Malmaison, France; [Pezard, P. A.] Univ Montpellier 2, CC60, CNRS, Geosci Montpellier, F-34095 Montpellier 5, France; [Hello, Y.] Geoazur, F-06560 Sophia Antipolis, France; [Mart, Y.] Univ Haifa, IL-31905 Haifa, Israel; [Camerlenghi, A.] OGS Ist Nazl Oceanog &amp; Geofis Sperimentale, I-34010 Trieste, Italy; [Tripati, A.] Univ Calif Los Angeles, Inst Environm &amp; Sustainabil, Dept Earth Planetary &amp; Space Sci, Los Angeles, CA 90095 USA; [Tripati, A.] Univ Calif Los Angeles, Dept Atmospher &amp; Ocean Sci, Inst Environm &amp; Sustainabil, Los Angeles, CA 90095 USA</t>
  </si>
  <si>
    <t>Centre National de la Recherche Scientifique (CNRS); CNRS - National Institute for Earth Sciences &amp; Astronomy (INSU); Universite de Bretagne Occidentale; Institut Universitaire Europeen de la Mer (IUEM); Utrecht University; Japan Agency for Marine-Earth Science &amp; Technology (JAMSTEC); Ifremer; Rice University; Sorbonne Universite; Centre National de la Recherche Scientifique (CNRS); CNRS - National Institute for Earth Sciences &amp; Astronomy (INSU); Consejo Superior de Investigaciones Cientificas (CSIC); CSIC - Geociencias Barcelona (GEO3BCN); University of Geneva; University of Salamanca; Consiglio Nazionale delle Ricerche (CNR); L'Istituto per l'Ambiente Marino Costiero (IAMC-CNR); IFP Energies Nouvelles; Universite de Montpellier; Centre National de la Recherche Scientifique (CNRS); Universite Cote d'Azur; Observatoire de la Cote d'Azur; University of Haifa; Istituto Nazionale di Oceanografia e di Geofisica Sperimentale; University of California System; University of California Los Angeles; University of California System; University of California Los Angeles</t>
  </si>
  <si>
    <t>Rabineau, M (corresponding author), IUEM, Domaines Ocean, UMR6538, CNRS, F-29280 Plouzane, France.</t>
  </si>
  <si>
    <t>marina.rabineau@univ-brest.fr</t>
  </si>
  <si>
    <t>Marina, RABINEAU/E-3408-2010; Garcia-Castellanos, Daniel/B-1203-2008; Lirer, Fabrizio/N-5306-2015; Sierro, Francisco/A-4714-2008; R16, Direction Geoscience/H-9011-2012; Aslanian, Daniel/JWA-0851-2024; Kuroda, Junichiro/A-3007-2016; Camerlenghi, Angelo/AAG-3852-2019; Majorque, Majorque/I-9431-2012; Cloetingh, Sierd APL/E-5194-2012; Tripati, Aradhna Eagle/C-9419-2011</t>
  </si>
  <si>
    <t>Marina, RABINEAU/0000-0001-8420-1587; Lirer, Fabrizio/0000-0003-4938-3252; Sierro, Francisco/0000-0002-8647-456X; Aslanian, Daniel/0000-0002-9394-606X; Kuroda, Junichiro/0000-0002-2218-4854; Camerlenghi, Angelo/0000-0002-8128-9533; Cloetingh, Sierd/0000-0001-9472-7881</t>
  </si>
  <si>
    <t>CNRS; IFREMER; IFPEN; BRGM; EDROME; IUEM; french alliance (Allenvi); CNFH (Commission National de la Flotte Hauturiere Francaise); Actions Marges; MISTRALS-Termex; Labex Mer [ANR-10-LABX-19]; CNRS-INSU SYSTER; CNRS-INSU INTERRVIE; ARTEMIS; MAGELLAN + Eur opean Program; TOPO-EUROPE; ILP (International Lithosphere Program); TECLA [CGL2011-26670]; RCMNS; IODP-France; ECORD; JSPS; JAMSTEC; CDEX and IODP; french alliance (Ancre)</t>
  </si>
  <si>
    <t>CNRS(Centre National de la Recherche Scientifique (CNRS)); IFREMER; IFPEN; BRGM(Bureau de Recherches Geologiques et Minieres (BRGM)); EDROME; IUEM; french alliance (Allenvi); CNFH (Commission National de la Flotte Hauturiere Francaise); Actions Marges; MISTRALS-Termex; Labex Mer; CNRS-INSU SYSTER; CNRS-INSU INTERRVIE; ARTEMIS; MAGELLAN + Eur opean Program; TOPO-EUROPE; ILP (International Lithosphere Program); TECLA; RCMNS; IODP-France; ECORD; JSPS(Ministry of Education, Culture, Sports, Science and Technology, Japan (MEXT)Japan Society for the Promotion of Science); JAMSTEC; CDEX and IODP; french alliance (Ancre)</t>
  </si>
  <si>
    <t>The work in the Gulf of Lion and long-term drilling project, including offshore cruises, has been supported by CNRS, IFREMER, IFPEN, BRGM, EDROME, IUEM, the french alliance (Allenvi and Ancre), CNFH (Commission National de la Flotte Hauturiere Francaise) and different national and international Programs: Actions Marges, MISTRALS-Termex, Labex Mer (ANR-10-LABX-19), CNRS-INSU SYSTER, CNRS-INSU INTERRVIE, ARTEMIS, MAGELLAN + Eur opean Program, TOPO-EUROPE and ILP (International Lithosphere Program), TECLA CGL2011-26670, RCMNS, IODP-France, ECORD, JSPS, JAMSTEC and CDEX and IODP.</t>
  </si>
  <si>
    <t>0264-8172</t>
  </si>
  <si>
    <t>1873-4073</t>
  </si>
  <si>
    <t>MAR PETROL GEOL</t>
  </si>
  <si>
    <t>Mar. Pet. Geol.</t>
  </si>
  <si>
    <t>10.1016/j.marpetgeo.2015.03.018</t>
  </si>
  <si>
    <t>CW5SB</t>
  </si>
  <si>
    <t>Green Submitted, Green Published</t>
  </si>
  <si>
    <t>WOS:000365055800002</t>
  </si>
  <si>
    <t>Pasotti, F; Manini, E; Giovannelli, D; Wölfl, AC; Monien, D; Verleyen, E; Braeckman, U; Abele, D; Vanreusel, A</t>
  </si>
  <si>
    <t>Pasotti, Francesca; Manini, Elena; Giovannelli, Donato; Woelfl, Anne-Cathrin; Monien, Donata; Verleyen, Elie; Braeckman, Ulrike; Abele, Doris; Vanreusel, Ann</t>
  </si>
  <si>
    <t>Antarctic shallow water benthos in an area of recent rapid glacier retreat</t>
  </si>
  <si>
    <t>MARINE ECOLOGY-AN EVOLUTIONARY PERSPECTIVE</t>
  </si>
  <si>
    <t>Benthic ecology; climate change-related responses; macrofauna; meiofauna; microbenthos; West Antarctic Peninsula</t>
  </si>
  <si>
    <t>KING-GEORGE-ISLAND; SOUTH SHETLAND ISLANDS; POTTER COVE; ORGANIC-MATTER; SIGNY ISLAND; BIOCHEMICAL-COMPOSITION; COASTAL ENVIRONMENT; SEDIMENTS; ICE; ASSEMBLAGES</t>
  </si>
  <si>
    <t>The West Antarctic Peninsula is one of the fastest warming regions on Earth. Faster glacier retreat and related calving events lead to more frequent iceberg scouring, fresh water input and higher sediment loads, which in turn affect shallow water benthic marine assemblages in coastal regions. In addition, ice retreat creates new benthic substrates for colonization. We investigated three size classes of benthic biota (microbenthos, meiofauna and macrofauna) at three sites in Potter Cove (King George Island, West Antarctic Peninsula) situated at similar water depths but experiencing different disturbance regimes related to glacier retreat. Our results revealed the presence of a patchy distribution of highly divergent benthic assemblages within a relatively small area (about 1km(2)). In areas with frequent ice scouring and higher sediment accumulation rates, an assemblage mainly dominated by macrobenthic scavengers (such as the polychaete Barrukia cristata), vagile organisms and younger individuals of sessile species (such as the bivalve Yoldia eightsi) was found. Macrofauna were low in abundance and very patchily distributed in recently ice-free areas close to the glacier, whereas the pioneer nematode genus Microlaimus reached a higher relative abundance in these newly exposed sites. The most diverse and abundant macrofaunal assemblage was found in areas most remote from recent glacier influence. By contrast, the meiofauna showed relatively low densities in these areas. The three benthic size classes appeared to respond in different ways to disturbances likely related to ice retreat, suggesting that the capacity to adapt and colonize habitats is dependent on both body size and specific life traits. We predict that, under continued deglaciation, more diverse, but less patchy, benthic assemblages will become established in areas out of reach of glacier-related disturbance.</t>
  </si>
  <si>
    <t>[Pasotti, Francesca; Braeckman, Ulrike; Vanreusel, Ann] Univ Ghent, Marine Biol Res Grp, B-9000 Ghent, Belgium; [Manini, Elena; Giovannelli, Donato] Inst Marine Sci ISMAR CNR, Ancona, Italy; [Giovannelli, Donato] Rutgers State Univ, Inst Marine &amp; Coastal Sci, New Brunswick, NJ 08903 USA; [Woelfl, Anne-Cathrin] Wadden Sea Res Stn, Helmholtz Ctr Polar &amp; Marine Res, Alfred Wegener Inst, List Auf Sylt, Germany; [Monien, Donata] Leibniz Ctr Trop Marine Res ZMT, Bremen, Germany; [Verleyen, Elie] Univ Ghent, Protistol &amp; Aquat Ecol Grp, B-9000 Ghent, Belgium; [Abele, Doris] Alfred Wegener Inst, Dept Funct Ecol, Helmholtz Ctr Polar &amp; Marine Res, Bremerhaven, Germany</t>
  </si>
  <si>
    <t>Ghent University; Consiglio Nazionale delle Ricerche (CNR); Istituto di Scienze Marine (ISMAR-CNR); Rutgers University System; Rutgers University New Brunswick; Helmholtz Association; Alfred Wegener Institute, Helmholtz Centre for Polar &amp; Marine Research; Leibniz Zentrum fur Marine Tropenforschung (ZMT); Ghent University; Helmholtz Association; Alfred Wegener Institute, Helmholtz Centre for Polar &amp; Marine Research</t>
  </si>
  <si>
    <t>Pasotti, F (corresponding author), Univ Ghent, Marine Biol Res Grp, Krijgslaan 281-S8, B-9000 Ghent, Belgium.</t>
  </si>
  <si>
    <t>francesca.pasotti@ugent.be</t>
  </si>
  <si>
    <t>Giovannelli, Donato/A-4812-2011; Braeckman, Ulrike/AAJ-4801-2021; Manini, Elena/C-2032-2015</t>
  </si>
  <si>
    <t>Giovannelli, Donato/0000-0001-7182-8233; Manini, Elena/0000-0002-8990-2929; Abele, Doris/0000-0002-5766-5017; Braeckman, Ulrike/0000-0002-7558-6363; Pasotti, Francesca/0000-0002-8971-8195</t>
  </si>
  <si>
    <t>ESF IMCOAST project; vERSO project - Belgian Science Policy Office; Progetto Antartide PNRA [2010/c1.03]; IWT PhD scholarship; Ghent University</t>
  </si>
  <si>
    <t>ESF IMCOAST project; vERSO project - Belgian Science Policy Office; Progetto Antartide PNRA; IWT PhD scholarship; Ghent University(Ghent University)</t>
  </si>
  <si>
    <t>We acknowledge the ESF IMCOAST project (Impact of climate induced glacial melting on marine coastal systems in the Western Antarctic Peninsula region, www.imcoast.org), the vERSO project (ecosystem responses to global change: a multiscale approach in the Southern Ocean, funded by the Belgian Science Policy Office) and the Progetto Antartide PNRA 2010/c1.03 for financial support. The first author was financed through an IWT PhD scholarship and by Ghent University. We also thank the Instituto Antartico Argentino (Argentina) for providing the logistics at Dallmann laboratory in Carlini station. A special thanks goes to Oscar Gonzalez for his assistance and logistic support. We would like to thank all the scientific and military staff of Carlini station for the collaboration in the diving and boat activities necessary for the collection of the material presented here. The drawing we present as a conceptual scheme is credited to Dr. Hendrik Gheerardyn (www.hendrikgheerardyn.com). We would like also to thank Dr. Mathias Braun for supplying the detailed map including the glacier retreat lines. Finally we would like to express our gratitude towards two specialists in the field: Natalia Servetto (Universidad Nacional de Cordoba) who helped identifying the sea pen Malacoblemnon daytoni and Dr. Katrin Linse (British Antarctic Survey) for the accurate in identification of Mysella charcoti. Last but not least, we would like to thank Dr. Dan Smale and Prof. Dr. Julian Gutt for their valuable comments and vital contributions in ameliorating this work.</t>
  </si>
  <si>
    <t>0173-9565</t>
  </si>
  <si>
    <t>1439-0485</t>
  </si>
  <si>
    <t>MAR ECOL-EVOL PERSP</t>
  </si>
  <si>
    <t>Mar. Ecol.-Evol. Persp.</t>
  </si>
  <si>
    <t>10.1111/maec.12179</t>
  </si>
  <si>
    <t>CN8XQ</t>
  </si>
  <si>
    <t>WOS:000358729600036</t>
  </si>
  <si>
    <t>Gribben, PE; Simpson, M; Wright, JT</t>
  </si>
  <si>
    <t>Gribben, Paul E.; Simpson, Michael; Wright, Jeffrey T.</t>
  </si>
  <si>
    <t>Relationships between an invasive crab, habitat availability and intertidal community structure at biogeographic scales</t>
  </si>
  <si>
    <t>MARINE ENVIRONMENTAL RESEARCH</t>
  </si>
  <si>
    <t>Abundance; Biogeography; Biomass; Community; Habitat availability; Impacts; Invasive crab; Non-native; Petrolisthes elongatus</t>
  </si>
  <si>
    <t>SPECIES-DIVERSITY; BIOTIC RESISTANCE; PLANT INVASIONS; MARINE; COMPETITION; PATTERNS; DENSITY; IMPACT</t>
  </si>
  <si>
    <t>At local scales, habitat availability influences interactions between native and invasive species. Habitat availability may also predict patterns in native communities and invasive species at biogeographic scales when both native and invasive species have specific habitat requirements. The New Zealand porcelain crab, Petrolisthes elongatus, has invaded intertidal rocky shores around Tasmania, Australia, where it is found in high densities (&gt;1800 m(2)) under rocks. A hierarchical sampling approach was used to investigate 1) the relationship between habitat availability (rock cover) and the biomass and abundance of P. elongatus, and 2) the relationship between P. elongatus biomass and native communities at local and regional scales. Invertebrate communities and habitat availability were sampled at multiple sites in the north and south regions of Tasmania. P. elongatus biomass and abundance were positively correlated with rock cover and patterns were consistent at the biogeographic scale (between regions). P. elongatus biomass was positively correlated with native species richness, biomass and abundance highlighting their co-dependence on rock cover. However, multivariate analyses indicated a different native community structure with increasing P. elongatus biomass. Flat, strongly adhering gastropods (chitons and limpets) were positively correlated with P. elongatus biomass, whereas mobile gastropods and crabs were negatively correlated with P. elongatus biomass. Despite local scale variation, there were clear consistent relationships between habitat-availability and the biomass of P. elongatus, and between native communities and the biomass of P. elongatus suggesting that the relationships between native and invasive species may be predictable at large spatial scales. Moreover, the strong relationships between P. elongatus biomass and changes in native community structure suggest a greater understanding of its impact is needed so that appropriate management plans can be developed. (C) 2015 Elsevier Ltd. All rights reserved.</t>
  </si>
  <si>
    <t>[Gribben, Paul E.] Univ Technol Sydney, Sch Environm, Plant Funct Biol &amp; Climate Change Cluster, Broadway, NSW 2007, Australia; [Gribben, Paul E.; Simpson, Michael] Univ New S Wales, Sch Biol Earth &amp; Environm Sci, Ctr Marine Bioinnovat, Sydney, NSW 2052, Australia; [Wright, Jeffrey T.] Univ Tasmania, Inst Marine &amp; Antarctic Studies, Launceston, Tas 7250, Australia</t>
  </si>
  <si>
    <t>University of Technology Sydney; University of New South Wales Sydney; University of Tasmania</t>
  </si>
  <si>
    <t>Gribben, PE (corresponding author), Univ New S Wales, Sch Biol Earth &amp; Environm Sci, Ctr Marine Bioinnovat, Sydney, NSW 2052, Australia.</t>
  </si>
  <si>
    <t>p.gribben@unsw.edu.au</t>
  </si>
  <si>
    <t>; Wright, Jeffrey/J-7536-2014</t>
  </si>
  <si>
    <t>Gribben, Paul/0000-0003-2650-5501; Wright, Jeffrey/0000-0002-1085-4582</t>
  </si>
  <si>
    <t>0141-1136</t>
  </si>
  <si>
    <t>1879-0291</t>
  </si>
  <si>
    <t>MAR ENVIRON RES</t>
  </si>
  <si>
    <t>Mar. Environ. Res.</t>
  </si>
  <si>
    <t>10.1016/j.marenvres.2015.08.006</t>
  </si>
  <si>
    <t>Environmental Sciences; Marine &amp; Freshwater Biology; Toxicology</t>
  </si>
  <si>
    <t>Environmental Sciences &amp; Ecology; Marine &amp; Freshwater Biology; Toxicology</t>
  </si>
  <si>
    <t>CS7ZE</t>
  </si>
  <si>
    <t>WOS:000362304700014</t>
  </si>
  <si>
    <t>Rugi, F; Udisti, R; Becagli, S; Frosini, D; Giorgetti, G; Kuhn, G; Marconi, M; Monien, D; Nava, S; Severi, M; Talarico, F; Traversi, R</t>
  </si>
  <si>
    <t>Rugi, Francesco; Udisti, Roberto; Becagli, Silvia; Frosini, Daniele; Giorgetti, Giovanna; Kuhn, Gerhard; Marconi, Miriam; Monien, Donata; Nava, Silvia; Severi, Mirko; Talarico, Franco; Traversi, Rita</t>
  </si>
  <si>
    <t>One-million year Rare Earth Element stratigraphies along an Antarctic marine sediment core</t>
  </si>
  <si>
    <t>MICROCHEMICAL JOURNAL</t>
  </si>
  <si>
    <t>Inductively Coupled Plasma-Atomic Emission; Spectroscopy; Inductively Coupled Plasma-Mass; Spectrometry; Rare Earth Elements; Marine sediment; ANDRILL; Positive Matrix Factorization</t>
  </si>
  <si>
    <t>TRACE-ELEMENTS; ICP-MS; GEOLOGICAL SAMPLES; GEOCHEMISTRY; LEVEL; ROCKS</t>
  </si>
  <si>
    <t>An integrated system, based on Inductively Coupled Plasma-Sector Field Mass Spectrometry (ICP-SFMS) and Inductively Coupled Plasma-Atomic Emission Spectrophotometry (ICP-AES) techniques, was optimised for the geochemical characterisation of soils and marine sediments. Sample mineralization was carried out with HF, HNO3 and HClO4. Operative blanks were at least two orders of magnitude lower than the lowest concentration measured in real samples. For ICP-SFMS, the detection power of the method in high resolution mode was sufficient for an accurate quantification of metals, yet avoiding REEs' (Rare Earth Elements) isobaric interferences. Once tested the accuracy on six certified materials, the methods were applied to the analysis of 39 major and trace metals on the top 90 m of sediments from the ANDRILL AND-1B core, covering the last million years. Stratigraphies of REEs and of normalised markers from this core clearly highlight a discontinuity at about 660,000 years before present. This pattern is well shown by the results of a PMF (Positive Matrix Factorization) statistical analysis, revealing two different sources for the sedimentary material, whose relative contribution changed around that time. Such a result is consistent with previous studies and confirms the net change in the provenance of glacial fluxes in the McMurdo region (Ross Ice Shelf, Antarctica) in the last million years. (C) 2015 Elsevier B.V. All rights reserved.</t>
  </si>
  <si>
    <t>[Rugi, Francesco; Udisti, Roberto; Becagli, Silvia; Frosini, Daniele; Marconi, Miriam; Severi, Mirko; Traversi, Rita] Univ Florence, Dept Chem Ugo Schiff, I-50019 Sesto Fiorentino, FI, Italy; [Giorgetti, Giovanna; Talarico, Franco] Univ Siena, Dept Earth Sci, I-53100 Siena, Italy; [Kuhn, Gerhard] Alfred Wegener Inst Polar &amp; Marine Res, Bremerhaven, Germany; [Monien, Donata] Carl von Ossietzky Univ Oldenburg, Inst Chem &amp; Biol Marine Environm, D-26129 Oldenburg, Germany; [Nava, Silvia] Univ Florence, Dept Phys &amp; Astron, I-50019 Sesto Fiorentino, Fi, Italy; [Nava, Silvia] Natl Inst Nucl Phys, I-50019 Sesto Fiorentino, Fi, Italy</t>
  </si>
  <si>
    <t>University of Florence; University of Siena; Helmholtz Association; Alfred Wegener Institute, Helmholtz Centre for Polar &amp; Marine Research; Carl von Ossietzky Universitat Oldenburg; University of Florence; Istituto Nazionale di Fisica Nucleare (INFN)</t>
  </si>
  <si>
    <t>Traversi, R (corresponding author), Univ Florence, Dept Chem Ugo Schiff, Via Lastruccia 3, I-50019 Sesto Fiorentino, FI, Italy.</t>
  </si>
  <si>
    <t>rita.traversi@unifi.it</t>
  </si>
  <si>
    <t>Becagli, Silvia/GNW-2665-2022; Udisti, Roberto/M-7966-2015; Traversi, Rita/M-7586-2015; talarico, franco/G-9472-2012; Severi, Mirko/J-2508-2012</t>
  </si>
  <si>
    <t>Udisti, Roberto/0000-0003-4440-8238; Traversi, Rita/0000-0002-9790-2195; Kuhn, Gerhard/0000-0001-6069-7485; Becagli, Silvia/0000-0003-3633-4849; talarico, franco/0000-0002-7254-4301; Giorgetti, Giovanna/0000-0001-6233-4485; Severi, Mirko/0000-0003-1511-6762</t>
  </si>
  <si>
    <t>U.S. National Science Foundation; RITMARE Flagship Project - Italian Ministry of University and Research</t>
  </si>
  <si>
    <t>U.S. National Science Foundation(National Science Foundation (NSF)); RITMARE Flagship Project - Italian Ministry of University and Research</t>
  </si>
  <si>
    <t>The authors acknowledge the ANDRILL project, a multinational collaboration between the Antarctic Programs of Germany, Italy, New Zealand and United States (National Programmes) and the whole ANDRILL MIS Science Team. This research used samples provided by the Antarctic Marine Geology Research Facility (AMGRF) at Florida State University sponsored by the U.S. National Science Foundation.; This work has been also supported by the RITMARE Flagship Project funded by Italian Ministry of University and Research.</t>
  </si>
  <si>
    <t>0026-265X</t>
  </si>
  <si>
    <t>1095-9149</t>
  </si>
  <si>
    <t>MICROCHEM J</t>
  </si>
  <si>
    <t>Microchem J.</t>
  </si>
  <si>
    <t>10.1016/j.microc.2015.04.020</t>
  </si>
  <si>
    <t>Chemistry, Analytical</t>
  </si>
  <si>
    <t>CL2BI</t>
  </si>
  <si>
    <t>WOS:000356748200026</t>
  </si>
  <si>
    <t>Simmons, MP; Bachy, C; Sudek, S; van Baren, MJ; Sudek, L; Ares, M; Worden, AZ</t>
  </si>
  <si>
    <t>Simmons, Melinda P.; Bachy, Charles; Sudek, Sebastian; van Baren, Marijke J.; Sudek, Lisa; Ares, Manuel, Jr.; Worden, Alexandra Z.</t>
  </si>
  <si>
    <t>Intron Invasions Trace Algal Speciation and Reveal Nearly Identical Arctic and Antarctic Micromonas Populations</t>
  </si>
  <si>
    <t>MOLECULAR BIOLOGY AND EVOLUTION</t>
  </si>
  <si>
    <t>introns; marine algae; polar systems; phytoplankton; repetitive introns; Introner Elements</t>
  </si>
  <si>
    <t>PRE-MESSENGER-RNA; SPLICEOSOMAL INTRONS; EUKARYOTIC LINEAGES; EVOLUTION; OCEAN; MECHANISMS; ORIGIN; YEAST; DISCOVERY; COMPONENT</t>
  </si>
  <si>
    <t>Spliceosomal introns are a hallmark of eukaryotic genes that are hypothesized to play important roles in genome evolution but have poorly understood origins. Although most introns lack sequence homology to each other, new families of spliceosomal introns that are repeated hundreds of times in individual genomes have recently been discovered in a few organisms. The prevalence and conservation of these introner elements (IEs) or introner-like elements in other taxa, as well as their evolutionary relationships to regular spliceosomal introns, are still unknown. Here, we systematically investigate introns in the widespread marine green alga Micromonas and report new families of IEs, numerous intron presence-absence polymorphisms, and potential intron insertion hot-spots. The new families enabled identification of conserved IE secondary structure features and establishment of a novel general model for repetitive intron proliferation across genomes. Despite shared secondary structure, the IE families from each Micromonas lineage bear no obvious sequence similarity to those in the other lineages, suggesting that their appearance is intimately linked with the process of speciation. Two of the new IE families come from an Arctic culture (Micromonas Clade E2) isolated from a polar region where abundance of this alga is increasing due to climate induced changes. The same two families were detected in metagenomic data from Antarctica-a system where Micromonas has never before been reported. Strikingly high identity between the Arctic isolate and Antarctic coding sequences that flank the IEs suggests connectivity between populations in the two polar systems that we postulate occurs through deep-sea currents. Recovery of Clade E2 sequences in North Atlantic Deep Waters beneath the Gulf Stream supports this hypothesis. Our research illuminates the dynamic relationships between an unusual class of repetitive introns, genome evolution, speciation, and global distribution of this sentinel marine alga.</t>
  </si>
  <si>
    <t>[Simmons, Melinda P.; Bachy, Charles; Sudek, Sebastian; van Baren, Marijke J.; Sudek, Lisa; Worden, Alexandra Z.] Monterey Bay Aquarium Res Inst, Moss Landing, CA 95039 USA; [Simmons, Melinda P.; Worden, Alexandra Z.] Univ Calif Santa Cruz, Dept Ocean Sci, Santa Cruz, CA 95064 USA; [Ares, Manuel, Jr.] Univ Calif Santa Cruz, Dept Mol Cell &amp; Dev Biol, Santa Cruz, CA 95064 USA; [Worden, Alexandra Z.] Canadian Inst Adv Res, Integrated Microbial Biodivers Program, Toronto, ON, Canada</t>
  </si>
  <si>
    <t>Monterey Bay Aquarium Research Institute; University of California System; University of California Santa Cruz; University of California System; University of California Santa Cruz; Canadian Institute for Advanced Research (CIFAR)</t>
  </si>
  <si>
    <t>Worden, AZ (corresponding author), Monterey Bay Aquarium Res Inst, Moss Landing, CA 95039 USA.</t>
  </si>
  <si>
    <t>azworden@mbari.org</t>
  </si>
  <si>
    <t>Worden, Alexandra Z./AAD-6567-2019; Bachy, Charles/L-1341-2019</t>
  </si>
  <si>
    <t>Bachy, Charles/0000-0001-8013-8066; Ares, Manny/0000-0002-2552-9168; Worden, Alexandra/0000-0002-9888-9324</t>
  </si>
  <si>
    <t>NIH [GM040478]; David and Lucile Packard Foundation; Gordon and Betty Moore Foundation [GBMF3788]; [NSF-IOS0843119]; [DOE-DE-SC0004765]; Direct For Biological Sciences; Division Of Integrative Organismal Sys [0843119] Funding Source: National Science Foundation</t>
  </si>
  <si>
    <t>NIH(United States Department of Health &amp; Human ServicesNational Institutes of Health (NIH) - USA); David and Lucile Packard Foundation(The David &amp; Lucile Packard Foundation); Gordon and Betty Moore Foundation(Gordon and Betty Moore Foundation); ; ; Direct For Biological Sciences; Division Of Integrative Organismal Sys(National Science Foundation (NSF)NSF - Directorate for Biological Sciences (BIO)NSF - Division of Integrative Organismal Systems (IOS))</t>
  </si>
  <si>
    <t>The authors thank H.M. Wilcox, E. Demir-Hilton, and D. McRose for assistance. They are grateful to G. Dick and S. Jain for blasting IEs against their deep sea metagenomes (negative results) and also to J. Sarmiento and L. Talley for kindly discussing NADW formation and movement with us. Sequences generated in this study have been deposited in NCBI database under accessions KR089059-KR089061 for 18S rRNA gene sequences from Micromonas RCC434, RCC472, and RCC1614; KR089139-KR089205 for the four genes studied using PCR amplification; representative (non-redundant) sequences KR089062-KR089138 (ATPase) and KR089206-KR089345 (Actin) from environmental clone libraries from the Eastern Pacific; KR152644-KR152649 for the 3,000-m NADW Transporter clones; and genomic DNA 454-FLX reads from CCMP1764 have been deposited in CAMERA under project CAM_PROJ_CCMP1764. M.A. was supported by NIH grant GM040478. This research was supported by the David and Lucile Packard Foundation, a Gordon and Betty Moore Foundation Investigator Award (GBMF3788), NSF-IOS0843119, and DOE-DE-SC0004765 grants to A.Z.W.</t>
  </si>
  <si>
    <t>0737-4038</t>
  </si>
  <si>
    <t>1537-1719</t>
  </si>
  <si>
    <t>MOL BIOL EVOL</t>
  </si>
  <si>
    <t>Mol. Biol. Evol.</t>
  </si>
  <si>
    <t>10.1093/molbev/msv122</t>
  </si>
  <si>
    <t>Biochemistry &amp; Molecular Biology; Evolutionary Biology; Genetics &amp; Heredity</t>
  </si>
  <si>
    <t>CS3NT</t>
  </si>
  <si>
    <t>hybrid, Green Submitted, Green Published, Green Accepted</t>
  </si>
  <si>
    <t>WOS:000361981900001</t>
  </si>
  <si>
    <t>Seear, PJ; Rosato, E; Goodall-Copestake, WP; Barber, I</t>
  </si>
  <si>
    <t>Seear, P. J.; Rosato, E.; Goodall-Copestake, W. P.; Barber, I.</t>
  </si>
  <si>
    <t>The molecular evolution of spiggin nesting glue in sticklebacks</t>
  </si>
  <si>
    <t>adaptation; Gasterosteus aculeatus; gene duplication; gene family; nest building; retrotransposon</t>
  </si>
  <si>
    <t>VON-WILLEBRAND FACTOR; GENE DUPLICATION; 3-SPINED STICKLEBACK; GENOME; AMPLIFICATION; ADAPTATION; RECOMBINATION; EXPRESSION; SELECTION; ELEMENTS</t>
  </si>
  <si>
    <t>Gene duplication and subsequent divergence can lead to the evolution of new functions and lineage-specific traits. In sticklebacks, the successive duplication of a mucin gene (MUC19) into a tandemly arrayed, multigene family has enabled the production of copious amounts of spiggin', a secreted adhesive protein essential for nest construction. Here, we examine divergence between spiggin genes among three-spined sticklebacks (Gasterosteus aculeatus) from ancestral marine and derived freshwater populations, and propose underpinning gene duplication mechanisms. Sanger sequencing revealed substantial diversity among spiggin transcripts, including alternatively spliced variants and interchromosomal spiggin chimeric genes. Comparative analysis of the sequenced transcripts and all other spiggin genes in the public domain support the presence of three main spiggin lineages (spiggin A, spiggin B and spiggin C) with further subdivisions within spiggin B (B1, B2) and spiggin C (C1, C2). Spiggin A had diverged least from the ancestral MUC19, while the spiggin C duplicates had diversified most substantially. In silico translations of the spiggin gene open reading frames predicted that spiggins A and B are secreted as long mucin-like polymers, while spiggins C1 and C2 are secreted as short monomers, with putative antimicrobial properties. We propose that diversification of duplicated spiggin genes has facilitated local adaptation of spiggin to a range of aquatic habitats.</t>
  </si>
  <si>
    <t>[Seear, P. J.; Barber, I.] Univ Leicester, Dept Neurosci Psychol &amp; Behav, Coll Med Biol Sci &amp; Psychol, Leicester LE1 7RH, Leics, England; [Rosato, E.] Univ Leicester, Dept Genet, Coll Med Biol Sci &amp; Psychol, Leicester LE1 7RH, Leics, England; [Goodall-Copestake, W. P.] British Antarctic Survey, Cambridge CB3 0ET, England</t>
  </si>
  <si>
    <t>University of Leicester; University of Leicester; UK Research &amp; Innovation (UKRI); Natural Environment Research Council (NERC); NERC British Antarctic Survey</t>
  </si>
  <si>
    <t>Seear, PJ (corresponding author), Univ Leicester, Dept Neurosci Psychol &amp; Behav, Coll Med Biol Sci &amp; Psychol, Leicester LE1 7RH, Leics, England.</t>
  </si>
  <si>
    <t>ps255@le.ac.uk</t>
  </si>
  <si>
    <t>Goodall-Copestake, William/CAF-6866-2022; Barber, Iain/IWM-6135-2023</t>
  </si>
  <si>
    <t>Barber, Iain/0000-0003-3955-6674; Rosato, Ezio/0000-0001-7297-4697; Seear, Paul/0000-0003-4303-5943; Goodall-Copestake, Will/0000-0003-3586-9091</t>
  </si>
  <si>
    <t>UK NERC [NE/F019440/1]; University of Leicester; European Union [227799]; Natural Environment Research Council [NE/F019440/1, bas0100035] Funding Source: researchfish; NERC [NE/F019440/1, bas0100035] Funding Source: UKRI</t>
  </si>
  <si>
    <t>UK NERC(UK Research &amp; Innovation (UKRI)Natural Environment Research Council (NERC)); University of Leicester; European Union(European Union (EU)); Natural Environment Research Council(UK Research &amp; Innovation (UKRI)Natural Environment Research Council (NERC)); NERC(UK Research &amp; Innovation (UKRI)Natural Environment Research Council (NERC))</t>
  </si>
  <si>
    <t>We are grateful to N.E. Simmonds for sampling the UK freshwater sticklebacks; C. Tilley and C. Breacker for aquarium maintenance and fish husbandry at the University of Leicester. We thank M. Jobling, R. Badge, C.P. Kyriacou, M. Carr, G. Vuister, E.B. Mallon and R Hammond for discussions and comments on earlier versions of the manuscript. This study was funded by the UK NERC [grant NE/F019440/1, to I.B. and E.R.], the University of Leicester and the European Union ASSEMBLE access to marine research infrastructure fund [grant 227799, to I.B.].</t>
  </si>
  <si>
    <t>10.1111/mec.13317</t>
  </si>
  <si>
    <t>CQ2QH</t>
  </si>
  <si>
    <t>WOS:000360445700011</t>
  </si>
  <si>
    <t>Xu, QH; Cai, C; Hu, XX; Liu, Y; Guo, YN; Hu, P; Chen, ZZ; Peng, SH; Zhang, DS; Jiang, SW; Wu, ZC; Chan, JL; Chen, LB</t>
  </si>
  <si>
    <t>Xu, Qianghua; Cai, Chang; Hu, Xingxing; Liu, Yun; Guo, Yanan; Hu, Peng; Chen, Zuozhou; Peng, Sihua; Zhang, Dongsheng; Jiang, Shouwen; Wu, Zhichao; Chan, Jiulin; Chen, Liangbiao</t>
  </si>
  <si>
    <t>Evolutionary suppression of erythropoiesis via the modulation of TGF-β signalling in an Antarctic icefish</t>
  </si>
  <si>
    <t>Antarctic icefish; erythropoiesis; microRNAome; TGF-beta signalling; transcriptome comparison</t>
  </si>
  <si>
    <t>RNA-SEQ DATA; STEM-CELL; SELECTION; ENDOGLIN; DIFFERENTIATION; SUBSTITUTION; ADAPTATION; HEMOGLOBIN; ANTIFREEZE; LIKELIHOOD</t>
  </si>
  <si>
    <t>The Antarctic icefish, a family (Channichthyidae) of teleosts within the perciform suborder Notothenioidei, are the only known vertebrates without oxygen-transporting haemoglobins and that are largely devoid of circulating erythrocytes. To elucidate the evo-devo mechanisms underpinning the suppressed erythropoiesis in the icefish, we conducted comparative studies on the transcriptomes and microRNAomes of the primary haematopoietic tissues between an icefish (Chionodraco hamatus) and two red-blooded notothenioids (Trematomus bernacchii and Gymnodraco acuticeps). We identified substantial remodelling of the haematopoietic programs in the icefish through which erythropoiesis is selectively suppressed. Experimental verification showed that erythropoietic suppression in the icefish may be attributable to the upregulation of TGF-beta signalling, which coincides with reductions in multiple transcription factors essential for erythropoiesis and the upregulation of hundreds of microRNAs, the majority (&gt;80%) of which potentially target erythropoiesis regulating factors. Of the six microRNAs selected for verification, three miRNAs (miR-152, miR-1388 and miR-16b) demonstrated suppressive functions on GATA1 and ALAS2, which are two factors important for erythroid differentiation, resulting in reduced numbers of erythroids in microinjected zebra fish embryos. Codon substitution analyses of the genes of the TGF-beta superfamily revealed signs of positive selection in TGF-beta 1 and endoglin in the lineages leading to Antarctic notothenioids. Both genes are previously known to function in erythropoietic suppression. These findings implied a general trend of erythropoietic suppression in the cold-adapted notothenioid lineages through evolutionary modulation of the multi-functional TGF-beta signalling pathway. This trend is more pronounced in the haemoglobin-less icefish, which may pre-emptively hinder the otherwise defective erythroids from production.</t>
  </si>
  <si>
    <t>[Xu, Qianghua; Cai, Chang; Hu, Xingxing; Liu, Yun; Guo, Yanan; Chan, Jiulin] Shanghai Ocean Univ, Coll Marine Sci, Key Lab Sustainable Exploitat Ocean Fisheries Res, Minist Educ, Shanghai 201306, Peoples R China; [Xu, Qianghua] Collaborat Innovat Ctr Distant Water Fisheries, Shanghai 201306, Peoples R China; [Hu, Peng; Chen, Zuozhou; Peng, Sihua; Zhang, Dongsheng; Jiang, Shouwen; Wu, Zhichao; Chen, Liangbiao] Shanghai Ocean Univ, Coll Fisheries &amp; Life Sci, Key Lab Aquaculture Resources &amp; Utilizat, Minist Educ, Shanghai 201306, Peoples R China</t>
  </si>
  <si>
    <t>Shanghai Ocean University; Shanghai Ocean University</t>
  </si>
  <si>
    <t>Chen, LB (corresponding author), Shanghai Ocean Univ, Coll Fisheries &amp; Life Sci, Key Lab Aquaculture Resources &amp; Utilizat, Minist Educ, Shanghai 201306, Peoples R China.</t>
  </si>
  <si>
    <t>qhxu@shou.edu.cn; lbchen@shou.edu.cn</t>
  </si>
  <si>
    <t>Hu, Peng/X-1546-2019; peng, sihua/C-2730-2009</t>
  </si>
  <si>
    <t>Zhang, Dongsheng/0000-0003-2007-8377; , liangbiao/0000-0002-0717-8536; Hu, Peng/0000-0002-0017-1948</t>
  </si>
  <si>
    <t>Natural Science Foundation of China [91131006]; Shuguang Program by Shanghai Education Development Foundation; Shanghai Municipal Education Commission [13SG51]; NSFC [31130049]; Chinese Ministry of Education [213013A]; Shanghai Municipal Project for First-class Discipline of Fishery</t>
  </si>
  <si>
    <t>Natural Science Foundation of China(National Natural Science Foundation of China (NSFC)); Shuguang Program by Shanghai Education Development Foundation; Shanghai Municipal Education Commission(Shanghai Municipal Education Commission (SHMEC)); NSFC(National Natural Science Foundation of China (NSFC)); Chinese Ministry of Education(Ministry of Education, China); Shanghai Municipal Project for First-class Discipline of Fishery</t>
  </si>
  <si>
    <t>This work was supported by grants from the Major Research Plan Fostering Project of the Natural Science Foundation of China (Grant No. 91131006), the 'Shuguang Program' supported by Shanghai Education Development Foundation and Shanghai Municipal Education Commission (Grant No. 13SG51), NSFC 31130049, the Research Project of the Chinese Ministry of Education (No. 213013A), and the Shanghai Municipal Project for First-class Discipline of Fishery.</t>
  </si>
  <si>
    <t>10.1111/mec.13344</t>
  </si>
  <si>
    <t>CR7UB</t>
  </si>
  <si>
    <t>WOS:000361555900007</t>
  </si>
  <si>
    <t>Moodley, Y; Masello, JF; Cole, TL; Calderon, L; Munimanda, GK; Thali, MR; Alderman, R; Cuthbert, RJ; Marin, M; Massaro, M; Navarro, J; Phillips, RA; Ryan, PG; Suazo, CG; Cherel, Y; Weimerskirch, H; Quillfeldt, P</t>
  </si>
  <si>
    <t>Moodley, Yoshan; Masello, Juan F.; Cole, Theresa L.; Calderon, Luciano; Munimanda, Gopi K.; Thali, Marco R.; Alderman, Rachael; Cuthbert, Richard J.; Marin, Manuel; Massaro, Melanie; Navarro, Joan; Phillips, Richard A.; Ryan, Peter G.; Suazo, Cristian G.; Cherel, Yves; Weimerskirch, Henri; Quillfeldt, Petra</t>
  </si>
  <si>
    <t>Evolutionary factors affecting the cross-species utility of newly developed microsatellite markers in seabirds</t>
  </si>
  <si>
    <t>MOLECULAR ECOLOGY RESOURCES</t>
  </si>
  <si>
    <t>cross-species transferability; genetic diversity; microsatellite; null alleles; Pachyptila; Procellariiformes</t>
  </si>
  <si>
    <t>PACHYPTILA-BELCHERI; BREEDING SUCCESS; PRIONS; PROCELLARIIFORMES; PHYLOGEOGRAPHY; LOCI; DIFFERENTIATION; MITOCHONDRIAL; CONSERVATION; CONSEQUENCES</t>
  </si>
  <si>
    <t>Microsatellite loci are ideal for testing hypotheses relating to genetic segregation at fine spatio-temporal scales. They are also conserved among closely related species, making them potentially useful for clarifying interspecific relationships between recently diverged taxa. However, mutations at primer binding sites may lead to increased nonamplification, or disruptions that may result in decreased polymorphism in nontarget species. Furthermore, high mutation rates and constraints on allele size may also with evolutionary time, promote an increase in convergently evolved allele size classes, biasing measures of interspecific genetic differentiation. Here, we used next-generation sequencing to develop microsatellite markers from a shotgun genome sequence of the sub-Antarctic seabird, the thin-billed prion (Pachyptila belcheri), that we tested for cross-species amplification in other Pachyptila and related sub-Antarctic species. We found that heterozygosity decreased and the proportion of nonamplifying loci increased with phylogenetic distance from the target species. Surprisingly, we found that species trees estimated from interspecific F-ST provided better approximations of mtDNA relationships among the studied species than those estimated using D-C, even though F-ST was more affected by null alleles. We observed a significantly nonlinear second order polynomial relationship between microsatellite and mtDNA distances. We propose that the loss of linearity with increasing mtDNA distance stems from an increasing proportion of homoplastic allele size classes that are identical in state, but not identical by descent. Therefore, despite high cross-species amplification success and high polymorphism among the closely related Pachyptila species, we caution against the use of microsatellites in phylogenetic inference among distantly related taxa.</t>
  </si>
  <si>
    <t>[Moodley, Yoshan] Univ Venda, Dept Zool, ZA-0950 Thohoyandou, South Africa; [Moodley, Yoshan; Munimanda, Gopi K.] Univ Vet Med Vienna, Konrad Lorenz Inst Ethol, Dept Integrat Biol &amp; Evolut, A-1160 Vienna, Austria; [Masello, Juan F.; Cole, Theresa L.; Calderon, Luciano; Suazo, Cristian G.; Quillfeldt, Petra] Univ Giessen, Dept Anim Ecol &amp; Systemat, D-35392 Giessen, Germany; [Cole, Theresa L.] Curtin Univ, Dept Environm &amp; Agr, Trace &amp; Environm DNA Lab, Perth, WA 6102, Australia; [Thali, Marco R.] Ecogen GmbH, CH-8952 Zurich, Switzerland; [Alderman, Rachael] Dept Primary Ind Pk Water &amp; Environm, Hobart, Tas 7001, Australia; [Cuthbert, Richard J.] Royal Soc Protect Birds, Sandy SG19 2DL, Beds, England; [Marin, Manuel] Nat Hist Museum Los Angeles Cty, Sect Ornithol, Los Angeles, CA 90007 USA; [Marin, Manuel] Feather Link Inc, Cincinnati, OH 45244 USA; [Massaro, Melanie] Charles Sturt Univ, Sch Environm Sci, Albury, NSW 2640, Australia; [Navarro, Joan] EBD CSIC, Dept Conservat Biol, Seville 41092, Spain; [Phillips, Richard A.] NERC, British Antarctic Survey, Cambridge CB3 0ET, England; [Ryan, Peter G.] Univ Cape Town, DST NRF Ctr Excellence, Percy FitzPatrick Inst, ZA-7701 Rondebosch, South Africa; [Cherel, Yves; Weimerskirch, Henri] Univ La Rochelle, CNRS, UMR 7372, Ctr Etudes Biol Chize, F-79360 Villiers En Bois, France</t>
  </si>
  <si>
    <t>University of Venda; University of Veterinary Medicine Vienna; Justus Liebig University Giessen; Curtin University; Royal Society for Protection of Birds; Charles Sturt University; Consejo Superior de Investigaciones Cientificas (CSIC); CSIC - Estacion Biologica de Donana (EBD); UK Research &amp; Innovation (UKRI); Natural Environment Research Council (NERC); NERC British Antarctic Survey; National Research Foundation - South Africa; University of Cape Town; La Rochelle Universite; Centre National de la Recherche Scientifique (CNRS); CNRS - Institute of Ecology &amp; Environment (INEE)</t>
  </si>
  <si>
    <t>Moodley, Y (corresponding author), Univ Venda, Dept Zool, Private Bag X5050, ZA-0950 Thohoyandou, South Africa.</t>
  </si>
  <si>
    <t>yoshan.moodley@vetmeduni.ac.at</t>
  </si>
  <si>
    <t>Weimerskirch, Henri/F-5562-2013; Weimerskirch, Henri/K-7306-2019; Calderon, Luciano/O-7470-2014; Navarro, Joan/C-2119-2009; Masello, Juan Francisco/C-7133-2009; Massaro, Melanie/P-4791-2017</t>
  </si>
  <si>
    <t>Weimerskirch, Henri/0000-0002-0457-586X; Navarro, Joan/0000-0002-5756-9543; Calderon, Luciano/0000-0003-4223-0149; Masello, Juan Francisco/0000-0002-6826-4016; Cole, Theresa/0000-0002-0197-286X; Massaro, Melanie/0000-0001-9039-1268; Moodley, Yoshan/0000-0003-4216-2924; Suazo, Cristian/0000-0003-3336-3660</t>
  </si>
  <si>
    <t>German Science Foundation DFG [Qu 148/5]; Natural Environment Research Council [bas0100035] Funding Source: researchfish; NERC [bas0100035] Funding Source: UKRI</t>
  </si>
  <si>
    <t>German Science Foundation DFG(German Research Foundation (DFG)); Natural Environment Research Council(UK Research &amp; Innovation (UKRI)Natural Environment Research Council (NERC)); NERC(UK Research &amp; Innovation (UKRI)Natural Environment Research Council (NERC))</t>
  </si>
  <si>
    <t>The work was funded by a grant provided by the German Science Foundation DFG (Qu 148/5). We would like to thank the New Island Conservation Trust with assistance from Ian, Maria and Georgina Strange, and Benno H. Luthi, Klemens Putz and Gerhard Meyer from the Antarctic Research Trust, for crucial support during the fieldwork. We extend special thanks to Ruth Brown for her fieldwork support at Bird Island (South Georgia) and to Jaime A. Cursach for his assistance during fieldwork at Diego Ramirez (Chile). We thank Antje Schreiner for help with the laboratory work.</t>
  </si>
  <si>
    <t>1755-098X</t>
  </si>
  <si>
    <t>1755-0998</t>
  </si>
  <si>
    <t>MOL ECOL RESOUR</t>
  </si>
  <si>
    <t>Mol. Ecol. Resour.</t>
  </si>
  <si>
    <t>10.1111/1755-0998.12372</t>
  </si>
  <si>
    <t>CP1JH</t>
  </si>
  <si>
    <t>WOS:000359631600004</t>
  </si>
  <si>
    <t>Wetterer, JK; Hita Garcia, F</t>
  </si>
  <si>
    <t>Wetterer, James K.; Hita Garcia, Francisco</t>
  </si>
  <si>
    <t>Worldwide spread of Tetramorium caldarium (Hymenoptera: Formicidae)</t>
  </si>
  <si>
    <t>MYRMECOLOGICAL NEWS</t>
  </si>
  <si>
    <t>Biogeography; biological invasion; exotic species; invasive species</t>
  </si>
  <si>
    <t>PHEIDOLE-MEGACEPHALA HYMENOPTERA; BIG-HEADED ANT; DACETINE ANT; SNEAKING ANT; EXOTIC ANTS; FOOTED ANT; FIRE ANT</t>
  </si>
  <si>
    <t>We documented Tetramorium caldarium records from 67 geographic areas (countries, island groups, major Caribbean islands, and US states), including several for which there are no previously published records: Austral Islands, Australia, Benin, Cameroon, Cayman Islands, Congo (Republic), Curacao, Dubai, El Salvador, Gabon, Guadeloupe, Indonesia, Jamaica, Martinique, Namibia, Panama, Scotland, Senegal, South Africa, Tanzania, and Uganda. Tetramorium caldarium is truly cosmopolitan, with records spread across seven of the world's eight bioregions (all except the Antarctic, which has no ants). Tetramorium caldarium records are particularly common on Atlantic islands and from greenhouses and heated buildings in temperate Europe.</t>
  </si>
  <si>
    <t>[Wetterer, James K.] Florida Atlantic Univ, Wilkes Honors Coll, Jupiter, FL 33458 USA; [Hita Garcia, Francisco] Hess Landesmuseum Darmstadt, D-64283 Darmstadt, Germany</t>
  </si>
  <si>
    <t>State University System of Florida; Florida Atlantic University</t>
  </si>
  <si>
    <t>Wetterer, JK (corresponding author), Florida Atlantic Univ, Wilkes Honors Coll, 5353 Parkside Dr, Jupiter, FL 33458 USA.</t>
  </si>
  <si>
    <t>wetterer@fau.edu; fhitagarcia@gmail.com</t>
  </si>
  <si>
    <t>Garcia, Francisco Hita/C-9636-2015</t>
  </si>
  <si>
    <t>Garcia, Francisco Hita/0000-0003-4709-3083</t>
  </si>
  <si>
    <t>Florida Atlantic University; National Science Foundation; National Geographic Society</t>
  </si>
  <si>
    <t>Florida Atlantic University; National Science Foundation(National Science Foundation (NSF)); National Geographic Society(National Geographic Society)</t>
  </si>
  <si>
    <t>We thank M. Wetterer, H.C. Wagner, J. Majer, B. Bolton, and A. Andersen for comments on this manuscript; S. Cover for help, encouragement, and ant identification; B. Bolton (BMNH), S. Cover (MCZ), M. Deyrup (ABS), J. Hogan (ONHM), and T. Schultz (SI) for help with their respective ant collections; J. Woinarski, D. Ward, M. Lush, A. Fotso Kuate, B. Heterick, and M. DaSilva for providing unpublished specimens records; O'Brien for GIS help; E. Sarnat for use of his excellent photos; D.P. Wojcik and S.D. Porter for compiling the FORMIS bibliography; L. Lesperance of the FAU library for processing so many interlibrary loans; Florida Atlantic University, the National Science Foundation, and the National Geographic Society for financial support.</t>
  </si>
  <si>
    <t>OESTERREICHISCHE GESELL ENTOMOFAUNISTIK, C/O NATURHISTOR MUSEUM WIEN</t>
  </si>
  <si>
    <t>WIEN</t>
  </si>
  <si>
    <t>ZWEITE ZOOLOGISCHE ABTEILUNG (INSEKTEN), BURGRING 7, WIEN, AUSTRIA</t>
  </si>
  <si>
    <t>1994-4136</t>
  </si>
  <si>
    <t>MYRMECOL NEWS</t>
  </si>
  <si>
    <t>Myrmecol. News</t>
  </si>
  <si>
    <t>CR5YK</t>
  </si>
  <si>
    <t>WOS:000361420100009</t>
  </si>
  <si>
    <t>Dar, SA; Khan, KF; Khan, SA; Khan, S; Alam, MM</t>
  </si>
  <si>
    <t>Dar, Shamim A.; Khan, K. F.; Khan, Saif A.; Khan, Samsuddin; Alam, M. Masroor</t>
  </si>
  <si>
    <t>Petro-mineralogical Studies of the Paleoproterozoic Phosphorites in the Sonrai basin, Lalitpur District, Uttar Pradesh, India</t>
  </si>
  <si>
    <t>NATURAL RESOURCES RESEARCH</t>
  </si>
  <si>
    <t>Petro-mineralogy; Paleoproterozoic; Sonrai basin; Phosphorite; Carbonate-fluorapatite</t>
  </si>
  <si>
    <t>GEOCHEMISTRY; MINERALIZATION; PARTS; ROCKS; AREA</t>
  </si>
  <si>
    <t>The Paleoproterozoic phosphorites constitute an economically significant component of the Sonrai basin of Lalitpur district. These are associated with ferruginous shale, ironstone, limestone and quartz breccia. Petro-mineralogical studies of samples of the phosphorites, using X-ray diffractometry and scanning electron microscopy, reveal that the collophane (carbonate-fluorapatite) is the dominant phosphate mineral. Calcite, dolomite, quartz, mica and haematite are the dominant gangue constituents. The phosphate minerals occur as oolites mutually replaced by carbonate and silica. The presence of iron oxides has been found in most of the thin sections. There is meagre evidence of organic matter in the form of filaments of microbial phosphate laminae in the samples of phosphorite. The mineral assemblages, their texture and various forms in these phosphorites may be due to some environmental vicissitudes followed by replacement processes and biogenic activities.</t>
  </si>
  <si>
    <t>[Dar, Shamim A.; Khan, K. F.; Khan, Saif A.; Khan, Samsuddin] Aligarh Muslim Univ, Dept Geol, Aligarh 202002, Uttar Pradesh, India; [Alam, M. Masroor] Aligarh Muslim Univ, Dept Civil Engn, Geol Sect, Aligarh 202002, Uttar Pradesh, India</t>
  </si>
  <si>
    <t>Aligarh Muslim University; Aligarh Muslim University</t>
  </si>
  <si>
    <t>Dar, SA (corresponding author), Aligarh Muslim Univ, Dept Geol, Aligarh 202002, Uttar Pradesh, India.</t>
  </si>
  <si>
    <t>sjshamim@gmail.com</t>
  </si>
  <si>
    <t>Alam, Masroor/GVS-0197-2022</t>
  </si>
  <si>
    <t>Dar, Shamim Ahmad/0000-0001-8046-1816; khan, Dr. samsuddin/0000-0002-7361-982X</t>
  </si>
  <si>
    <t>University Grants Commission (UGC)</t>
  </si>
  <si>
    <t>University Grants Commission (UGC)(University Grants Commission, India)</t>
  </si>
  <si>
    <t>The authors are highly obliged to the Chairman, Department of Geology for providing necessary facilities. The Director and V.P. Rao, Scientist 'G' National Institute of Oceanography (NIO) is thankfully acknowledged for permission and full cooperation for XRD and SEM analyses. We gratefully acknowledge the National Centre for Antarctic and Ocean Research (NCAOR), Goa and Dr. N.C. Pant, Department of Geology, University of Delhi, for permission and developing the photomicrographs. University Grants Commission (UGC) is thankfully acknowledged for financial assistance.</t>
  </si>
  <si>
    <t>1520-7439</t>
  </si>
  <si>
    <t>1573-8981</t>
  </si>
  <si>
    <t>NAT RESOUR RES</t>
  </si>
  <si>
    <t>Nat. Resour. Res.</t>
  </si>
  <si>
    <t>10.1007/s11053-014-9260-x</t>
  </si>
  <si>
    <t>V47WF</t>
  </si>
  <si>
    <t>WOS:000209981200007</t>
  </si>
  <si>
    <t>Fischer, H; Schüpbach, S; Gfeller, G; Bigler, M; Röthlisberger, R; Erhardt, T; Stocker, TF; Mulvaney, R; Wolff, E</t>
  </si>
  <si>
    <t>Fischer, Hubertus; Schuepbach, Simon; Gfeller, Gideon; Bigler, Matthias; Roethlisberger, Regine; Erhardt, Tobias; Stocker, Thomas F.; Mulvaney, Robert; Wolff, Ericw.</t>
  </si>
  <si>
    <t>Millennial changes in North American wildfire and soil activity over the last glacial cycle</t>
  </si>
  <si>
    <t>ABRUPT CLIMATE-CHANGE; GREENLAND ICE; TEMPERATURE RECONSTRUCTION; ATMOSPHERIC CIRCULATION; VEGETATION EMISSIONS; SCALE VARIABILITY; FOREST-FIRES; RECORDS; STATES; KYR</t>
  </si>
  <si>
    <t>Climate changes in the North Atlantic region during the last glacial cycle were dominated by the slow waxing and waning of the North American ice sheet as well as by intermittent, millennial-scale Dansgaard-Oeschger climate oscillations. However, prior to the last deglaciation, the responses of North American vegetation and biomass burning to these climate variations are uncertain. Ammonium in Greenland ice cores, a product from North American soil emissions and biomass burning events, can help to fill this gap. Here we use continuous, high-resolution measurements of ammonium concentrations between 110,000 to 10,000 years ago from the Greenland NGRIP and GRIP ice cores to reconstruct North American wildfire activity and soil ammonium emissions. We find that on orbital timescales soil emissions increased under warmer climate conditions when vegetation expanded northwards into previously ice-covered areas. For millennial-scale interstadial warm periods during Marine Isotope Stage 3, the fire recurrence rate increased in parallel to the rapid warmings, whereas soil emissions rose more slowly, reflecting slow ice shrinkage and delayed ecosystem changes. We conclude that sudden warming events had little impact on soil ammonium emissions and ammonium transport to Greenland, but did result in a substantial increase in the frequency of North American wildfires.</t>
  </si>
  <si>
    <t>[Fischer, Hubertus; Schuepbach, Simon; Gfeller, Gideon; Bigler, Matthias; Roethlisberger, Regine; Erhardt, Tobias; Stocker, Thomas F.] Univ Bern, Inst Phys, Climate &amp; Environm Phys, CH-3012 Bern, Switzerland; [Fischer, Hubertus; Schuepbach, Simon; Gfeller, Gideon; Bigler, Matthias; Roethlisberger, Regine; Erhardt, Tobias; Stocker, Thomas F.] Univ Bern, Oeschger Ctr Climate Change Res, CH-3012 Bern, Switzerland; [Mulvaney, Robert] British Antarctic Survey, Cambridge CB3 0ET, England; [Wolff, Ericw.] Univ Cambridge, Dept Earth Sci, Cambridge CB2 3EQ, England</t>
  </si>
  <si>
    <t>University of Bern; University of Bern; UK Research &amp; Innovation (UKRI); Natural Environment Research Council (NERC); NERC British Antarctic Survey; University of Cambridge</t>
  </si>
  <si>
    <t>Fischer, H (corresponding author), Univ Bern, Inst Phys, Climate &amp; Environm Phys, Sidlerstr 5, CH-3012 Bern, Switzerland.</t>
  </si>
  <si>
    <t>hubertus.fischer@climate.unibe.ch</t>
  </si>
  <si>
    <t>Bishnoi, Mamta/AAQ-8346-2021; Bigler, Matthias/HTT-3872-2023; Erhardt, Tobias/C-4589-2019; Wolff, Eric W/D-7925-2014; Mulvaney, Robert/K-3929-2012; Fischer, Hubertus/A-1211-2014</t>
  </si>
  <si>
    <t>Bishnoi, Mamta/0000-0003-4987-0536; Bigler, Matthias/0000-0003-0184-4013; Erhardt, Tobias/0000-0002-6683-6746; Wolff, Eric W/0000-0002-5914-8531; Fischer, Hubertus/0000-0002-2787-4221</t>
  </si>
  <si>
    <t>Division for Climate and Environmental Physics, Physics Institute, University of Bern; Swiss National Science Foundation (SNSF); Oeschger Centre for Climate Change Research; Royal Society professorship; Denmark (SNF); Belgium (FNRS-CFB); France (IPEV); France (INSU/CNRS); Germany (AWI); Iceland (RannIs); Japan (MEXT); Sweden (SPRS); Switzerland (SNSF); USA (NSF, Office of Polar Programs); NERC [bas0100034] Funding Source: UKRI; Natural Environment Research Council [bas0100034] Funding Source: researchfish</t>
  </si>
  <si>
    <t>Division for Climate and Environmental Physics, Physics Institute, University of Bern; Swiss National Science Foundation (SNSF)(Swiss National Science Foundation (SNSF)); Oeschger Centre for Climate Change Research; Royal Society professorship(Royal Society); Denmark (SNF); Belgium (FNRS-CFB)(Fonds de la Recherche Scientifique - FNRS); France (IPEV); France (INSU/CNRS)(Centre National de la Recherche Scientifique (CNRS)); Germany (AWI); Iceland (RannIs); Japan (MEXT)(Ministry of Education, Culture, Sports, Science and Technology, Japan (MEXT)); Sweden (SPRS); Switzerland (SNSF)(Swiss National Science Foundation (SNSF)); USA (NSF, Office of Polar Programs); NERC(UK Research &amp; Innovation (UKRI)Natural Environment Research Council (NERC)); Natural Environment Research Council(UK Research &amp; Innovation (UKRI)Natural Environment Research Council (NERC))</t>
  </si>
  <si>
    <t>The authors of this paper are indebted to the late D. Wagenbach, who contributed to and inspired this research in numerous discussions. This paper has also greatly benefited from the Sir Nicholas Shackleton fellowship, Clare Hall, University of Cambridge, UK, awarded to H.F. in 2014. The Division for Climate and Environmental Physics, Physics Institute, University of Bern acknowledges the long-term financial support of ice core research by the Swiss National Science Foundation (SNSF) and the Oeschger Centre for Climate Change Research. E.W.W. is supported by a Royal Society professorship. NGRIP is directed and organized by the Department of Geophysics at the Niels Bohr Institute for Astronomy, Physics and Geophysics, University of Copenhagen. It is supported by funding agencies in Denmark (SNF), Belgium (FNRS-CFB), France (IPEV and INSU/CNRS), Germany (AWI), Iceland (RannIs), Japan (MEXT), Sweden (SPRS), Switzerland (SNSF) and the USA (NSF, Office of Polar Programs).</t>
  </si>
  <si>
    <t>10.1038/NGEO2495</t>
  </si>
  <si>
    <t>CQ1WW</t>
  </si>
  <si>
    <t>WOS:000360392000019</t>
  </si>
  <si>
    <t>Grant, TJ</t>
  </si>
  <si>
    <t>Grant, Timothy J.</t>
  </si>
  <si>
    <t>The vertical shape of a buoyant acoustic streamer between depth control units</t>
  </si>
  <si>
    <t>OCEAN ENGINEERING</t>
  </si>
  <si>
    <t>Towed cable; Seismic streamer; Depth control unit</t>
  </si>
  <si>
    <t>TOWED CABLE HYDRODYNAMICS; SHIP TURNING MANEUVERS; NUMERICAL-SIMULATION; TRANSIENT-BEHAVIOR; DYNAMICS; SYSTEMS</t>
  </si>
  <si>
    <t>When conducting marine seismic surveys it is important to know the vertical profile of the seismic streamer. Typically the streamer has a density that is different from the seawater; therefore the streamer is held at depth by depth control units, and the streamer's tail is held at the surface by a tail buoy. In this paper, a semi-analytical solution is presented. It is the first-order solution for the profile of a streamer, towed in a straight line, at a constant speed. The solution is adapted to describe the streamer shape when there are significant changes in cable density due to the presence of components over small regions. The resulting profiles have good agreement with a numerical solution evolved to the steady state. (C) 2015 Elsevier Ltd. All rights reserved.</t>
  </si>
  <si>
    <t>[Grant, Timothy J.] British Antarctic Survey, Cambridge CB3 0ET, England; [Grant, Timothy J.] Schlumberger Gould Res, Cambridge CB3 0EL, England</t>
  </si>
  <si>
    <t>UK Research &amp; Innovation (UKRI); Natural Environment Research Council (NERC); NERC British Antarctic Survey; Schlumberger</t>
  </si>
  <si>
    <t>Grant, TJ (corresponding author), Siemens PLM Software, Francis House,112 Hills Rd, Cambridge CB2 1PH, England.</t>
  </si>
  <si>
    <t>timothy.grant@siemens.com</t>
  </si>
  <si>
    <t>Grant, Timothy/0000-0002-7257-296X</t>
  </si>
  <si>
    <t>Schlumberger; NERC [NE/L008246/1]; NERC [bas0100033, bas0100028, NE/L008246/1] Funding Source: UKRI; Natural Environment Research Council [bas0100033, NE/L008246/1, bas0100028] Funding Source: researchfish</t>
  </si>
  <si>
    <t>Schlumberger(Schlumberger);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</si>
  <si>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Schlumberger and partially by NERC Grant NE/L008246/1. The author thanks Jon-Fredrik Hopperstad and Nick Moldoveanu for suggesting this topic of research and Robert Laws for helpful discussions (all of Schlumberger).</t>
  </si>
  <si>
    <t>0029-8018</t>
  </si>
  <si>
    <t>OCEAN ENG</t>
  </si>
  <si>
    <t>Ocean Eng.</t>
  </si>
  <si>
    <t>10.1016/j.oceaneng.2015.06.004</t>
  </si>
  <si>
    <t>Engineering, Marine; Engineering, Civil; Engineering, Ocean; Oceanography</t>
  </si>
  <si>
    <t>Engineering; Oceanography</t>
  </si>
  <si>
    <t>CQ2GI</t>
  </si>
  <si>
    <t>WOS:000360417700016</t>
  </si>
  <si>
    <t>Farneti, R; Downes, SM; Griffies, SM; Marsland, SJ; Behrens, E; Bentsen, M; Bi, DH; Biastoch, A; Böning, C; Bozec, A; Canuto, VM; Chassignet, E; Danabasoglu, G; Danilov, S; Diansky, N; Drange, H; Fogli, PG; Gusev, A; Hallberg, RW; Howard, A; Ilicak, M; Jung, T; Kelley, M; Large, WG; Leboissetier, A; Long, M; Lu, JH; Masina, S; Mishra, A; Navarra, A; Nurser, AJG; Patara, L; Samuels, BL; Sidorenko, D; Tsujino, H; Uotila, P; Wang, Q; Yeager, SG</t>
  </si>
  <si>
    <t>Farneti, Riccardo; Downes, Stephanie M.; Griffies, Stephen M.; Marsland, Simon J.; Behrens, Erik; Bentsen, Mats; Bi, Daohua; Biastoch, Arne; Boening, Claus; Bozec, Alexandra; Canuto, Vittorio M.; Chassignet, Eric; Danabasoglu, Gokhan; Danilov, Sergey; Diansky, Nikolay; Drange, Helge; Fogli, Pier Giuseppe; Gusev, Anatoly; Hallberg, Robert W.; Howard, Armando; Ilicak, Mehmet; Jung, Thomas; Kelley, Maxwell; Large, William G.; Leboissetier, Anthony; Long, Matthew; Lu, Jianhua; Masina, Simona; Mishra, Akhilesh; Navarra, Antonio; Nurser, A. J. George; Patara, Lavinia; Samuels, Bonita L.; Sidorenko, Dmitry; Tsujino, Hiroyuki; Uotila, Petteri; Wang, Qiang; Yeager, Steve G.</t>
  </si>
  <si>
    <t>An assessment of Antarctic Circumpolar Current and Southern Ocean meridional overturning circulation during 1958-2007 in a suite of interannual CORE-II simulations</t>
  </si>
  <si>
    <t>Global oceara--sea ice modeling; Model comparisons; Southern Ocean meridional overturning circulation; Antarctic Circumpolar Current; Southern Ocean dynamics</t>
  </si>
  <si>
    <t>NORTH-ATLANTIC SIMULATIONS; DRAKE PASSAGE; SEA-ICE; PART I; GLOBAL CLIMATE; ANNULAR MODE; MIXED-LAYER; THICKNESS DIFFUSIVITY; VERTICAL COORDINATE; EDDY DIFFUSIVITY</t>
  </si>
  <si>
    <t>In the framework of the second phase of the Coordinated Ocean-ice Reference Experiments (CORE-II), we present an analysis of the representation of the Antarctic Circumpolar Current (ACC) and Southern Ocean meridional overturning circulation (MOC) in a suite of seventeen global ocean-sea ice models. We focus on the mean, variability and trends of both the ACC and MOC over the 1958-2007 period, and discuss their relationship with the surface forcing. We aim to quantify the degree of eddy saturation and eddy compensation in the models participating in CORE-II, and compare our results with available observations, previous fineresolution numerical studies and theoretical constraints. Most models show weak ACC transport sensitivity to changes in forcing during the past five decades, and they can be considered to be in an eddy saturated regime. Larger contrasts arise when considering MOC trends, with a majority of models exhibiting significant strengthening of the MOC during the late 20th and early 21st century. Only a few models show a relatively small sensitivity to forcing changes, responding with an intensified eddy-induced circulation that provides some degree of eddy compensation, while still showing considerable decadal trends. Both ACC and MOC interannual variabilities are largely controlled by the Southern Annular Mode (SAM). Based on these results, models are clustered into two groups. Models with constant or two-dimensional (horizontal) specification of the eddy-induced advection coefficient K show larger ocean interior decadal trends, larger ACC transport decadal trends and no eddy compensation in the MOC. Eddy-permitting models or models with a threedimensional time varying K show smaller changes in isopycnal slopes and associated ACC trends, and partial eddy compensation. As previously argued, a constant in time or space lc is responsible for a poor representation of mesoscale eddy effects and cannot properly simulate the sensitivity of the ACC and MOC to changing surface forcing. Evidence is given for a larger sensitivity of the MOC as compared to the ACC transport, even when approaching eddy saturation. Future process studies designed for disentangling the role of momentum and buoyancy forcing in driving the ACC and MOC are proposed. (C) 2015 Elsevier Ltd. All rights reserved.</t>
  </si>
  <si>
    <t>[Farneti, Riccardo] Abdus Salaam Int Ctr Theoret Phys, Trieste, Italy; [Downes, Stephanie M.] Australian Natl Univ, Res Sch Earth Sci, Canberra, ACT 0200, Australia; [Downes, Stephanie M.] Australian Natl Univ, ARC Ctr Excellence Climate Syst Sci, Canberra, ACT 0200, Australia; [Griffies, Stephen M.; Hallberg, Robert W.; Samuels, Bonita L.] NOAA Geophys Fluid Dynam Lab GFDL, Princeton, NJ USA; [Marsland, Simon J.; Bi, Daohua; Uotila, Petteri] Ctr Australian Weather &amp; Climate Res, Aspendale, Vic, Australia; [Behrens, Erik; Biastoch, Arne; Boening, Claus; Patara, Lavinia] GEOMAR Helmholtz Ctr Ocean Res Kiel, Kiel, Germany; [Bentsen, Mats; Ilicak, Mehmet] Uni Res Ltd, Bergen, Norway; [Bozec, Alexandra; Chassignet, Eric; Lu, Jianhua; Mishra, Akhilesh] Florida State Univ, COAPS, Tallahassee, FL 32306 USA; [Canuto, Vittorio M.; Howard, Armando; Kelley, Maxwell; Leboissetier, Anthony] NASA Goddard Inst Space Studies GISS, New York, NY USA; [Danabasoglu, Gokhan; Large, William G.; Long, Matthew; Yeager, Steve G.] NCAR, Boulder, CO USA; [Danilov, Sergey; Jung, Thomas; Sidorenko, Dmitry; Wang, Qiang] AWI, Helmholtz Ctr Polar &amp; Marine Res, Bremerhaven, Germany; [Diansky, Nikolay; Gusev, Anatoly] Russian Acad Sci, Inst Numer Math, Moscow, Russia; [Drange, Helge] Univ Bergen, Bergen, Norway; [Fogli, Pier Giuseppe; Masina, Simona; Navarra, Antonio] Ctr Euromediterraneo Cambiamenti Climat CMCC, Bologna, Italy; [Leboissetier, Anthony] Trinnovim LLC, New York, NY USA; [Masina, Simona; Navarra, Antonio] INGV, Bologna, Italy; [Nurser, A. J. George] NOCS, Southampton, Hants, England; [Tsujino, Hiroyuki] Japan Meteorol Agcy, MRI, Tsukuba, Ibaraki, Japan; [Uotila, Petteri] Finnish Meteorol Inst, FIN-00101 Helsinki, Finland; [Howard, Armando] CUNY Medgar Evers Coll, New York, NY USA</t>
  </si>
  <si>
    <t>Abdus Salam International Centre for Theoretical Physics (ICTP); Australian National University; Australian National University; ARC Centre of Excellence for Climate System Science; Commonwealth Scientific &amp; Industrial Research Organisation (CSIRO); Helmholtz Association; GEOMAR Helmholtz Center for Ocean Research Kiel; University of Bergen; State University System of Florida; Florida State University; National Aeronautics &amp; Space Administration (NASA); NASA Goddard Space Flight Center; Goddard Institute for Space Studies; National Center Atmospheric Research (NCAR) - USA; Helmholtz Association; Alfred Wegener Institute, Helmholtz Centre for Polar &amp; Marine Research; Russian Academy of Sciences; University of Bergen; Centro Euro-Mediterraneo sui Cambiamenti Climatici (CMCC); Istituto Nazionale Geofisica e Vulcanologia (INGV); NERC National Oceanography Centre; Japan Meteorological Agency; Finnish Meteorological Institute; City University of New York (CUNY) System</t>
  </si>
  <si>
    <t>Farneti, R (corresponding author), Abdus Salaam Int Ctr Theoret Phys, Trieste, Italy.</t>
  </si>
  <si>
    <t>rfarneti@ictp.it</t>
  </si>
  <si>
    <t>Danilov, Sergey/S-6184-2016; Griffies, Stephen Matthew/N-9144-2019; Bentsen, Mats/JHU-7393-2023; MISHRA, AKHILESH/A-2356-2015; Biastoch, Arne/B-5219-2014; ILICAK, Mehmet/H-2219-2011; Long, Matthew C/H-4632-2016; Jung, Thomas/J-5239-2012; Ilicak, Mehmet/AAG-1093-2020; Masina, Simona/B-4974-2012; Diansky, Nikolay A/R-8307-2018; Downes, Stephanie/A-1424-2012; Gusev, Anatoly/M-4012-2019; Farneti, Riccardo/B-5183-2011; Boening, Claus/AAW-6387-2020; Lu, Jianhua/B-8923-2008; Behrens, Erik/B-9631-2013; Bi, Daohua/O-4508-2015; Marsland, Simon J/A-1453-2012; Fogli, Pier Giuseppe/E-9486-2015; Boening, Claus W/HIR-8996-2022; Boening, Claus W./B-1686-2012; Uotila, Petteri/A-1703-2012</t>
  </si>
  <si>
    <t>Danilov, Sergey/0000-0001-8098-182X; Griffies, Stephen Matthew/0000-0002-3711-236X; MISHRA, AKHILESH/0000-0002-1427-3603; Biastoch, Arne/0000-0003-3946-4390; ILICAK, Mehmet/0000-0002-4777-8835; Jung, Thomas/0000-0002-2651-1293; Ilicak, Mehmet/0000-0002-4777-8835; Gusev, Anatoly/0000-0002-6463-3179; Farneti, Riccardo/0000-0001-7781-6436; Boening, Claus/0000-0002-6251-5777; Marsland, Simon J/0000-0002-5664-5276; Fogli, Pier Giuseppe/0000-0001-7997-6273; Boening, Claus W/0000-0002-6251-5777; Boening, Claus W./0000-0002-6251-5777; Uotila, Petteri/0000-0002-2939-7561; Long, Matthew/0000-0003-1273-2957; Sidorenko, Dmitry/0000-0001-8579-6068; Leboissetier, Anthony/0000-0001-9685-7815; Howard, Armando/0000-0001-6310-6070; Wang, Qiang/0000-0002-2704-5394; Chassignet, Eric/0000-0003-4710-7502; Diansky, Nikolay/0000-0002-6785-1956; Danabasoglu, Gokhan/0000-0003-4676-2732; MASINA, Simona/0000-0001-6273-7065</t>
  </si>
  <si>
    <t>international CLIVAR office; U.S. CLIVAR project office; Australian Government Department of the Environment; Bureau of Meteorology; CSIRO through the Australian Climate Change Science Programme; ARC Centre of Excellence for Climate System Science [CE110001028]; Helmholtz Climate Initiative REKLIM (Regional Climate Change) project; Research Council of Norway through the EarthClim project [207711/E10]; Research Council of Norway through the NOTUR/NorStore project; Centre for Climate Dynamics at the Bjerknes Centre for Climate Research; Italian Ministry of Education, University, and Research; Italian Ministry of Environment, Land, and Sea; U. S. National Science Foundation (NSF); Cluster of Excellence 'The Future Ocean'; Excellence Initiative by the DFG; Russian Science Foundation [14-27-00126]; NOAA Climate Program Office under Climate Variability and Predictability Program [NA09OAR4310163, NA130AR4310138]; NSF [OCE-1243015]; NERC [noc010010] Funding Source: UKRI; Natural Environment Research Council [noc010010] Funding Source: researchfish; Russian Science Foundation [14-27-00126] Funding Source: Russian Science Foundation</t>
  </si>
  <si>
    <t>international CLIVAR office; U.S. CLIVAR project office; Australian Government Department of the Environment(Australian Government); Bureau of Meteorology(Bureau of Meteorology - Australia); CSIRO through the Australian Climate Change Science Programme; ARC Centre of Excellence for Climate System Science(Australian Research Council); Helmholtz Climate Initiative REKLIM (Regional Climate Change) project; Research Council of Norway through the EarthClim project(Research Council of Norway); Research Council of Norway through the NOTUR/NorStore project(Research Council of Norway); Centre for Climate Dynamics at the Bjerknes Centre for Climate Research; Italian Ministry of Education, University, and Research(Ministry of Education, Universities and Research (MIUR)); Italian Ministry of Environment, Land, and Sea; U. S. National Science Foundation (NSF)(National Science Foundation (NSF)); Cluster of Excellence 'The Future Ocean'; Excellence Initiative by the DFG(German Research Foundation (DFG)); Russian Science Foundation(Russian Science Foundation (RSF)); NOAA Climate Program Office under Climate Variability and Predictability Program(National Oceanic Atmospheric Admin (NOAA) - USA); NSF(National Science Foundation (NSF)); NERC(UK Research &amp; Innovation (UKRI)Natural Environment Research Council (NERC)); Natural Environment Research Council(UK Research &amp; Innovation (UKRI)Natural Environment Research Council (NERC)); Russian Science Foundation(Russian Science Foundation (RSF))</t>
  </si>
  <si>
    <t>The WCRP/CLIVAR Ocean Model Development Panel (OMDP) is responsible for organizing the Coordinated Ocean-sea ice Reference Experiments, with support from the international CLIVAR and U.S. CLIVAR project offices. We are grateful for the efforts of modelers who have contributed to the simulation and processing of the CORE-II experiments. Dedicated disk space has been secured at NCAR to host and disseminate the CORE-II simulation data sets produced by the participating groups. The infrastructure is currently being tested. Guidelines on how to access the dataset will be posted on the following website http://www.clivar.org/clivar-panels/omdp/core-2#data as soon as the data is available. In the meantime, data can be requested from the individual modeling groups.; The ACCESS model is supported by the Australian Government Department of the Environment, the Bureau of Meteorology and CSIRO through the Australian Climate Change Science Programme. S. M. Downes was supported by the ARC Centre of Excellence for Climate System Science (grant CE110001028). AWI is a member of the Helmholtz Association of German Research Centers. Q. Wang and D. Sidorenko are funded by the Helmholtz Climate Initiative REKLIM (Regional Climate Change) project. The BERGEN contribution is supported by the Research Council of Norway through the EarthClim (207711/E10) and NOTUR/NorStore projects, as well as the Centre for Climate Dynamics at the Bjerknes Centre for Climate Research. The CMCC contribution received funding from the Italian Ministry of Education, University, and Research and the Italian Ministry of Environment, Land, and Sea under the GEMINA project. NCAR is sponsored by the U. S. National Science Foundation (NSF). The GEOMAR experiments were performed at the North German Supercomputing Alliance (HLRN). L. Patara was financially supported by the Cluster of Excellence 'The Future Ocean' funded within the framework of the Excellence Initiative by the DFG. The INMOM model was sponsored by the Russian Science Foundation (project number 14-27-00126). S. G. Yeager was supported by the NOAA Climate Program Office under Climate Variability and Predictability Program Grant NA09OAR4310163 and NA130AR4310138 and by the NSF Collaborative Research EaSM2 grant OCE-1243015. We thank Carolina Dufour, Adele Morrison and Ivy Frenger for comments on earlier drafts. The authors would also like to thank the three anonymous reviewers for their insightful and constructive comments and suggestions on the manuscript.</t>
  </si>
  <si>
    <t>10.1016/j.ocemod.2015.07.009</t>
  </si>
  <si>
    <t>WOS:000360980600007</t>
  </si>
  <si>
    <t>Moraweck, K; Uhl, D; Kunzmann, L</t>
  </si>
  <si>
    <t>Moraweck, Karolin; Uhl, Dieter; Kunzmann, Lutz</t>
  </si>
  <si>
    <t>Estimation of late Eocene (Bartonian-Priabonian) terrestrial palaeoclimate: Contributions from megafloral assemblages from central Germany</t>
  </si>
  <si>
    <t>Eocene climate; Fossil leaves; Weisselster Basin; Leaf margin analysis; CLAMP; Coexistence Approach</t>
  </si>
  <si>
    <t>LEAF MARGIN ANALYSIS; ANTARCTIC GLACIATION; COEXISTENCE APPROACH; CARBON-CYCLE; CLIMATE; TERTIARY; LEAVES; PALEOTEMPERATURES; EVOLUTION; SAXONY</t>
  </si>
  <si>
    <t>The Eocene, the world's last global greenhouse period, shows distinct climatic developments through time, from subtropical towards warm-temperate conditions in Europe. The present paper investigates the response of five floras of the central German Weisselster Basin from different stratigraphic ages to terrestrial palaeoclimatic variations. The floras were selected from the Zeitz Floral Assemblage (Florenkomplex) and cover a time interval of ca. 3.5 Myr within the late Eocene, which is supposed to be a period of gradual decline of global mean annual temperatures. The Zeitz Floral Assemblage was characterized by mainly evergreen, notophyllous intrazonal vegetation, consisting of subtropical and warm-temperate elements. The five floras as well as the entire Zeitz Floral Assemblage have been analysed using the following quantitative techniques: leaf margin analysis (LMA), Climate Leaf Analysis Multivariate Program (CLAMP) and Coexistence Approach (CA). Furthermore, the results have been compared with previously published estimates for additional localities from the same area and age. The temperature estimates derived for the Zeitz Floral Assemblage are in a good agreement with those of previous studies i.e. mean annual temperature (MAT) 16.1-20.0 degrees C, warmest month mean temperature (WMMT) 24.9-26.4 degrees C, coldest month mean temperature (CMMT) 9.2-13.3 degrees C. Deviations have been determined for the calculated mean annual precipitation (MAP 1308-1335 mm) compared to previously published data, indicating values of about 2000 mm. Both CLAMP and CA reveal clear hints for seasonality in precipitation which is in agreement with previous phytosociological assumptions and palynological data. The estimates for the individual sites differ between the different techniques as well as among the individual sites, but generally indicate no temporal trends in temperature and precipitation development. Additionally, the applicability of these techniques for fluvial-estuarine plant assemblages, as well as the applicability of intrazonal vegetation for reconstructing transregional climate conditions are discussed. Taphonomic and methodical biases are also subject of debate. (C) 2015 Elsevier B.V. All rights reserved.</t>
  </si>
  <si>
    <t>[Moraweck, Karolin; Kunzmann, Lutz] Senckenberg Nat Hist Collect Dresden, D-01109 Dresden, Germany; [Uhl, Dieter] Senckenberg Res Inst, D-60325 Frankfurt, Germany; [Uhl, Dieter] Nat Hist Museum Frankfurt Main, D-60325 Frankfurt, Germany; [Uhl, Dieter] Univ Tubingen, Senckenberg Ctr Human Evolut &amp; Palaeoenvironm, Dept Geosci, D-72076 Tubingen, Germany</t>
  </si>
  <si>
    <t>Senckenberg Gesellschaft fur Naturforschung (SGN); Senckenberg Gesellschaft fur Naturforschung (SGN); Senckenberg Gesellschaft fur Naturforschung (SGN); Eberhard Karls University of Tubingen</t>
  </si>
  <si>
    <t>Moraweck, K (corresponding author), Senckenberg Nat Hist Collect Dresden, Konigsbrucker Landstr 159, D-01109 Dresden, Germany.</t>
  </si>
  <si>
    <t>karolin.moraweck@senckenberg.de</t>
  </si>
  <si>
    <t>Kunzmann, Lutz/AAA-5030-2021</t>
  </si>
  <si>
    <t>Kunzmann, Lutz/0000-0001-6445-3920; Uhl, Dieter/0000-0002-9938-5339</t>
  </si>
  <si>
    <t>10.1016/j.palaeo.2015.05.023</t>
  </si>
  <si>
    <t>CN5JU</t>
  </si>
  <si>
    <t>WOS:000358466400019</t>
  </si>
  <si>
    <t>Kobayashi, H; Abe-Ouchi, A; Oka, A</t>
  </si>
  <si>
    <t>Kobayashi, Hidetaka; Abe-Ouchi, Ayako; Oka, Akira</t>
  </si>
  <si>
    <t>Role of Southern Ocean stratification in glacial atmospheric CO2 reduction evaluated by a three-dimensional ocean general circulation model</t>
  </si>
  <si>
    <t>CARBON-DIOXIDE; SEA-ICE; WATER; ATLANTIC; DISSIPATION; TEMPERATURE; DIFFUSIVITY; VENTILATION; SIMULATION; HISTORY</t>
  </si>
  <si>
    <t>Atmospheric carbon dioxide (CO2) concentration during glacial periods is known to be considerably lower than during interglacial periods. However, previous studies using an ocean general circulation model (OGCM) fail to reproduce this. Paleoclimate proxy data of the Last Glacial Maximum indicate high salinity (&gt; 37.0 practical salinity unit) and long water mass residence time (&gt; 3000 years) in the Southern Ocean, suggesting that salinity stratification was enhanced and more carbon was stored there. Reproducibility of salinity and water mass age is considered insufficient in previous OGCMs, which might affect the reproducibility of atmospheric CO2 concentration. This study investigated the role of increased stratification of the Southern Ocean in the glacial CO2 variation using an OGCM. We found that deep water formation in East Antarctica is required to explain high salinity in South Atlantic. Saltier deep Southern Ocean resulted in increased atmospheric CO2 concentration against previous estimates. This is partly due to increased volume transport of Antarctic Bottom Water and associated decrease in the water mass age of the deep Pacific Ocean. On the other hand, weakening of vertical mixing contributed to increase of the vertical gradient of dissolved inorganic carbon and decrease of atmospheric CO2 concentration. However, we show that it is unable to explain all of the glacial CO2 variations by the contribution of the Southern Ocean. Our findings indicate that detailed understanding of the impact of enhanced stratification in the Southern Ocean on the Pacific Ocean might be crucial to understanding the mechanisms behind the glacial-interglacial ocean carbon cycle variations.</t>
  </si>
  <si>
    <t>[Kobayashi, Hidetaka; Abe-Ouchi, Ayako; Oka, Akira] Univ Tokyo, Atmosphere &amp; Ocean Res Inst, Kashiwa, Chiba, Japan</t>
  </si>
  <si>
    <t>University of Tokyo</t>
  </si>
  <si>
    <t>Kobayashi, H (corresponding author), Univ Tokyo, Atmosphere &amp; Ocean Res Inst, Kashiwa, Chiba, Japan.</t>
  </si>
  <si>
    <t>hidekoba@aori.u-tokyo.ac.jp</t>
  </si>
  <si>
    <t>Abe-Ouchi, Ayako A/M-6359-2013</t>
  </si>
  <si>
    <t>Abe-Ouchi, Ayako A/0000-0003-1745-5952; Kobayashi, Hidetaka/0000-0002-7949-6090</t>
  </si>
  <si>
    <t>[KAKENHI620106PH14]; Grants-in-Aid for Scientific Research [26241011, 25241005, 26247086, 26287112] Funding Source: KAKEN</t>
  </si>
  <si>
    <t>; Grants-in-Aid for Scientific Research(Ministry of Education, Culture, Sports, Science and Technology, Japan (MEXT)Japan Society for the Promotion of ScienceGrants-in-Aid for Scientific Research (KAKENHI))</t>
  </si>
  <si>
    <t>We feel grateful to H. Hasumi, T. T. Sakamoto, T. Kawasaki, and K. Hirota for their helpful comments and discussions. Comments and encouragement from Y. Masumoto and Y. Okazaki are also appreciated. We thank A. Schmittner, K. Matsumoto, and an anonymous reviewer for insightful comments and suggestions and Heiko Palike for his editorial handling. This study is supported by KAKENHI620106PH14. Requests for numerical data should be addressed to H. Kobayashi (email: hidekoba@aori.u-tokyo.ac.jp). We performed numerical simulation using FUJITSU FX10 at the Information Technology Center, The University of Tokyo. The figures were drawn with the GFD Dennou Library developed by the GFD-DENNOU Club.</t>
  </si>
  <si>
    <t>10.1002/2015PA002786</t>
  </si>
  <si>
    <t>CX9YH</t>
  </si>
  <si>
    <t>WOS:000366062200004</t>
  </si>
  <si>
    <t>Pedro, S; Xavier, JC; Tavares, S; Trathan, PN; Ratcliffe, N; Paiva, VH; Medeiros, R; Vieira, RP; Ceia, FR; Pereira, E; Pardal, MA</t>
  </si>
  <si>
    <t>Pedro, Sara; Xavier, Jose C.; Tavares, Silvia; Trathan, Phil N.; Ratcliffe, Norman; Paiva, Vitor H.; Medeiros, Renata; Vieira, Rui P.; Ceia, Filipe R.; Pereira, Eduarda; Pardal, Miguel A.</t>
  </si>
  <si>
    <t>Mercury accumulation in gentoo penguins Pygoscelis papua: spatial, temporal and sexual intraspecific variations</t>
  </si>
  <si>
    <t>Mercury; Trophic level; Stable isotopes; Antarctica</t>
  </si>
  <si>
    <t>MARINE PREDATORS; TROPHIC POSITION; STABLE-ISOTOPES; TRACE-ELEMENTS; SOUTH GEORGIA; EXPOSURE; DIET; FEATHERS; CONTAMINATION; ALBATROSSES</t>
  </si>
  <si>
    <t>Mercury emissions have increased over the past decades affecting even remote areas such as Antarctica. As gentoo penguins (Pygoscelis papua) breed on many of the islands surrounding Antarctica, foraging close to their colonies, their mercury load should reflect concentrations in the region. We therefore evaluated mercury concentrations in adult gentoo penguin feathers at Bird Island, South Georgia. We found no significant differences in mercury levels between 2009 and 2010 (mean +/- SD 0.97 +/- 0.67 mg kg(-1), mean +/- SD 1.13 +/- 0.62 mg kg(-1), respectively). Stable nitrogen isotope values in feathers indicated that feeding habits had a stronger influence on male mercury concentrations, whereas stable carbon isotope values indicated that foraging habitat had a stronger influence on females. Though no temporal variation in levels of mercury in gentoo penguin feathers was observed, spatial differences were evident when compared with previous studies. Our results could have implications for other animals higher in the food web that prey upon gentoo penguins, with potential consequential effects on their reproduction and development.</t>
  </si>
  <si>
    <t>[Pedro, Sara; Tavares, Silvia; Pardal, Miguel A.] Univ Coimbra, Ctr Funct Ecol, Dept Life Sci, P-3000456 Coimbra, Portugal; [Xavier, Jose C.; Paiva, Vitor H.; Vieira, Rui P.; Ceia, Filipe R.] Univ Coimbra, Marine &amp; Environm Sci Ctr MARE, Dept Life Sci, P-3000456 Coimbra, Portugal; [Xavier, Jose C.; Trathan, Phil N.; Ratcliffe, Norman] British Antarctic Survey, NERC, Cambridge CB3 0ET, England; [Medeiros, Renata] Cardiff Univ, Cardiff Sch Biosci, South Glamorgan, Wales; [Pereira, Eduarda] Univ Aveiro, Ctr Environm &amp; Marine Studies CESAM, P-3810193 Aveiro, Portugal; [Vieira, Rui P.] Univ Aveiro, Dept Biol, P-3810193 Aveiro, Portugal; [Vieira, Rui P.] Natl Oceanog Ctr, Ocean &amp; Earth Sci, Southampton SO14 3ZH, Hants, England</t>
  </si>
  <si>
    <t>Universidade de Coimbra; Universidade de Coimbra; UK Research &amp; Innovation (UKRI); Natural Environment Research Council (NERC); NERC British Antarctic Survey; Cardiff University; Universidade de Aveiro; Universidade de Aveiro; NERC National Oceanography Centre</t>
  </si>
  <si>
    <t>Pedro, S (corresponding author), Univ Coimbra, Ctr Funct Ecol, Dept Life Sci, Calcada Martim de Freitas, P-3000456 Coimbra, Portugal.</t>
  </si>
  <si>
    <t>Pereira, Eduarda C/A-5907-2012; Vieira, Rui/R-6881-2019; Xavier, José/KFB-6739-2024; Paiva, Vitor Hugo/GRX-9179-2022; Ceia, Filipe R./A-2196-2012; Paiva, Vitor H./J-1092-2019; Vieira, Rui Pedro/G-1738-2012; Medeiros, Renata/M-8616-2015; Tavares, Silvia/M-5198-2013; Pardal, Miguel Angelo/C-3984-2009</t>
  </si>
  <si>
    <t>Ceia, Filipe R./0000-0002-5470-5183; Paiva, Vitor H./0000-0001-6368-9579; Vieira, Rui Pedro/0000-0001-8491-2565; /0000-0002-9621-6660; Medeiros, Renata/0000-0002-5833-309X; Tavares, Silvia/0000-0002-5789-1014; Pereira, Eduarda/0000-0002-6046-5243; Pardal, Miguel Angelo/0000-0001-6048-7007</t>
  </si>
  <si>
    <t>Foundation for Science and Technology (FCT; Portugal) under project POLAR, within Portuguese Polar Program PROPOLAR; international programs ICED (Integrating climate and ecosystem dynamics of the Southern Ocean); SCAR-AnT-ERA (Antarctic Thresholds, ecosystem resilience and adaptation of the Scientific committee for Antarctic Research); SCAR EGBAMM (expert group on Birds and Antarctic marine mammals of SCAR); [SFRH/BPD/95372/2013]; NERC [bas0100035, bas0100025] Funding Source: UKRI; Natural Environment Research Council [bas0100025, bas0100035] Funding Source: researchfish</t>
  </si>
  <si>
    <t>Foundation for Science and Technology (FCT; Portugal) under project POLAR, within Portuguese Polar Program PROPOLAR; international programs ICED (Integrating climate and ecosystem dynamics of the Southern Ocean); SCAR-AnT-ERA (Antarctic Thresholds, ecosystem resilience and adaptation of the Scientific committee for Antarctic Research); SCAR EGBAMM (expert group on Birds and Antarctic marine mammals of SCAR); ; NERC(UK Research &amp; Innovation (UKRI)Natural Environment Research Council (NERC)); Natural Environment Research Council(UK Research &amp; Innovation (UKRI)Natural Environment Research Council (NERC))</t>
  </si>
  <si>
    <t>This work contributes to the BAS Ecosystems programme. The work was sponsored by the Foundation for Science and Technology (FCT; Portugal) under the project POLAR, within the Portuguese Polar Program PROPOLAR, and a postdoctoral grant to Filipe R. Ceia (SFRH/BPD/95372/2013), and part of the international programs ICED (Integrating climate and ecosystem dynamics of the Southern Ocean) and SCAR-AnT-ERA (Antarctic Thresholds, ecosystem resilience and adaptation of the Scientific committee for Antarctic Research) and of the SCAR EGBAMM (expert group on Birds and Antarctic marine mammals of SCAR).</t>
  </si>
  <si>
    <t>10.1007/s00300-015-1697-9</t>
  </si>
  <si>
    <t>CO5GY</t>
  </si>
  <si>
    <t>WOS:000359188800002</t>
  </si>
  <si>
    <t>Parnikoza, I; Miryuta, N; Ozheredova, I; Kozeretska, I; Smykla, J; Kunakh, V; Convey, P</t>
  </si>
  <si>
    <t>Parnikoza, Ivan; Miryuta, Natalia; Ozheredova, Iryna; Kozeretska, Iryna; Smykla, Jerzy; Kunakh, Victor; Convey, Peter</t>
  </si>
  <si>
    <t>Comparative analysis of Deschampsia antarctica Desv. population adaptability in the natural environment of the Admiralty Bay region (King George Island, maritime Antarctic)</t>
  </si>
  <si>
    <t>Antarctic hairgrass; Land cover; Biometrics; Relative DNA content; United latent quality indicator</t>
  </si>
  <si>
    <t>VASCULAR PLANTS; COVER; BIOMASS</t>
  </si>
  <si>
    <t>Plants inhabiting extreme environments may possess features allowing them to tolerate sudden abrupt changes in their environment, a phenomenon often known as 'adaptability.' However, ability or success in developing adaptability varies among plant populations. Adaptability can be quantified by measuring variation in the response to the same environmental challenges between plant populations. In this study, we evaluate the adaptability of the iconic Antarctic plant, Deschampsia antarctica, based on traits reflecting three levels of organization: the population level (S, D. antarctica land cover), individual level (Ph, biometrics), and cell level (relative DNA content, rcDNA, in cells of the leaf parenchyma). We sampled a total of six D. antarctica populations in the Admiralty Bay region, King George Island (South Shetland Islands, maritime Antarctic), during the austral summer of 2005-2006, and analyzed pairwise interrelations between various indices reflecting plant population adaptability. The results of these pairwise comparisons were then used to estimate a pooled measure of each population's adaptability, designated as united latent quality indicator (ULQI). Our results demonstrated that the responses of individual adaptability indices were seldom synchronized, although one population from the central part of the Point Thomas oasis did show some degree of synchronicity. This population also demonstrated the highest ULQI, consistent with the relatively favorable microenvironmental conditions at this location. Two other populations located closer to the shoreline also demonstrated detectable synchronicity and moderate levels of ULQI, while the remaining populations revealed no synchronized responses and negative ULQI values. As the ULQI value obtained will be strongly influenced by the conditions experienced by any given population during a particular season, evaluation of population dynamics requires annual monitoring over multiple seasons.</t>
  </si>
  <si>
    <t>[Parnikoza, Ivan; Miryuta, Natalia; Kunakh, Victor] Natl Acad Sci Ukraine, Inst Mol Biol &amp; Genet, UA-03680 Kiev, Ukraine; [Ozheredova, Iryna; Kozeretska, Iryna] Taras Shevchenko Natl Univ Kyiv, UA-01601 Kiev, Ukraine; [Smykla, Jerzy] Polish Acad Sci, Inst Nat Conservat, Dept Biodivers, PL-31120 Krakow, Poland; [Convey, Peter] British Antarctic Survey, NERC, Cambridge CB3 0ET, England</t>
  </si>
  <si>
    <t>National Academy of Sciences Ukraine; Institute of Molecular Biology &amp; Genetics of NASU; Ministry of Education &amp; Science of Ukraine; Taras Shevchenko National University of Kyiv; Polish Academy of Sciences; UK Research &amp; Innovation (UKRI); Natural Environment Research Council (NERC); NERC British Antarctic Survey</t>
  </si>
  <si>
    <t>Parnikoza, I (corresponding author), Natl Acad Sci Ukraine, Inst Mol Biol &amp; Genet, 150 Acad Zabolotny Str, UA-03680 Kiev, Ukraine.</t>
  </si>
  <si>
    <t>Parnikoza@gmail.com</t>
  </si>
  <si>
    <t>Parnikoza, Ivan/I-2398-2016; Convey, Peter/AAV-5728-2020; Kunakh, Viktor A./HKV-4993-2023; Smykla, Jerzy/N-3288-2014; Kozeretska, Iryna/F-1383-2010</t>
  </si>
  <si>
    <t>Convey, Peter/0000-0001-8497-9903; Kunakh, Viktor/0000-0002-9418-3172; Miryuta, Natalia/0000-0001-7180-7117; Smykla, Jerzy/0000-0001-8228-6695; Kozeretska, Iryna/0000-0002-6485-1408</t>
  </si>
  <si>
    <t>National Antarctic Scientific Center of the Ministry of Science [H/3-2011]; Institute of Molecular Biology and Genetics (NAS of Ukraine) [H/3-2011]; Polish Academy of Sciences; National Academy of Sciences of Ukraine; Polish Ministry of Science and Higher Education within the program 'Supporting International Mobility of Scientists'; NERC; [NN305376438]; NERC [bas0100025] Funding Source: UKRI; Natural Environment Research Council [bas0100025] Funding Source: researchfish</t>
  </si>
  <si>
    <t>National Antarctic Scientific Center of the Ministry of Science; Institute of Molecular Biology and Genetics (NAS of Ukraine); Polish Academy of Sciences; National Academy of Sciences of Ukraine; Polish Ministry of Science and Higher Education within the program 'Supporting International Mobility of Scientists'; NERC(UK Research &amp; Innovation (UKRI)Natural Environment Research Council (NERC)); ; NERC(UK Research &amp; Innovation (UKRI)Natural Environment Research Council (NERC)); Natural Environment Research Council(UK Research &amp; Innovation (UKRI)Natural Environment Research Council (NERC))</t>
  </si>
  <si>
    <t>We express our gratitude to the National Antarctic Scientific Center of Ministry of the Education of Ukraine and Department of Antarctic Biology of Institute of Biochemistry and Biophysics Polish Academy of Science for assistance in this research. This study was carried out under a contract between the National Antarctic Scientific Center of the Ministry of Science and the Institute of Molecular Biology and Genetics (NAS of Ukraine), # H/3-2011 'Development of a Bioindicator System of Climate Change in Coastal Antarctica Based on the Dynamics of Terrestrial Plant Cenoses' (2011-2012). This work was also supported by the agreement on scientific cooperation between the Polish Academy of Sciences and the National Academy of Sciences of Ukraine within the project 'Adaptive strategy of mutual survival of organisms in extreme environmental conditions' (2015-2017), and by the Polish Ministry of Science and Higher Education within the program 'Supporting International Mobility of Scientists' and Grant No. NN305376438. We also thank Dr. S. Rakusa-Suszczewski for organizing this expedition, Dr. A. Rozhok for helping with manuscript preparation, and anonymous referees for their constructive input. P. Convey is supported by NERC core funding to the British Antarctic Survey's Ecosystems Program. This paper also contributes to the SCAR AnT-ERA program.</t>
  </si>
  <si>
    <t>10.1007/s00300-015-1704-1</t>
  </si>
  <si>
    <t>WOS:000359188800008</t>
  </si>
  <si>
    <t>Freer, JJ; Mable, BK; Clucas, G; Rogers, AD; Polito, MJ; Dunn, M; Naveen, R; Levy, H; Hart, T</t>
  </si>
  <si>
    <t>Freer, Jennifer J.; Mable, Barbara K.; Clucas, Gemma; Rogers, Alex D.; Polito, Michael J.; Dunn, Michael; Naveen, Ron; Levy, Hila; Hart, Tom</t>
  </si>
  <si>
    <t>Limited genetic differentiation among chinstrap penguin (Pygoscelis antarctica) colonies in the Scotia Arc and Western Antarctic Peninsula</t>
  </si>
  <si>
    <t>Scotia Arc; Population genetics; Microsatellite; Molecular sexing; Pygoscelis antarctica</t>
  </si>
  <si>
    <t>SOUTH-SHETLAND ISLANDS; CLIMATE-CHANGE; ENVIRONMENTAL-CHANGE; POPULATION-CHANGES; DISPERSAL; FEATHERS; DECLINE; FLOW; RESPONSES; GENOTYPES</t>
  </si>
  <si>
    <t>Long-term monitoring of seabird numbers around Antarctica has revealed that the chinstrap penguin (Pygoscelis antarctica) is largely declining throughout its range in the Scotia Arc. Whether archipelagos across this large area remain connected via dispersal or represent genetically isolated groups has not yet been established. The purpose of this study was to assess the level of genetic differentiation between four breeding colonies on the Western Antarctic Peninsula (WAP), South Shetland, South Orkney, and South Sandwich Islands using microsatellite-based analysis of population structure. All colonies had similar levels of genetic diversity (mean heterozygosity, H (O) = 0.583) but colonies from the WAP and South Orkney Island had significant inbreeding coefficients. Hierarchical and pairwise F-statistics revealed very limited population structure in the Scotia Arc, with weak differentiation between colonies from the WAP, South Shetland and South Orkney Islands relative to the South Sandwich Islands, which are situated at least 1000 km apart from these other archipelagos. Bayesian model-based clustering methods found no evidence of significant population structuring, suggesting that whilst some isolation by distance may occur, there are no strong barriers to dispersal across this wide geographic range. No evidence of sex-biased dispersal was detected. We conclude that chinstrap penguin colonies across the Scotia Arc represent one interconnected breeding population. High levels of gene flow may be important in maintaining smaller, less stable colonies, and this status should be preserved by creating dispersal corridors throughout the Scotia Arc.</t>
  </si>
  <si>
    <t>[Freer, Jennifer J.; Mable, Barbara K.] Univ Glasgow, Coll Med Vet &amp; Life Sci, Inst Biodivers Anim Hlth &amp; Comparat Med, Glasgow G12 8QQ, Lanark, Scotland; [Clucas, Gemma] Univ Southampton, Ocean &amp; Earth Sci, Southampton SO14 3ZH, Hants, England; [Clucas, Gemma; Rogers, Alex D.; Levy, Hila; Hart, Tom] Univ Oxford, Dept Zool, Oxford OX1 3PS, England; [Polito, Michael J.] Louisiana State Univ, Dept Oceanog &amp; Coastal Sci, Baton Rouge, LA 70803 USA; [Dunn, Michael] British Antarctic Survey, Cambridge CB3 0ET, England; [Naveen, Ron] Oceanites Inc, Chevy Chase, MD 20825 USA</t>
  </si>
  <si>
    <t>University of Glasgow; University of Southampton; University of Oxford; Louisiana State University System; Louisiana State University; UK Research &amp; Innovation (UKRI); Natural Environment Research Council (NERC); NERC British Antarctic Survey</t>
  </si>
  <si>
    <t>Hart, T (corresponding author), Univ Oxford, Dept Zool, S Parks Rd, Oxford OX1 3PS, England.</t>
  </si>
  <si>
    <t>tom.hart@zoo.ox.ac.uk</t>
  </si>
  <si>
    <t>Clucas, Gemma/ABF-9073-2021; Mable, Barbara/AAH-2395-2019; Polito, Michael/G-9118-2012</t>
  </si>
  <si>
    <t>Mable, Barbara/0000-0001-7118-4116; Polito, Michael/0000-0001-8639-4431; Rogers, Alex David/0000-0002-4864-2980; Levy, Hila/0000-0001-9204-6417; Freer, Jennifer/0000-0002-3947-9261; Dunn, Michael/0000-0003-4633-5466</t>
  </si>
  <si>
    <t>Charities Advisory Trust; Holly Hill Charitable Trust; Zoological Society of London; Natural Environment Research Council [NBAF010001, bas0100035] Funding Source: researchfish; NERC [NBAF010001, bas0100035] Funding Source: UKRI</t>
  </si>
  <si>
    <t>Charities Advisory Trust; Holly Hill Charitable Trust; Zoological Society of London; Natural Environment Research Council(UK Research &amp; Innovation (UKRI)Natural Environment Research Council (NERC)); NERC(UK Research &amp; Innovation (UKRI)Natural Environment Research Council (NERC))</t>
  </si>
  <si>
    <t>The authors would like to thank Aileen Adam and Elizabeth Kilbride from the University of Glasgow for their help in the laboratory, especially during initial DNA screening and marker optimisation processes. Sampling was conducted under permits from the Government of South Georgia and the South Sandwich Islands, the UK Foreign and Commonwealth Office and the US National Science Foundation. Fieldwork on the South Sandwich Islands would not have been possible without the knowledge and assistance of Jerome Poncet and the crew of the Golden Fleece. Fieldwork in the Antarctic Peninsula was carried out with the assistance of Quark Expeditions Ltd, and W. Trivelpiece and the US Antarctic Marine Living Resource Program provided logistical support for sampling at King George Island. This work was funded by the Charities Advisory Trust, the Holly Hill Charitable Trust, and the Zoological Society of London (TH).</t>
  </si>
  <si>
    <t>10.1007/s00300-015-1711-2</t>
  </si>
  <si>
    <t>WOS:000359188800015</t>
  </si>
  <si>
    <t>Horn, PL; Sutton, CP</t>
  </si>
  <si>
    <t>Horn, Peter L.; Sutton, Colin P.</t>
  </si>
  <si>
    <t>An assessment of age and growth of violet cod (Antimora rostrata) in the Ross Sea, Antarctica</t>
  </si>
  <si>
    <t>Antimora rostrata; Moridae; Ross Sea; Otolith; Growth</t>
  </si>
  <si>
    <t>PRECISION; GUNTHER; MORIDAE; BIOLOGY; FISH</t>
  </si>
  <si>
    <t>Violet cod (Antimora rostrata) are a bycatch of the longline fishery for toothfish (Dissostichus mawsoni and D. eleginoides) in the Ross Sea, Antarctica. The productivity of this species in Antarctica was unknown, so counts of zones visible in sectioned otoliths of A. rostrata were used to estimate growth parameters. Von Bertalanffy parameters (with 95 % confidence intervals) derived for male and female fish combined are L (a), 82.2 +/- A 20.9 cm total length; K, 0.047 +/- A 0.034 year(-1); and t (0), -0.6 +/- A 6.0 years. Violet cod in the Ross Sea appear to have low productivity; they are slow-growing and relatively long-lived, with a maximum estimated age of 41.5 years. There was no apparent difference between sexes in length at age, although males are poorly represented in the longline catch. The growth rate of violet cod in Antarctic waters appeared to be faster than for the same species around New Zealand, about 20A degrees of latitude to the north. The growth parameters must be considered preliminary because the otoliths are quite difficult to interpret, the sampled fish do not represent the full-length distribution of the population (i.e. small fish were absent), and the ageing technique has not been validated.</t>
  </si>
  <si>
    <t>[Horn, Peter L.] Natl Inst Water &amp; Atmospher Res NIWA, Wellington, New Zealand; [Sutton, Colin P.] NIWA, Nelson 7040, New Zealand</t>
  </si>
  <si>
    <t>Horn, PL (corresponding author), Natl Inst Water &amp; Atmospher Res NIWA, POB 14-901, Wellington, New Zealand.</t>
  </si>
  <si>
    <t>Peter.Horn@niwa.co.nz</t>
  </si>
  <si>
    <t>Horn, Peter/0000-0003-4163-5064</t>
  </si>
  <si>
    <t>New Zealand Foundation for Research, Science and Technology [C01X0505]</t>
  </si>
  <si>
    <t>New Zealand Foundation for Research, Science and Technology(New Zealand Foundation for Research, Science and Technology)</t>
  </si>
  <si>
    <t>Funding for this work was provided by the New Zealand Foundation for Research, Science and Technology (C01X0505, Ross Sea Sustainability). We thank Steve Parker (NIWA) for producing Fig. 1 and three anonymous reviewers for useful comments and suggestions. We acknowledge New Zealand Ministry for Primary Industries scientific observers for supply of fish samples.</t>
  </si>
  <si>
    <t>10.1007/s00300-015-1702-3</t>
  </si>
  <si>
    <t>WOS:000359188800020</t>
  </si>
  <si>
    <t>Singh, SM; Olech, M; Cannone, N; Convey, P</t>
  </si>
  <si>
    <t>Singh, Shiv Mohan; Olech, Maria; Cannone, Nicoletta; Convey, Peter</t>
  </si>
  <si>
    <t>Contrasting patterns in lichen diversity in the continental and maritime Antarctic</t>
  </si>
  <si>
    <t>Schirmacher Oasis; Victoria land; Admiralty Bay; Endemism; Bipolar; Biogeography</t>
  </si>
  <si>
    <t>NORTHERN VICTORIA-LAND; ADDITIONS; VEGETATION; POLLEN; FLORA</t>
  </si>
  <si>
    <t>Systematic surveys of the lichen floras of Schirmacher Oasis (Queen Maud Land, continental Antarctic), Victoria Land (Ross Sector, continental Antarctic) and Admiralty Bay (South Shetland Islands, maritime Antarctic) were compared to help infer the major factors influencing patterns of diversity and biogeography in the three areas. Biogeographic patterns were determined using a variety of multivariate statistical tools. A total of 54 lichen species were documented from Schirmacher Oasis (SO), 48 from Victoria Land (VL) and 244 from Admiralty Bay (AB). Of these, 21 species were common to all areas. Most lichens from the SO and VL areas were microlichens, the dominant genus being Buellia. In AB, in contrast, many macrolichens were also present and the dominant genus was Caloplaca. In SO and VL large areas lacked any visible lichen cover, even where the ground was snow-free in summer. Small-scale diversity patterns were present in AB, where the number of species and genera was greater close to the coast. Most species recorded were rare in the study areas in which they were present and endemic to Antarctica. (C) 2015 Elsevier B.V. and NIPR. All rights reserved.</t>
  </si>
  <si>
    <t>[Singh, Shiv Mohan] Minist Earth Sci, Natl Ctr Antarctic &amp; Ocean Res, Vasco Da Gama 403804, Goa, India; [Olech, Maria] Jagiellonian Univ, Inst Bot, PL-31501 Krakow, Poland; [Cannone, Nicoletta] Insubria Univ, Dept Theoret &amp; Appl Sci, I-22100 Como, CO, Italy; [Convey, Peter] British Antarctic Survey, Cambridge CB3 0ET, England</t>
  </si>
  <si>
    <t>Ministry of Earth Sciences (MoES) - India; National Centre for Polar and Ocean Research (NCPOR); Jagiellonian University; University of Insubria; UK Research &amp; Innovation (UKRI); Natural Environment Research Council (NERC); NERC British Antarctic Survey</t>
  </si>
  <si>
    <t>Singh, SM (corresponding author), Minist Earth Sci, Natl Ctr Antarctic &amp; Ocean Res, Vasco Da Gama 403804, Goa, India.</t>
  </si>
  <si>
    <t>smsingh@ncaor.gov.in</t>
  </si>
  <si>
    <t>Convey, Peter/AAV-5728-2020; Cannone, Nicoletta/W-8651-2019</t>
  </si>
  <si>
    <t>Convey, Peter/0000-0001-8497-9903; Cannone, Nicoletta/0000-0002-3390-3965</t>
  </si>
  <si>
    <t>NERC; NERC [bas0100036] Funding Source: UKRI; Natural Environment Research Council [bas0100036] Funding Source: researchfish</t>
  </si>
  <si>
    <t>We are thankful to Director NCAOR, for encouragement and facilities. We also thank Dr Avinash Kumar for assistance with figure preparation. PC is supported by NERC funding to the BAS core programme 'Biodiversity, Evolution and Adaptation'. This paper also contributes to the SCAR 'State of the Antarctic Ecosystem' research programme. This is NCAOR publication No. 25/2015.</t>
  </si>
  <si>
    <t>10.1016/j.polar.2015.07.001</t>
  </si>
  <si>
    <t>WOS:000360565200003</t>
  </si>
  <si>
    <t>Morrissey, LJ; Hand, M; Kelsey, DE</t>
  </si>
  <si>
    <t>Morrissey, Laura J.; Hand, Martin; Kelsey, David E.</t>
  </si>
  <si>
    <t>Multi-stage metamorphism in the Rayner-Eastern Ghats Terrane: P-T-t constraints from the northern Prince Charles Mountains, east Antarctica</t>
  </si>
  <si>
    <t>PRECAMBRIAN RESEARCH</t>
  </si>
  <si>
    <t>Rayner complex; Thermocalc; Antarctica; LA-ICP-MS monazite dating; HT-LP metamorphism</t>
  </si>
  <si>
    <t>ULTRAHIGH-TEMPERATURE METAMORPHISM; MINERAL EQUILIBRIA CALCULATIONS; GRANULITE-FACIES METAMORPHISM; AMERY ICE SHELF; ZIRCON U-PB; PRYDZ BAY; METAPELITIC ASSEMBLAGES; RAUER-GROUP; RADOK LAKE; MONAZITE GEOCHRONOLOGY</t>
  </si>
  <si>
    <t>Metapelitic rocks from the northern Prince Charles Mountains in the Rayner Complex in east Antarctica record evidence for a protracted metamorphic history during the late Mesoproterozoic to early Neo-proterozoic. In situ LA-ICP-MS U-Pb monazite geochronology yields ages in the interval 1030-880 Ma. There is a spread in U-Pb ages both between and within individual samples. Two samples record monazite populations at c. 1020 Ma, which have been variably reset. The remaining samples contain single monazite populations with Pb-206/U-238 weighted mean ages of 940-900 Ma. Calculated metamorphic phase diagrams for a sample preserving a defined late Mesoproterozoic monazite population suggest this early part of the metamorphic history may reflect a higher-pressure phase of metamorphism. This stage was overprinted by a cordierite-bearing assemblage, texturally accompanied by monazite growth at 950-900 Ma. The conditions of the second event are consistent between samples, and suggest that it involved lower pressures of 6-7 kbar and temperatures of 850-880 degrees C. The geochronology and metamorphic conditions for the Neoproterozoic metamorphism obtained in this study are consistent with the evolution proposed for elsewhere in the Rayner Complex and also the contemporaneous and formerly contiguous UHT metamorphism in the Eastern Ghats Province in India. This is the first study to integrate metamorphic constraints from the now separate terranes, and it suggests that that Rayner-Eastern Ghats terrane as a whole records prolonged high temperatures over a spatially large (&gt;500,000 km(2)) area. This has implications for the timescales and footprint of geodynamic processes involving the mid-to-deep crust. (C) 2015 Elsevier B.V. All rights reserved.</t>
  </si>
  <si>
    <t>[Morrissey, Laura J.; Hand, Martin; Kelsey, David E.] Univ Adelaide, Dept Earth Sci, Adelaide, SA 5005, Australia</t>
  </si>
  <si>
    <t>University of Adelaide</t>
  </si>
  <si>
    <t>Morrissey, LJ (corresponding author), Univ Adelaide, Dept Earth Sci, Adelaide, SA 5005, Australia.</t>
  </si>
  <si>
    <t>Kelsey, David E/D-3676-2009</t>
  </si>
  <si>
    <t>hand, martin/0000-0003-3743-9706; Morrissey, Laura/0000-0001-7506-6117</t>
  </si>
  <si>
    <t>Australian Postgraduate Award; Australian Antarctic Science Project [4191]</t>
  </si>
  <si>
    <t>Australian Postgraduate Award(Australian Government); Australian Antarctic Science Project</t>
  </si>
  <si>
    <t>The staff at Adelaide Microscopy are thanked for their help with analytical work. Isabella von Lichtan at the rock library at the University of Tasmania is thanked for providing some of the samples for this study. Stan Mertzman at Franklin and Marshall College is thanked for geochemical analysis. Jacqueline Halpin and Johann Diener are thanked for thorough and constructive reviews. LJM is supported by an Australian Postgraduate Award. This forms a part of Australian Antarctic Science Project 4191.</t>
  </si>
  <si>
    <t>0301-9268</t>
  </si>
  <si>
    <t>1872-7433</t>
  </si>
  <si>
    <t>PRECAMBRIAN RES</t>
  </si>
  <si>
    <t>Precambrian Res.</t>
  </si>
  <si>
    <t>10.1016/j.precamres.2015.06.003</t>
  </si>
  <si>
    <t>CP4TF</t>
  </si>
  <si>
    <t>WOS:000359874800008</t>
  </si>
  <si>
    <t>Cornejo, M; Murillo, AA; Farias, L</t>
  </si>
  <si>
    <t>Cornejo, Marcela; Murillo, Alejandro A.; Farias, Laura</t>
  </si>
  <si>
    <t>An unaccounted for N2O sink in the surface water of the eastern subtropical South Pacific: Physical versus biological mechanisms</t>
  </si>
  <si>
    <t>PROGRESS IN OCEANOGRAPHY</t>
  </si>
  <si>
    <t>AIR-SEA FLUXES; NITROUS-OXIDE; MARINE CYANOBACTERIUM; CONTINENTAL-SHELF; FIXATION; VARIABILITY; REDUCTION; OCEAN</t>
  </si>
  <si>
    <t>Nitrous oxide (N2O) is a trace gas affecting atmospheric radiative forcing through its greenhouse effect in the troposphere and destroying the ozone in the stratosphere. The oceans account for one-third of the global atmospheric N2O emissions, in which they are primarily cycled by nitrification and denitrification, with high N2O production in the subsurface waters. The surface waters are generally reported to be in equilibrium or slightly supersaturated with respect to the atmosphere. However, surface N2O sub-saturations have been observed in several regions of the world's oceans, such as off south-central Chile, which is bathed by the Sub-Antarctic Water Mass (SAAW), where N2O subsaturations as low as 35% have been registered during the austral spring and summer. An analysis of the mechanisms driving such surface N2O subsaturations (physical or biological) showed that physical mechanisms were not responsible for the high surface N2O deficit. In contrast, in situ potential experiments in surface waters with 151120 addition showed an active biological N2O fixation (between 0.43 and 87.34 nmol/L/d), with the highest N2O fixation rates associated with the SAAW (25.25-25.75 kg/m(3)). Additionally, incubation experiments with (N2O)-N-15 in surface water samples from one oceanic station showed high N-15-POM enrichment (0.44 parts per thousand) and an inhibition of N-15-POM enrichment when an additional nitrogen source was added (NO2- and NH4+). These results suggest the existence of a mechanism able to use several nitrogen sources, including N2O. Molecular analyses (16S rRNA gene) from these experiments showed the presence of three major groups of bacteria: Gammaproteobacteria, Flavobacteria and Cyanobacteria, with Synechococcus sp. being the dominant group in the culture. However, the analysis of the nifH gene showed a taxonomic affiliation to the order Stigonematales associated with Mastigocladus sp. and Fischerella sp. and the order Oscillatoriales associated with Trichodesmium sp. Finally, the oceanic region exhibiting surface N2O subsaturations acts as a sink for atmospheric N2O, consuming similar to 11.4 Gg of N2O in a six-month period. The N2O levels in the sink are 75% higher than those of the reported N2O source from the coastal band. The balance between the oceanic region and the coastal band results in a sink region of 4.94 Gg of N2O during this period. (C) 2014 Elsevier Ltd. All rights reserved.</t>
  </si>
  <si>
    <t>[Cornejo, Marcela] Pontificia Univ Catolica Valparaiso, Escuela Ciencias Mar, Valparaiso, Chile; [Murillo, Alejandro A.] Univ Concepcion, Inst Milenio Oceanog IMO Chile, Concepcion 3, Chile; [Farias, Laura] Lab Oceanog Fis &amp; Clima, Concepcion, Chile; [Farias, Laura] Dept Oceanog, Concepcion, Chile; [Farias, Laura] Ctr Cambio Climat &amp; Resiliencia, Concepcion, Chile</t>
  </si>
  <si>
    <t>Pontificia Universidad Catolica de Valparaiso; Universidad de Concepcion</t>
  </si>
  <si>
    <t>Cornejo, M (corresponding author), Pontificia Univ Catolica Valparaiso, Escuela Ciencias Mar, Valparaiso, Chile.</t>
  </si>
  <si>
    <t>marcela.cornejo@ucv.cl</t>
  </si>
  <si>
    <t>Murillo, Alejandro Andrés/AAY-5276-2020; Cornejo-D'Ottone, Marcela/AAG-2744-2020</t>
  </si>
  <si>
    <t>Murillo, Alejandro Andrés/0000-0003-3553-1330; Cornejo-D'Ottone, Marcela/0000-0003-1016-4423; Farias, Laura/0000-0002-9479-1557</t>
  </si>
  <si>
    <t>Chilean Research Council (CONICYT) through the FONDECYT [3110158]; FONDECYT [3120047]; Millennium Scientific Initiative [IC 120019]; FONDAP [CR2 15110009]</t>
  </si>
  <si>
    <t>Chilean Research Council (CONICYT) through the FONDECYT(Comision Nacional de Investigacion Cientifica y Tecnologica (CONICYT)CONICYT FONDECYT); FONDECYT(Comision Nacional de Investigacion Cientifica y Tecnologica (CONICYT)CONICYT FONDECYT); Millennium Scientific Initiative; FONDAP</t>
  </si>
  <si>
    <t>This research was supported by the Chilean Research Council (CONICYT) through the FONDECYT #3110158 Grant to MC and the FONDECYT #3120047 Grant to AM. This work is part of the Millennium Scientific Initiative, Grant IC 120019. LF was supported by FONDAP CR2 15110009. The authors want to thanks: (1) the crew of Geomar-3, Tara Oceans and the Kay Kay vessels for their collaboration in the experiment design; (2) Marcela Montoya and Lucy Subirana for their assistance with the culture; (3) Lenis Florez-Leiva for his support of the experiments; and (4) Mauricio Gallegos for his help with spectrometry analysis and interpretation.</t>
  </si>
  <si>
    <t>0079-6611</t>
  </si>
  <si>
    <t>PROG OCEANOGR</t>
  </si>
  <si>
    <t>Prog. Oceanogr.</t>
  </si>
  <si>
    <t>10.1016/j.pocean.2014.12.016</t>
  </si>
  <si>
    <t>CS5TP</t>
  </si>
  <si>
    <t>WOS:000362141500002</t>
  </si>
  <si>
    <t>Labrousse, S; Vacquié-Garcia, J; Heerah, K; Guinet, C; Sallée, JB; Authier, M; Picard, B; Roquet, F; Bailleul, F; Hindell, M; Charrassin, JB</t>
  </si>
  <si>
    <t>Labrousse, Sara; Vacquie-Garcia, Jade; Heerah, Karine; Guinet, Christophe; Sallee, Jean-Baptiste; Authier, Matthieu; Picard, Baptiste; Roquet, Fabien; Bailleul, Frederic; Hindell, Mark; Charrassin, Jean-Benoit</t>
  </si>
  <si>
    <t>Winter use of sea ice and ocean water mass habitat by southern elephant seals: The length and breadth of the mystery</t>
  </si>
  <si>
    <t>MIROUNGA-LEONINA; FORAGING SUCCESS; DIVING BEHAVIOR; EUPHAUSIA-SUPERBA; CONTINENTAL-SLOPE; STABLE-ISOTOPES; DIVE DURATION; ADULT MALE; CIRCULATION; ECOLOGY</t>
  </si>
  <si>
    <t>Understanding the responses of animals to the environment is crucial for identifying critical foraging habitat. Elephant seals (Mirounga leonine) from the Kerguelen Islands (49 degrees 20'S, 70 degrees 20'E) have several different foraging strategies. Why some individuals undertake long trips to the Antarctic continent while others utilize the relatively close frontal zones is poorly understood. Here, we investigate how physical properties within the sea ice zone are linked to foraging activities of southern elephant seals (SES). To do this, we first developed a new approach using indices of foraging derived from high temporal resolution dive and accelerometry data to predict foraging behaviour in an extensive, low resolution dataset from CTD-Satellite Relay Data Loggers (CTD-SRDLs). A sample of 37 post-breeding SES females were used to construct a predictive model applied to demersal and pelagic dive strategies relating prey encounter events (PEE) to dive parameters (dive duration, bottom duration, hunting-time, maximum depth, ascent speed, descent speed, sinuosity, and horizontal speed) for each strategy. We applied these models to a second sample of 35 seals, 20 males and 15 females, during the post-moult foraging trip to the Antarctic continental shelf between 2004 and 2013, which did not have fine-scale behavioural data. The females were widely distributed with important foraging activity south of the Southern Boundary Front, while males predominately travelled to the south-eastern part of the East Antarctica region. Combining our predictions of PEE with environmental features (sea ice concentration, water masses at the bottom phase of dives, bathymetry and slope index) we found higher foraging activity for females over shallower seabed depths and at the boundary between the overlying Antarctic Surface Water (AASW) and the underlying Modified Circumpolar Deep Water (MCDW). Increased biological activity associated with the upper boundary of MCDW, may provide overwintering areas for SES prey. Male foraging activity was strongly associated with pelagic dives within the Antarctic Slope Front where upwelling of nutrient rich Circumpolar Deep Water onto surface water may enhance and concentrate resources. A positive association between sea ice and foraging activity was found for both sexes where increased biological activity may sustain an under-ice ecosystem. Variability of the East Antarctic sea ice season duration is likely a crucial element to allow air-breathing predators to benefit from profitable prey patches within the pack ice habitat. (C) 2015 Elsevier Ltd. All rights reserved.</t>
  </si>
  <si>
    <t>[Labrousse, Sara; Heerah, Karine; Sallee, Jean-Baptiste; Charrassin, Jean-Benoit] Univ Paris 06, Sorbonne Univ, CNRS, IRD,MNHN,LOCEAN,IPSL,UMR 7159, F-75005 Paris, France; [Vacquie-Garcia, Jade; Guinet, Christophe; Picard, Baptiste] Ctr Etud Biol Chize CEBC, CNRS, UPR 1934, F-79360 Villiers En Bois, France; [Sallee, Jean-Baptiste] British Antarctic Survey, Cambridge CB3 0ET, England; [Authier, Matthieu] CNRS, Observ PELAGIS, ULR, UMS 3462, F-17000 La Rochelle, France; [Roquet, Fabien] Stockholm Univ, Dept Meteorol, S-10691 Stockholm, Sweden; [Bailleul, Frederic] South Australian Res &amp; Dev Inst SARDI, West Beach, SA 5024, Australia; [Hindell, Mark] Univ Tasmania, Antarctic Climate &amp; Ecosyst Cooperat Res Ctr, Hobart, Tas 7001, Australia; [Hindell, Mark] Univ Tasmania, Inst Marine &amp; Antarctic Studies, Marine Predator Unit, Hobart, Tas 7001, Australia</t>
  </si>
  <si>
    <t>Sorbonne Universite; Institut de Recherche pour le Developpement (IRD); Centre National de la Recherche Scientifique (CNRS); CNRS - National Institute for Earth Sciences &amp; Astronomy (INSU); Museum National d'Histoire Naturelle (MNHN); Universite Paris Cite; Centre National de la Recherche Scientifique (CNRS); UK Research &amp; Innovation (UKRI); Natural Environment Research Council (NERC); NERC British Antarctic Survey; Centre National de la Recherche Scientifique (CNRS); CNRS - Institute of Ecology &amp; Environment (INEE); Stockholm University; South Australian Research &amp; Development Institute (SARDI); University of Tasmania; Antarctic Climate &amp; Ecosystems Cooperative Research Centre (ACE CRC); University of Tasmania</t>
  </si>
  <si>
    <t>Labrousse, S (corresponding author), Univ Paris 06, Sorbonne Univ, CNRS, IRD,MNHN,LOCEAN,IPSL,UMR 7159, F-75005 Paris, France.</t>
  </si>
  <si>
    <t>sara.labrousse@gmail.com</t>
  </si>
  <si>
    <t>Roquet, Fabien/D-4848-2013; Roquet, Fabien/N-3221-2019; Hindell, Mark A/K-1131-2013; Heerah, karine/F-5368-2013; Guinet, Christophe/AAR-8457-2020; SALLEE, Jean baptiste/HDO-5355-2022; SALLEE, Jean baptiste/A-5837-2010</t>
  </si>
  <si>
    <t>Roquet, Fabien/0000-0003-1124-4564; Hindell, Mark/0000-0002-7823-7185; Labrousse, Sara/0000-0002-8099-3254; Baptiste, Picard/0000-0001-9565-9446; Authier, Matthieu/0000-0001-7394-1993; VACQUIE GARCIA, Jade/0000-0002-3126-3423; SALLEE, Jean baptiste/0000-0002-6109-5176</t>
  </si>
  <si>
    <t>French Polar Institute (Institut Paul Emile Victor, IPEV) research project IPEV [109]; CNES-TOSCA project (Elephants de mer oceanographes); IMOS - Australian Government through the National Collaborative Research Infrastructure Strategy; Super Science Initiative; NERC [bas0100033] Funding Source: UKRI; Natural Environment Research Council [bas0100033] Funding Source: researchfish</t>
  </si>
  <si>
    <t>French Polar Institute (Institut Paul Emile Victor, IPEV) research project IPEV; CNES-TOSCA project (Elephants de mer oceanographes); IMOS - Australian Government through the National Collaborative Research Infrastructure Strategy; Super Science Initiative; NERC(UK Research &amp; Innovation (UKRI)Natural Environment Research Council (NERC)); Natural Environment Research Council(UK Research &amp; Innovation (UKRI)Natural Environment Research Council (NERC))</t>
  </si>
  <si>
    <t>This study is part of a French Polar Institute (Institut Paul Emile Victor, IPEV) research project IPEV # 109, PI H. Weimerskirch, and of an Australian collaborative research structure The Integrated Marine Observing System (IMOS). This work was funded by a CNES-TOSCA project (Elephants de mer oceanographes) and IMOS, supported by the Australian Government through the National Collaborative Research Infrastructure Strategy and the Super Science Initiative. Special thanks go to J.O. Irisson, A.C. Dragon, M. Lacarra, J. Jouma'a, J.C. McKnight and M.A. Lea for very useful comments. Finally we would like to thank N. El Skaby and all colleagues, volunteers involved in the research on southern elephant seals in Kerguelen. All animals in this study were treated in accordance with the IPEV ethical and Polar Environment Committees guidelines. We are extremely grateful to the 4 anonymous referees for their constructive suggestions and the detailed comments provided.</t>
  </si>
  <si>
    <t>10.1016/j.pocean.2015.05.023</t>
  </si>
  <si>
    <t>WOS:000362141500005</t>
  </si>
  <si>
    <t>Tsagkogeorga, G; McGowen, MR; Davies, KTJ; Jarman, S; Polanowski, A; Bertelsen, MF; Rossiter, SJ</t>
  </si>
  <si>
    <t>Tsagkogeorga, Georgia; McGowen, Michael R.; Davies, Kalina T. J.; Jarman, Simon; Polanowski, Andrea; Bertelsen, Mads F.; Rossiter, Stephen J.</t>
  </si>
  <si>
    <t>A phylogenomic analysis of the role and timing of molecular adaptation in the aquatic transition of cetartiodactyl mammals</t>
  </si>
  <si>
    <t>ROYAL SOCIETY OPEN SCIENCE</t>
  </si>
  <si>
    <t>RNA-sequencing; transcriptome; Cetartiodactyla; mammals</t>
  </si>
  <si>
    <t>GENE-EXPRESSION; CONVERGENT EVOLUTION; BOTTLENOSE DOLPHIN; POSITIVE SELECTION; INSIGHTS; RECEPTOR; ARTIODACTYLS; CHOLESTEROL; INTEGUMENT; SIGNATURES</t>
  </si>
  <si>
    <t>Recent studies have reported multiple cases of molecular adaptation in cetaceans related to their aquatic abilities. However, none of these has included the hippopotamus, precluding an understanding of whether molecular adaptations in cetaceans occurred before or after they split from their semi-aquatic sister taxa. Here, we obtained new transcriptomes from the hippopotamus and humpback whale, and analysed these together with available data from eight other cetaceans. We identified more than 11 000 orthologous genes and compiled a genome-wide dataset of 6845 coding DNA sequences among 23 mammals, to our knowledge the largest phylogenomic dataset to date for cetaceans. We found positive selection in nine genes on the branch leading to the common ancestor of hippopotamus and whales, and 461 genes in cetaceans compared to 64 in hippopotamus. Functional annotation revealed adaptations in diverse processes, including lipid metabolism, hypoxia, muscle and brain function. By combining these findings with data on protein-protein interactions, we found evidence suggesting clustering among gene products relating to nervous and muscular systems in cetaceans. We found little support for shared ancestral adaptations in the two taxa; most molecular adaptations in extant cetaceans occurred after their split with hippopotamids.</t>
  </si>
  <si>
    <t>[Tsagkogeorga, Georgia; McGowen, Michael R.; Davies, Kalina T. J.; Rossiter, Stephen J.] Queen Mary Univ London, Sch Biol &amp; Chem Sci, Mile End Rd, London E1 4NS, England; [Jarman, Simon; Polanowski, Andrea] Australian Antarctic Div, Kingston, Tas 7050, Australia; [Bertelsen, Mads F.] Copenhagen Zoo, Ctr Zoo &amp; Wild Anim Hlth, DK-2000 Frederiksberg, Denmark</t>
  </si>
  <si>
    <t>University of London; Queen Mary University London; Australian Antarctic Division</t>
  </si>
  <si>
    <t>Tsagkogeorga, G (corresponding author), Queen Mary Univ London, Sch Biol &amp; Chem Sci, Mile End Rd, London E1 4NS, England.</t>
  </si>
  <si>
    <t>g.tsagkogeorga@qmul.ac.uk; s.j.rossiter@qmul.ac.uk</t>
  </si>
  <si>
    <t>Bertelsen, Mads/AAA-5746-2022; Rossiter, Stephen J/E-2111-2011; Jarman, Simon/H-9265-2016</t>
  </si>
  <si>
    <t>Bertelsen, Mads/0000-0001-9201-7499; Rossiter, Stephen/0000-0002-3881-4515; Jarman, Simon/0000-0002-0792-9686; Polanowski, Andrea/0000-0002-9612-220X; Davies, Kalina/0000-0002-4258-4775</t>
  </si>
  <si>
    <t>European Research Council [ERC 1076, 310482]; Newton International Fellowship; Science and Technology Facilities Council [GRIDPP] Funding Source: researchfish; European Research Council (ERC) [310482] Funding Source: European Research Council (ERC)</t>
  </si>
  <si>
    <t>European Research Council(European Research Council (ERC)); Newton International Fellowship; Science and Technology Facilities Council(UK Research &amp; Innovation (UKRI)Science &amp; Technology Facilities Council (STFC)); European Research Council (ERC)(European Research Council (ERC)Spanish Government)</t>
  </si>
  <si>
    <t>This work was funded by the European Research Council (ERC 1076 Starting grant no. 310482) awarded to S.J.R. and a Newton International Fellowship awarded to M.R.M.</t>
  </si>
  <si>
    <t>2054-5703</t>
  </si>
  <si>
    <t>ROY SOC OPEN SCI</t>
  </si>
  <si>
    <t>R. Soc. Open Sci.</t>
  </si>
  <si>
    <t>10.1098/rsos.150156</t>
  </si>
  <si>
    <t>DO7MO</t>
  </si>
  <si>
    <t>WOS:000377966900004</t>
  </si>
  <si>
    <t>Winkelmann, R; Levermann, A; Ridgwell, A; Caldeira, K</t>
  </si>
  <si>
    <t>Winkelmann, Ricarda; Levermann, Anders; Ridgwell, Andy; Caldeira, Ken</t>
  </si>
  <si>
    <t>Combustion of available fossil fuel resources sufficient to eliminate the Antarctic Ice Sheet</t>
  </si>
  <si>
    <t>MODEL; GREENLAND; EARTH</t>
  </si>
  <si>
    <t>The Antarctic Ice Sheet stores water equivalent to 58 m in global sea-level rise. We show in simulations using the Parallel Ice Sheet Model that burning the currently attainable fossil fuel resources is sufficient to eliminate the ice sheet. With cumulative fossil fuel emissions of 10,000 gigatonnes of carbon (GtC), Antarctica is projected to become almost ice-free with an average contribution to sea-level rise exceeding 3 m per century during the first millennium. Consistent with recent observations and simulations, the West Antarctic Ice Sheet becomes unstable with 600 to 800 GtC of additional carbon emissions. Beyond this additional carbon release, the destabilization of ice basins in both West and East Antarctica results in a threshold increase in global sea level. Unabated carbon emissions thus threaten the Antarctic Ice Sheet in its entirety with associated sea-level rise that far exceeds that of all other possible sources.</t>
  </si>
  <si>
    <t>[Winkelmann, Ricarda; Levermann, Anders] Potsdam Inst Climate Impact Res, D-14476 Potsdam, Germany; [Winkelmann, Ricarda; Levermann, Anders] Univ Potsdam, Inst Phys, D-14476 Potsdam, Germany; [Winkelmann, Ricarda; Caldeira, Ken] Carnegie Inst Sci, Dept Global Ecol, Stanford, CA 94305 USA; [Ridgwell, Andy] Univ Bristol, Sch Geog Sci, BRIDGE, Bristol BS8 1SS, Avon, England; [Ridgwell, Andy] Univ Calif, Dept Earth Sci, Riverside, CA 92521 USA</t>
  </si>
  <si>
    <t>Potsdam Institut fur Klimafolgenforschung; University of Potsdam; Carnegie Institution for Science; University of Bristol; University of California System; University of California Riverside</t>
  </si>
  <si>
    <t>Winkelmann, R (corresponding author), Potsdam Inst Climate Impact Res, D-14476 Potsdam, Germany.</t>
  </si>
  <si>
    <t>ricarda.winkelmann@pik-potsdam.de</t>
  </si>
  <si>
    <t>Levermann, Anders/G-4666-2011; Ridgwell, Andy/AAD-9487-2021; Caldeira, Ken/E-7914-2011</t>
  </si>
  <si>
    <t>Levermann, Anders/0000-0003-4432-4704; Ridgwell, Andy/0000-0003-2333-0128; Caldeira, Ken/0000-0002-4591-643X; Winkelmann, Ricarda/0000-0003-1248-3217</t>
  </si>
  <si>
    <t>European Union Seventh Framework Programme [603864]; European Union PALEOGENiE project [ERC-2013-CoG-617313]; Natural Environment Research Council [NE/H017453/1, NE/H023852/1] Funding Source: researchfish; NERC [NE/H017453/1, NE/H023852/1] Funding Source: UKRI</t>
  </si>
  <si>
    <t>European Union Seventh Framework Programme(European Union (EU)); European Union PALEOGENiE project; Natural Environment Research Council(UK Research &amp; Innovation (UKRI)Natural Environment Research Council (NERC)); NERC(UK Research &amp; Innovation (UKRI)Natural Environment Research Council (NERC))</t>
  </si>
  <si>
    <t>The research leading to these results has received funding from the European Union Seventh Framework Programme FP7/2007-2013 under grant agreement no. 603864. A.R. was supported through the European Union PALEOGENiE project (ERC-2013-CoG-617313).</t>
  </si>
  <si>
    <t>e1500589</t>
  </si>
  <si>
    <t>10.1126/sciadv.1500589</t>
  </si>
  <si>
    <t>V0V5E</t>
  </si>
  <si>
    <t>WOS:000216596900009</t>
  </si>
  <si>
    <t>Broughton, RCI; Newsham, KK; Hill, PW; Stott, A; Jones, DL</t>
  </si>
  <si>
    <t>Broughton, R. C. I.; Newsham, K. K.; Hill, P. W.; Stott, A.; Jones, D. L.</t>
  </si>
  <si>
    <t>Differential acquisition of amino acid and peptide enantiomers within the soil microbial community and its implications for carbon and nitrogen cycling in soil</t>
  </si>
  <si>
    <t>SOIL BIOLOGY &amp; BIOCHEMISTRY</t>
  </si>
  <si>
    <t>Antarctic; Dissolved organic nitrogen; DON; Isotopic labelling; Nutrient cycling</t>
  </si>
  <si>
    <t>FATTY-ACIDS; LISTERIA-MONOCYTOGENES; ORGANIC NITROGEN; BACTERIAL; GROWTH; CHAIN; MINERALIZATION; METABOLISM; RANGE</t>
  </si>
  <si>
    <t>L-isomeric amino acids and oligopeptides are thought to represent a key nitrogen (N) source for plants and soil microorganisms, bypassing the need to take up inorganic N, whilst self-cycling of D-enantiomers within peptidoglycan-containing bacteria may provide a further short circuit within the N cycle. Here we use stable isotope profiling (SIP) to identify the fate of organic N within soil microbial communities. We followed the incorporation of C-13-labelled D- or L-labelled amino acids/peptides into phospholipid fatty acids (PLFAs). L-alanine and its peptides were taken up more rapidly than D-enantiomers by Gram-positive bacteria with C-13 incorporation being predominantly into anteiso- and iso-fatty acids typically associated with. Gram-positive bacteria. D-enantiomer uptake was found not to differ significantly between the microbial groups, providing little support for the view that soil bacteria may self-cycle D-forms of amino acids and peptides. There was no consistent association between peptide chain length and incorporation. The concentrations of L- and D-isomeric amino acids in soil solution were 866 nM and 72 nM, respectively. We conclude that Gram-positive bacteria appear to be the primary competitors for L-enantiomeric forms of amino acids and their peptides, but that both D- and L-enantiomers are available N and C sources for bacteria and fungi. (C) 2015 The Authors. Published by Elsevier Ltd.</t>
  </si>
  <si>
    <t>[Broughton, R. C. I.; Newsham, K. K.] NERC, British Antarctic Survey, Cambridge CB3 0ET, England; [Hill, P. W.; Jones, D. L.] Bangor Univ, Environm Ctr Wales, Bangor LL57 2UW, Gwynedd, Wales; [Stott, A.] CEH Lancaster Environm Ctr, Lancaster LA1 4AP, England</t>
  </si>
  <si>
    <t>UK Research &amp; Innovation (UKRI); Natural Environment Research Council (NERC); NERC British Antarctic Survey; Bangor University; UK Centre for Ecology &amp; Hydrology (UKCEH)</t>
  </si>
  <si>
    <t>Jones, DL (corresponding author), Bangor Univ, Environm Ctr Wales, Bangor LL57 2UW, Gwynedd, Wales.</t>
  </si>
  <si>
    <t>d.jones@bangor.ac.uk</t>
  </si>
  <si>
    <t>Jones, Davey/AAD-6037-2020; STOTT, ANDREW W/I-7920-2012; Hill, Paul W/C-2944-2013; jones, davey/C-7411-2011; Broughton, Richard/AAJ-5665-2021</t>
  </si>
  <si>
    <t>jones, davey/0000-0002-1482-4209; Broughton, Richard/0000-0001-7339-2760</t>
  </si>
  <si>
    <t>UK Natural Environment Research Council (NERC) [NE/I011722/1]; NERC [NE/E013732/1, NE/I012303/1, lsmsf010003, ceh020008, NE/I027150/1, NE/I011722/1, bas0100036] Funding Source: UKRI; Natural Environment Research Council [NE/I012303/1, bas0100036, NE/I027150/1, lsmsf010003, ceh020008, NER/G/S/2003/00008, NE/I011722/1, NE/E013732/1] Funding Source: researchfish</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</si>
  <si>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</si>
  <si>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Funding was provided by the UK Natural Environment Research Council through a standard grant (NERC reference NE/I011722/1).</t>
  </si>
  <si>
    <t>0038-0717</t>
  </si>
  <si>
    <t>1879-3428</t>
  </si>
  <si>
    <t>SOIL BIOL BIOCHEM</t>
  </si>
  <si>
    <t>Soil Biol. Biochem.</t>
  </si>
  <si>
    <t>10.1016/j.soilbio.2015.05.003</t>
  </si>
  <si>
    <t>Soil Science</t>
  </si>
  <si>
    <t>Agriculture</t>
  </si>
  <si>
    <t>CP4VL</t>
  </si>
  <si>
    <t>Green Accepted, Green Published, hybrid</t>
  </si>
  <si>
    <t>WOS:000359880600011</t>
  </si>
  <si>
    <t>Peters, KJ; Ophelkeller, K; Bott, NJ; Deagle, BE; Jarman, SN; Goldsworthy, SD</t>
  </si>
  <si>
    <t>Peters, Kristian J.; Ophelkeller, Kathy; Bott, Nathan J.; Deagle, Bruce E.; Jarman, Simon N.; Goldsworthy, Simon D.</t>
  </si>
  <si>
    <t>Fine-scale diet of the Australian sea lion (Neophoca cinerea) using DNA-based analysis of faeces</t>
  </si>
  <si>
    <t>16S mtRNA gene; benthic prey; PCR analysis; trophic interactions</t>
  </si>
  <si>
    <t>ZEALAND FUR SEALS; PREY DNA; SOUTH-AUSTRALIA; PHOCARCTOS-HOOKERI; WESTERN-AUSTRALIA; FORAGING HABITAT; ANTARCTIC KRILL; STOMACH SAMPLES; BREEDING CYCLE; FECAL SAMPLES</t>
  </si>
  <si>
    <t>We applied DNA-based faecal analysis to determine the diet of female Australian sea lions (n=12) from two breeding colonies in South Australia. DNA dietary components of fish and cephalopods were amplified using the polymerase chain reaction and mitochondrial DNA primers targeting the short (similar to 100 base pair) section of the 16S gene region. Prey diversity was determined by sequencing similar to 50 amplicons generated from clone libraries developed for each individual. Faecal DNA was also combined and cloned from multiple individuals at each colony and fish diversity determined. Diets varied between individuals and sites. Overall, DNA analysis identified a broad diversity of prey comprising 23 fish and five cephalopod taxa, including many species not previously described as prey of the Australian sea lion. Labridae (wrasse), Monacanthidae (leatherjackets) and Mullidae (goat fish) were important fish prey taxa. Commonly identified cephalopods were Octopodidae (octopus), Loliginidae (calamary squid) and Sepiidae (cuttlefish). Comparisons of fish prey diversity determined by pooling faecal DNA from several samples provided a reasonable but incomplete resemblance (55-71%) to the total fish diversity identified across individual diets at each site. Interpretation of diet based on the recovery of prey hard-parts identified one cephalopod beak (Octopus sp.) and one fish otolith (Parapriacanthus elongatus). The present study highlights the value of DNA-based analyses and their capabilities to enhance information of trophic interactions.</t>
  </si>
  <si>
    <t>[Peters, Kristian J.; Ophelkeller, Kathy; Goldsworthy, Simon D.] SARDI, Henley Beach, SA 5022, Australia; [Peters, Kristian J.; Goldsworthy, Simon D.] Univ Adelaide, Sch Earth &amp; Environm Sci, Adelaide, SA, Australia; [Bott, Nathan J.] RMIT Univ, Sch Appl Sci, Bundoora, Vic, Australia; [Deagle, Bruce E.; Jarman, Simon N.] Australian Antarctic Div, Kingston, Tas, Australia</t>
  </si>
  <si>
    <t>University of Adelaide; Royal Melbourne Institute of Technology (RMIT); Australian Antarctic Division</t>
  </si>
  <si>
    <t>Peters, KJ (corresponding author), SARDI, Aquat Sci, POB 120, Henley Beach, SA 5022, Australia.</t>
  </si>
  <si>
    <t>kristian.peters2@sa.gov.au</t>
  </si>
  <si>
    <t>Deagle, Bruce E/R-2999-2019; Bott, Nathan J/A-3816-2009; Jarman, Simon/H-9265-2016</t>
  </si>
  <si>
    <t>Deagle, Bruce E/0000-0001-7651-3687; Goldsworthy, Simon/0000-0003-4988-9085; Bott, Nathan/0000-0003-4049-9945; Jarman, Simon/0000-0002-0792-9686</t>
  </si>
  <si>
    <t>Australian Government National Heritage Trust (NHT) grants scheme; Nature Foundation SA; Wildlife Conservation Fund; FRDC; Adelaide University postgraduate award; Marine Innovation South Australia (MISA), an initiative of the South Australian Government</t>
  </si>
  <si>
    <t>Australian Government National Heritage Trust (NHT) grants scheme(Australian Government); Nature Foundation SA; Wildlife Conservation Fund; FRDC; Adelaide University postgraduate award; Marine Innovation South Australia (MISA), an initiative of the South Australian Government</t>
  </si>
  <si>
    <t>This study was supported through the Australian Government National Heritage Trust (NHT) grants scheme, Nature Foundation SA, and the Wildlife Conservation Fund. We thank the South Australian Research and Development Institute (SARDI) Molecular Diagnostics group for laboratory support, in particular Dr. A. McKay, T. Mammone, Dr. Herdina, Jan Gooden, Ina Dumitrescu and all staff. We would like to thank the Department of Environment, Water and Natural Resources (DEWNR) particularly Dr. B. Page, B. Haddrill, B. Dalzel and their staff for access and permission to conduct Australian sea lion research at colonies in South Australia. We thank Dr. T. Ward (SARDI) for securing FRDC funding. Thanks to SeaLink and Mountain Designs for their logistal support. We thank Dr P. Shaughnessy, Dr A. Baylis, Dr J. McKenzie, and Dr B. Page for comments on this manuscript. We thank the volunteers who assisted with fieldwork: C. Fulton, C. Kennedy, Dr A. Baylis, Dr R. McIntosh, E. Ayliffe, Dr M.A. Lea, and R. Sleep. This project was funded by grants prepared and submitted by K. Peters and S. Goldsworthy. K. Peters was the recipient of an Adelaide University postgraduate award. This research project was conducted under the DEWNR ethics permit A24684 6 and Adelaide University animal ethics permit S80-2004. S.D.G. was supported by Marine Innovation South Australia (MISA), an initiative of the South Australian Government.</t>
  </si>
  <si>
    <t>10.1111/maec.12145</t>
  </si>
  <si>
    <t>WOS:000358729600008</t>
  </si>
  <si>
    <t>Paiva, PC; Seixas, VC; Echeverría, CA</t>
  </si>
  <si>
    <t>Paiva, Paulo Cesar; Seixas, Victor Correa; Echeverria, Carlos Alejandro</t>
  </si>
  <si>
    <t>Variation of a polychaete community in nearshore soft bottoms of Admiralty Bay, Antarctica, along austral winter (1999) and summer (2000-2001)</t>
  </si>
  <si>
    <t>Depth partitioning; Seasonality; Benthic; Ice-impacts</t>
  </si>
  <si>
    <t>KING-GEORGE-ISLAND; MARINE BENTHIC COMMUNITIES; MARTEL INLET; MULTIVARIATE-ANALYSIS; ORGANIC ENRICHMENT; CLIMATE-CHANGE; CASEY STATION; SIGNY ISLAND; ANNUAL CYCLE; DIVERSITY</t>
  </si>
  <si>
    <t>Studies on community structure of Antarctic benthos are mostly conducted on summer samplings, when ice-impacts and productivity blooms are intense. Few surveys performed during winter demonstrated that, despite temperatures and productivity stability, community structure is variable. In order to assess how polychaete community is influenced by seasonality and depth along a discontinuous year, six replicate samples were taken in nine surveys during winter and four in summer at two depths (12 and 25 m) in Admiralty Bay, King George Island. Spatial patchiness was more intense at 12 m presupposing ice-mediated and wave-induced disturbances, whereas 25-m patchiness among replicates was restricted to summer surveys. A pattern of temporal stability was partially confirmed in 12-m site. Deeper site was characterized by seasonality with dominant-species replacement reflecting shifts in organic matter availability. Diversity was higher in early and midwinter following both summer productivity blooms and macroalgal decomposition that extend the energy budget into the winter, analogous to microbial biomass supply of food banks that sustains the benthic ecosystem functions over winter in Antarctic Peninsula shelf deeper areas. Despite the opportunistic status of several nearshore polychaetes, it was possible to distinguish those that responded to organic enrichment (i.e., Capitella perarmata and Ophryotrocha notialis), from those associated with physical disturbances (i.e., Aphelochaeta cincinnatus and Levinsenia gracilis). Awareness of such patterns and their spatial and temporal variations will facilitate future studies on community assessment, especially those based on indicator species of benthic communities.</t>
  </si>
  <si>
    <t>[Paiva, Paulo Cesar; Seixas, Victor Correa] Univ Fed Rio de Janeiro, Inst Biol, Dept Zool, Lab Polychaeta, BR-21941902 Rio De Janeiro, RJ, Brazil; [Paiva, Paulo Cesar; Seixas, Victor Correa] Univ Fed Rio de Janeiro, Inst Biol, Programa Posgrad Biodiversidade &amp; Biol Evolut, BR-21941902 Rio De Janeiro, RJ, Brazil; [Echeverria, Carlos Alejandro] Univ Fed Rio de Janeiro, COPPE, Inst Virtual Int Mudancas Globais, BR-21945970 Rio De Janeiro, RJ, Brazil; [Echeverria, Carlos Alejandro] Univ Fed Rio de Janeiro, Nucleo Interdisciplinar UFRJ Mar, Lab Pesquisas Costeiras &amp; Estuarinas LABCOEST, BR-21941902 Rio De Janeiro, RJ, Brazil</t>
  </si>
  <si>
    <t>Universidade Federal do Rio de Janeiro; Universidade Federal do Rio de Janeiro; Universidade Federal do Rio de Janeiro; Universidade Federal do Rio de Janeiro</t>
  </si>
  <si>
    <t>Paiva, PC (corresponding author), Univ Fed Rio de Janeiro, Inst Biol, Dept Zool, Lab Polychaeta, Av Carlos Chagas Filho 373,CCS, BR-21941902 Rio De Janeiro, RJ, Brazil.</t>
  </si>
  <si>
    <t>paulo.paiva@gmail.com</t>
  </si>
  <si>
    <t>de Paiva, Paulo Cesar/N-1234-2019; Echeverria, Carlos A/F-3184-2011; Echeverria, Carlos Alejandro/P-1206-2018; Seixas, Victor Correa/M-6934-2019</t>
  </si>
  <si>
    <t>de Paiva, Paulo Cesar/0000-0003-1061-6549; Seixas, Victor Correa/0000-0002-2067-9490; Echeverria, Carlos Alejandro/0000-0002-8479-6549</t>
  </si>
  <si>
    <t>Conselho Nacional de Desenvolvimento Cientifico e Tecnologico (CNPq); Coordenadoria de Aperfeicoamentode Pessoal de Nivel Superior (CAPES)</t>
  </si>
  <si>
    <t>Conselho Nacional de Desenvolvimento Cientifico e Tecnologico (CNPq)(Conselho Nacional de Desenvolvimento Cientifico e Tecnologico (CNPQ)); Coordenadoria de Aperfeicoamentode Pessoal de Nivel Superior (CAPES)(Coordenacao de Aperfeicoamento de Pessoal de Nivel Superior (CAPES))</t>
  </si>
  <si>
    <t>Authors wish to thank the CNPq-PROANTAR (Brazilian Antarctic Program), SECIRM (Brazilian Secretariat of the Inter-ministerial Commission for Marine Resources) and specially to the crew of the Brazilian Antarctic Station ''Comandante Ferraz'' for their crucial help in field work. We also wish to thank three anonymous reviewers for comments and criticism and to Ramon Clark and Joana Zanol for language revision. This work was supported by grants and fellowships from Conselho Nacional de Desenvolvimento Cientifico e Tecnologico (CNPq) and Coordenadoria de Aperfeicoamentode Pessoal de Nivel Superior (CAPES).</t>
  </si>
  <si>
    <t>10.1007/s00300-015-1698-8</t>
  </si>
  <si>
    <t>WOS:000359188800003</t>
  </si>
  <si>
    <t>Nielsen, UN; King, CK</t>
  </si>
  <si>
    <t>Nielsen, Uffe N.; King, Catherine K.</t>
  </si>
  <si>
    <t>Abundance and diversity of soil invertebrates in the Windmill Islands region, East Antarctica</t>
  </si>
  <si>
    <t>Soil communities; Casey Station; Nematoda; Rotifera; Acari; Tardigrada</t>
  </si>
  <si>
    <t>WILKES-LAND; BIOLOGICAL INVASIONS; VICTORIA LAND; COMMUNITIES; VEGETATION; ECOLOGY; SCALE</t>
  </si>
  <si>
    <t>The harsh climate and patchy distribution of habitable terrestrial ecosystems constrain soil invertebrate communities in continental Antarctica. The Windmill Islands in East Antarctica have a relatively gentle climate by Antarctic standards, and the region supports some of the most well-developed moss beds on the continent. These moss beds and soils are known to sustain invertebrate communities dominated by nematodes, rotifers and tardigrades, but our knowledge of the diversity and composition of these communities remains limited. We extracted soil fauna from 74 soil samples representing a wide range of microhabitats, and 24 moss samples, collected at Clark Peninsula, Bailey Peninsula and Robinson Ridge in the Windmill Islands during the 2012-2013 austral summer. Invertebrates were present in all samples, but densities varied considerably both within and between sites with limited correlation with edaphic variables or cover type. Taxa found included two species of nematodes (Plectus murrayi; Plectus frigophilus), one mite (Nanorchestes antarcticus) as well as tardigrades and rotifers (enumerated only). No springtails were found in this study, but individuals of the genus Cryptopygus were later recovered from moss collected near Casey Station. The Windmill Islands soils and moss beds support dense populations of soil fauna. However, despite the relatively mild climate conditions and favorable soil properties, species diversity is low. The diversity is possibly limited by recent deglaciation and limited dispersal opportunities to the region. Given favorable local conditions, it is likely that colonizing species will perform well, whether these arrive by natural means or are accidentally introduced by humans.</t>
  </si>
  <si>
    <t>[Nielsen, Uffe N.] Univ Western Sydney, Hawkesbury Inst Environm, Richmond, NSW, Australia; [Nielsen, Uffe N.] Univ Western Sydney, Sch Sci &amp; Hlth, Richmond, NSW, Australia; [King, Catherine K.] Australian Antarctic Div, Kingston, Tas, Australia</t>
  </si>
  <si>
    <t>Western Sydney University; Western Sydney University; Australian Antarctic Division</t>
  </si>
  <si>
    <t>Nielsen, UN (corresponding author), Univ Western Sydney, Hawkesbury Inst Environm, Richmond, NSW, Australia.</t>
  </si>
  <si>
    <t>u.nielsen@uws.edu.au</t>
  </si>
  <si>
    <t>King, Catherine K/0000-0003-3356-0381; Nielsen, Uffe N/0000-0003-2400-7453</t>
  </si>
  <si>
    <t>Australian Antarctic Science Grant (AAS Project) [4100]</t>
  </si>
  <si>
    <t>Australian Antarctic Science Grant (AAS Project)</t>
  </si>
  <si>
    <t>We acknowledge the Australian Antarctic program for logistic support and the staff at Casey Station for helping facilitate this work, and in particular Z. Malenovsky, A. Nydahl, J. Bramley-Alves and R. Miller for help in the field. Figure 1 was produced by D. Smith, Australian Antarctic Data Centre. We are grateful to J. Wasley and A. Cooper for constructive input and comments on earlier drafts of this manuscript, and three anonymous reviewers and the editor provided constructive comments. This work was funded through an Australian Antarctic Science Grant (AAS Project 4100) to C. King.</t>
  </si>
  <si>
    <t>10.1007/s00300-015-1703-2</t>
  </si>
  <si>
    <t>WOS:000359188800007</t>
  </si>
  <si>
    <t>Pabis, K; Józwiak, P; Lörz, AN; Schnabel, K; Blazewicz-Paszkowycz, M</t>
  </si>
  <si>
    <t>Pabis, Krzysztof; Jozwiak, Piotr; Loerz, Anne-Nina; Schnabel, Kareen; Blazewicz-Paszkowycz, Magdalena</t>
  </si>
  <si>
    <t>First insights into the deep-sea tanaidacean fauna of the Ross Sea: species richness and composition across the shelf break, slope and abyss</t>
  </si>
  <si>
    <t>Peracarida; Antarctica; Diversity; Bathyal; Abyssal; IPY; CAML</t>
  </si>
  <si>
    <t>SOUTHERN-OCEAN; WEDDELL SEA; BENTHIC COMMUNITY; VICTORIA LAND; SOFT-BOTTOM; DIVERSITY; CRUSTACEA; BIODIVERSITY; ANTARCTICA; ABUNDANCE</t>
  </si>
  <si>
    <t>Tanaidaceans belong to the most severely underestimated groups of benthic macrofauna of the Southern Ocean. Here, we analyze 11 samples collected with a small-meshed epibenthic sled in the summer season of 2008, in the Ross Sea, at the shelf break, slope and abyss (365-3490 m). The material was obtained during a RV Tangaroa voyage as part of the New Zealand International Polar Year, Census of Antarctic Marine Life Project. Seventy-two species of Tanaidacea were recorded, 85 % of which were new to science. The most speciose genera are Typhlotanais, Pseudotanais and Paraleptognathia. Rare species (singletons and doubletons) constituted 60 % of the material. Each of the three studied depth zones was characterized by a unique tanaidacean fauna. Only few species (&lt; 6 %) occurred consistently in more than one depth zone. The highest number of species (31 species) was recorded in the abyssal sites, and the lowest number of species (20 species) at the shelf sites.</t>
  </si>
  <si>
    <t>[Pabis, Krzysztof; Jozwiak, Piotr; Blazewicz-Paszkowycz, Magdalena] Univ Lodz, Lab Polar Biol &amp; Oceanobiol, PL-90237 Lodz, Poland; [Loerz, Anne-Nina; Schnabel, Kareen] Natl Inst Water &amp; Atmospher Res NIWA, Wellington 6021, New Zealand; [Loerz, Anne-Nina] Univ Hamburg, Zool Museum, Ctr Nat Kunde CeNak, D-20146 Hamburg, Germany</t>
  </si>
  <si>
    <t>University of Lodz; National Institute of Water &amp; Atmospheric Research (NIWA) - New Zealand; University of Hamburg</t>
  </si>
  <si>
    <t>Blazewicz-Paszkowycz, M (corresponding author), Univ Lodz, Lab Polar Biol &amp; Oceanobiol, Banacha 12-16, PL-90237 Lodz, Poland.</t>
  </si>
  <si>
    <t>cataclysta@wp.pl; pjozwiak@biol.uni.lodz.pl; magdab@biol.uni.lodz.pl</t>
  </si>
  <si>
    <t>Pabis, Krzysztof/O-8628-2017; Błażewicz, Magdalena/J-5175-2017</t>
  </si>
  <si>
    <t>Schnabel, Kareen/0000-0002-9965-9010; Blazewicz, Magdalena/0000-0002-4753-3424; Pabis, Krzysztof/0000-0002-9625-3453; Jozwiak, Piotr/0000-0002-5171-3145</t>
  </si>
  <si>
    <t>New Zealand Government under the New Zealand International Polar Year Census of Antarctic Marine Life Project; National Science Center project titled Bathyal, abyssal and hadal tanaidacean fauna-exploring the deep-sea biodiversity [2014/13/B/NZ8/04702]</t>
  </si>
  <si>
    <t>New Zealand Government under the New Zealand International Polar Year Census of Antarctic Marine Life Project; National Science Center project titled Bathyal, abyssal and hadal tanaidacean fauna-exploring the deep-sea biodiversity</t>
  </si>
  <si>
    <t>The collection of the samples was funded by the New Zealand Government under the New Zealand International Polar Year Census of Antarctic Marine Life Project. We gratefully acknowledge project governance provided by the Ministry of Fisheries Science Team and the Ocean Survey 20/20 CAML Advisory Group (Land Information New Zealand, Ministry of Fisheries, Antarctica New Zealand, Ministry of Foreign Affairs and Trade, and National Institute of Water and Atmospheric Research). Analysis of tanaidacean fauna was supported by National Science Center project titled Bathyal, abyssal and hadal tanaidacean fauna-exploring the deep-sea biodiversity (2014/13/B/NZ8/04702).</t>
  </si>
  <si>
    <t>10.1007/s00300-015-1706-z</t>
  </si>
  <si>
    <t>WOS:000359188800010</t>
  </si>
  <si>
    <t>Acevedo, J; Carreño, E; Torres, D; Aguayo-Lobo, A; Letelier, S</t>
  </si>
  <si>
    <t>Acevedo, Jorge; Carreno, Esteban; Torres, Daniel; Aguayo-Lobo, Anelio; Letelier, Sergio</t>
  </si>
  <si>
    <t>Cephalopod remains in scats of Weddell seals (Leptonychotes weddellii) at Cape Shirreff, South Shetland Islands, Antarctica</t>
  </si>
  <si>
    <t>Cephalopods; Octopoda; Weddell seal; Cape Shirreff; Antarctica</t>
  </si>
  <si>
    <t>DIET; OCTOPODIDAE; EASTERN; WINTER; FOOD; PREY</t>
  </si>
  <si>
    <t>The diet of Weddell seals (Leptonychotes weddellii) varies regionally, and fish and cephalopods are thought to be the most important food source. However, there is limited information on the cephalopod component of the Weddell seal's diet in the South Shetland Islands. We investigated cephalopod remains in the diet of Weddell seals by analysing 21 scats collected on three beaches at Cape Shirreff, Livingston Island, Antarctica, from 1 to 20 February 1999. Although the number of scats is small and collected from only 1 month a long time ago, fish and cephalopods were present in 21 and 16 of the scats, respectively. Only cephalopods of the order Octopoda were represented. Thaumeledone sp. was the most abundant prey species in terms of numbers, followed by Pareledone charcoti and P. turqueti. The latter two species showed the highest frequency of occurrence in scats (10 and 9, respectively). Graneledone macrotyla, Opistoteuthis sp., Argonauta sp., Haliphron sp. and Thaumeledone sp. are new species identified in the diet of Weddell seals in the present study, but all made a negligible contribution to their diet at Cape Shirreff. Our findings agree with previous dietary studies of Weddell seals at other localities in the South Shetland Islands and the Antarctic Peninsula, which showed a relatively greater contribution of octopods to the diet compared with squid in summer.</t>
  </si>
  <si>
    <t>[Acevedo, Jorge] Fdn CEQUA, Punta Arenas, Chile; [Carreno, Esteban] Univ Arturo Prat, Iquique, Chile; [Torres, Daniel] Project INACH 018, Santiago, Chile; [Aguayo-Lobo, Anelio] Inst Antartico Chileno, Punta Arenas, Chile; [Letelier, Sergio] Museo Nacl Hist Nat, Santiago, Chile</t>
  </si>
  <si>
    <t>Universidad Arturo Prat</t>
  </si>
  <si>
    <t>Acevedo, J (corresponding author), Fdn CEQUA, 21 Mayo 1690, Punta Arenas, Chile.</t>
  </si>
  <si>
    <t>jorge.acevedo@cequa.cl</t>
  </si>
  <si>
    <t>Acevedo, Jorge/AAV-3574-2020</t>
  </si>
  <si>
    <t>Acevedo, Jorge/0000-0002-6106-0838</t>
  </si>
  <si>
    <t>Conicyt [R13A1002]; Instituto Antartico Chileno (INACH) [018]</t>
  </si>
  <si>
    <t>Conicyt(Comision Nacional de Investigacion Cientifica y Tecnologica (CONICYT)); Instituto Antartico Chileno (INACH)</t>
  </si>
  <si>
    <t>The first author would like to thank the directors of Fundacion CEQUA and Conicyt (Grant number R13A1002) for providing time and constant support for marine mammal research. We wish to thank all colleagues and volunteers who participated in the field and the staff of the Laboratory of Malacology at the Museo Nacional de Historia Natural (MNHN) for providing space and the reference collection for comparison purposes. We also wish to thank Instituto Antartico Chileno (INACH) for supporting Project 018 between 1991 and 2006 and M. Bester for made helpful comments on an earlier draft of the manuscript.</t>
  </si>
  <si>
    <t>10.1007/s00300-015-1713-0</t>
  </si>
  <si>
    <t>WOS:000359188800021</t>
  </si>
  <si>
    <t>Huang, Z; Feng, M</t>
  </si>
  <si>
    <t>Huang, Zhi; Feng, Ming</t>
  </si>
  <si>
    <t>Remotely sensed spatial and temporal variability of the Leeuwin Current using MODIS data</t>
  </si>
  <si>
    <t>REMOTE SENSING OF ENVIRONMENT</t>
  </si>
  <si>
    <t>Westem Australia; Satellite remote sensing; Marine; Ocean current; Cross-shelf movement; Chlorophyll a concentrations; SST</t>
  </si>
  <si>
    <t>WESTERN ROCK LOBSTER; COMMUNITY STRUCTURE; OCEAN CIRCULATION; NUTRIENT DYNAMICS; BOUNDARY CURRENT; GASCOYNE REGION; CURRENT SYSTEM; SHELF WATERS; WARM-CORE; EDDIES</t>
  </si>
  <si>
    <t>The Leeuwin Current is an anomalous poleward-flowing eastern boundary current that transports warm tropical waters southward and imposes significant ecological influences on the coastal marine ecosystems off Western Australia. In this study, we attempt to map the spatial structure of the sea surface temperature (SST) signature of the Leeuwin Current using MODIS satellite data, which is used to investigate the spatial and temporal variability of the Leeuwin Current for the period July 2002 to December 2012. A topographic Position Index (TPI) method is used to map the Leeuwin Current's SST signature from the MODIS SST images. The semi-automatic classification process involves automatically identifying areas occupied by warm SST waters of the Leeuwin Current and manually discarding detached Leeuwin Current features. The TPI mapping results enabled us to quantitatively examine the spatial and temporal variability of the Leeuwin Current's SST signature, including its spatial structure, extent, and cross-shelf migration, as well as its associated surface chlorophyll a characteristics. This study showed that the TPI mapping is able to capture the complex spatial structures of the Leeuwin Current, including its meanders, offshoots and eddies along its path, as reflected in the SST data. Using an eddy-resolving, data-assimilating numerical ocean model, we were able to relate the Leeuwin Current's SST signature with its surface current speed signature, though generally the speed signature is on the offshore side of the SST signature by about 25 to 30 km. Temporal wavelet analyses indicated that the variability of the Leeuwin Current's SST structure is dominated by seasonal cycle. During austral winter, the warm SST signature of the current is close to the shelf break, having greater spatial extent and higher chlorophyll a concentrations. In contrast, during austral summer, the SST signature of the current moves offshore, with reduced spatial extent and chlorophyll a concentrations. The Leeuwin Current also has notable inter-annual variation, to a large extent in response to ENSO variability in the Pacific. In El Nino years the current's SST signature tends to have reduced spatial extent, move further inshore, and increase its chlorophyll a concentrations. The opposite occurs during the La Nina years, especially after the unprecedented 2010-11 La Nina/Ningaloo Nino event when there was a significant reduction of the surface chlorophyll a concentration within the Leeuwin Current's SST signature. The mapping method developed in this study will be also useful in detecting climate driven variability of other ocean boundary current systems. Crown Copyright (C) 2015 Published by Elsevier Inc. All rights reserved.</t>
  </si>
  <si>
    <t>[Huang, Zhi] Geosci Australia, Canberra, ACT 2601, Australia; [Feng, Ming] CSIRO Oceans &amp; Atmosphere Flagship, Floreat, WA 6014, Australia</t>
  </si>
  <si>
    <t>Geoscience Australia; Commonwealth Scientific &amp; Industrial Research Organisation (CSIRO)</t>
  </si>
  <si>
    <t>Huang, Z (corresponding author), GPO Box 378, Canberra, ACT 2601, Australia.</t>
  </si>
  <si>
    <t>Zhi.Huang@ga.gov.au; Ming.Feng@csiro.au</t>
  </si>
  <si>
    <t>Feng, Ming/F-5411-2010; Huang, Zhi/I-7367-2019</t>
  </si>
  <si>
    <t>Huang, Zhi/0000-0003-1760-062X</t>
  </si>
  <si>
    <t>Australian Government's National Environmental Research Program (NERP); Western Australia Marine Science Institution; CSIRO Oceans and Atmosphere Flagship Ocean Downscaling Strategic Project</t>
  </si>
  <si>
    <t>Australian Government's National Environmental Research Program (NERP)(Australian Government); Western Australia Marine Science Institution; CSIRO Oceans and Atmosphere Flagship Ocean Downscaling Strategic Project</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</si>
  <si>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at the University of Tasmania, CSIRO, Geoscience Australia, Australian Institute of Marine Science, Museum Victoria, Charles Darwin University and the University of Western Australia. MF is supported by the Western Australia Marine Science Institution and the CSIRO Oceans and Atmosphere Flagship Ocean Downscaling Strategic Project. We thank Edward King (CSIRO) for providing MODIS images and SeaDAS software. Processing of MODIS data was undertaken using the National Computational Infrastructure facility at the Australian National University. Comments from Dr Francois Dufois (CSIRO) and Dr Scott Nichol (Geoscience Australia) and three anonymous reviewers have significantly improved the manuscript. This paper is published with permission of the Chief Executive Officer, Geoscience Australia.</t>
  </si>
  <si>
    <t>STE 800, 230 PARK AVE, NEW YORK, NY 10169 USA</t>
  </si>
  <si>
    <t>0034-4257</t>
  </si>
  <si>
    <t>1879-0704</t>
  </si>
  <si>
    <t>REMOTE SENS ENVIRON</t>
  </si>
  <si>
    <t>Remote Sens. Environ.</t>
  </si>
  <si>
    <t>10.1016/j.rse.2015.05.028</t>
  </si>
  <si>
    <t>Environmental Sciences; Remote Sensing; Imaging Science &amp; Photographic Technology</t>
  </si>
  <si>
    <t>Environmental Sciences &amp; Ecology; Remote Sensing; Imaging Science &amp; Photographic Technology</t>
  </si>
  <si>
    <t>CN7RU</t>
  </si>
  <si>
    <t>WOS:000358632500018</t>
  </si>
  <si>
    <t>Stapp, LS; Kreiss, CM; Pörtner, HO; Lannig, G</t>
  </si>
  <si>
    <t>Stapp, L. S.; Kreiss, C. M.; Poertner, H. O.; Lannig, G.</t>
  </si>
  <si>
    <t>Differential impacts of elevated CO2 and acidosis on the energy budget of gill and liver cells from Atlantic cod, Gadus morhua</t>
  </si>
  <si>
    <t>COMPARATIVE BIOCHEMISTRY AND PHYSIOLOGY A-MOLECULAR &amp; INTEGRATIVE PHYSIOLOGY</t>
  </si>
  <si>
    <t>Ocean acidification; Hypercapnia; Protein biosynthesis; Free amino acids; Oxygen consumption; Metabolic depression; Na+/K+-ATPase; H+-ATPase</t>
  </si>
  <si>
    <t>INTRACELLULAR PH REGULATION; INVERTEBRATE SIPUNCULUS-NUDUS; OCEAN ACIDIFICATION; BASE REGULATION; ENVIRONMENTAL HYPERCAPNIA; ANTARCTIC FISH; METABOLIC DEPRESSION; PROTEIN-SYNTHESIS; ISOLATED HEPATOCYTES; WHITE STURGEON</t>
  </si>
  <si>
    <t>Ocean acidification impacts fish and other marine species through increased seawater PCO2 levels (hypercapnia). Knowledge of the physiological mechanisms mediating effects in various tissues of fish is incomplete. Here we tested the effects of extracellular hypercapnia and acidosis on energy metabolism of gill and liver cells of Atlantic cod. Exposure media mimicked blood conditions in vivo, either during normo- or hypercapnia and at control or acidic extracellular pH (pH(e)). We determined metabolic rate and energy expenditure for protein biosynthesis, Na+/K+-ATPase and H+-ATPase and considered nutrition status by measurements of metabolic rate and protein biosynthesis in media with and without free amino acids (FAA). Addition of FAA stimulated hepatic but not branchial oxygen consumption. Normo- and hypercapnic acidosis as well as hypercapnia at control pH(e) depressed metabolic stimulation of hepatocytes. In gill cells, acidosis depressed respiration independent of PCO2 and FAA levels. For both cell types, depressed respiration was not correlated with the same reduction in energy allocated to protein biosynthesis or Na+/K+-ATPase. Hepatic energy expenditure for protein synthesis and Na+/K+-ATPase was even elevated at acidic compared to control pH(e) suggesting increased costs for ion regulation and cellular reorganization. Hypercapnia at control pH(e) strongly reduced oxygen demand of branchial Na+/K+-ATPase with a similar trend for H+-ATPase. We conclude that extracellular acidosis triggers metabolic depression in gill and metabolically stimulated liver cells. Additionally, hypercapnia itself seems to limit capacities for metabolic usage of amino acids in liver cells while it decreases the use and costs of ion regulatory ATPases in gill cells. (C) 2015 Elsevier Inc. All rights reserved.</t>
  </si>
  <si>
    <t>[Stapp, L. S.; Kreiss, C. M.; Poertner, H. O.; Lannig, G.] Helmholtz Ctr Polar &amp; Marine Res, Alfred Wegener Inst, Integrat Ecophysiol, D-27570 Bremerhaven, Germany; [Stapp, L. S.; Kreiss, C. M.; Poertner, H. O.] Univ Bremen, D-28359 Bremen, Germany</t>
  </si>
  <si>
    <t>Helmholtz Association; Alfred Wegener Institute, Helmholtz Centre for Polar &amp; Marine Research; University of Bremen</t>
  </si>
  <si>
    <t>Stapp, LS (corresponding author), Helmholtz Ctr Polar &amp; Marine Res, Alfred Wegener Inst, Integrat Ecophysiol, Handelshafen 12, D-27570 Bremerhaven, Germany.</t>
  </si>
  <si>
    <t>laura.stapp@awi.de</t>
  </si>
  <si>
    <t>Pörtner, Hans-O./K-9429-2016; Lannig, Gisela/D-5793-2017; Pörtner, Hans-O./ISU-9397-2023</t>
  </si>
  <si>
    <t>Pörtner, Hans-O./0000-0001-6535-6575; Lannig, Gisela/0000-0002-9210-256X</t>
  </si>
  <si>
    <t>Project BIOACID of the German Federal Ministry of Education and Research (BMBF) [FKZ 03F0608B]</t>
  </si>
  <si>
    <t>Project BIOACID of the German Federal Ministry of Education and Research (BMBF)(Federal Ministry of Education &amp; Research (BMBF))</t>
  </si>
  <si>
    <t>We would like to thank A. Tillmann for her support with the cell isolation procedure, the crew of FK Uthorn, S. Hardenberg and F. Veliz Moraleda for their help in finding, catching and keeping cod as well as K. Michael for useful discussions. Furthermore, we would like to thank the constructive criticism by two anonymous reviewers which greatly improved the manuscript. This research was funded by the Project BIOACID of the German Federal Ministry of Education and Research (BMBF; FKZ 03F0608B) and is a contribution to the PACES research programme of the Alfred Wegener Institute Helmholtz Centre for Polar and Marine Research.</t>
  </si>
  <si>
    <t>1095-6433</t>
  </si>
  <si>
    <t>1531-4332</t>
  </si>
  <si>
    <t>COMP BIOCHEM PHYS A</t>
  </si>
  <si>
    <t>Comp. Biochem. Physiol. A-Mol. Integr. Physiol.</t>
  </si>
  <si>
    <t>10.1016/j.cbpa.2015.05.009</t>
  </si>
  <si>
    <t>Biochemistry &amp; Molecular Biology; Physiology; Zoology</t>
  </si>
  <si>
    <t>CN0IA</t>
  </si>
  <si>
    <t>WOS:000358096100020</t>
  </si>
  <si>
    <t>Lewis, JM; Grove, TJ; O'Brien, KM</t>
  </si>
  <si>
    <t>Lewis, Johanne M.; Grove, Theresa J.; O'Brien, Kristin M.</t>
  </si>
  <si>
    <t>Energetic costs of protein synthesis do not differ between red- and white-blooded Antarctic notothenioid fishes</t>
  </si>
  <si>
    <t>Protein synthesis; Oxygen consumption rates; Antarctic notothenioids; Protein oxidation</t>
  </si>
  <si>
    <t>TROUT ONCORHYNCHUS-MYKISS; OXIDIZED PROTEINS; OXIDATIVE STRESS; CHAENOCEPHALUS-ACERATUS; TREMATOMUS-BERNACCHII; MYOGLOBIN EXPRESSION; ISOLATED HEPATOCYTES; GADUS-MORHUA; ATLANTIC COD; WHOLE-BODY</t>
  </si>
  <si>
    <t>Antarctic icefishes (Family Channichthyidae) within the suborder Notothenioidei lack the oxygen-binding protein hemoglobin (Hb), and six of the 16 species of icefishes lack myoglobin (Mb) in heart ventricle. As iron-centered proteins, Hb and Mb can promote the formation of reactive oxygen species (ROS) that damage biological macromolecules. Consistent with this, our previous studies have shown that icefishes have lower levels of oxidized proteins and lipids in oxidative muscle compared to red-blooded notothenioids. Because oxidized proteins are usually degraded by the 20S proteasome and must be resynthesized, we hypothesized that rates of protein synthesis would be lower in icefishes compared to red-blooded notothenioids, thereby reducing the energetic costs of protein synthesis and conferring a benefit to the loss of Hb and Mb. Rates of protein synthesis were quantified in hearts, and the fraction of oxygen consumption devoted to protein synthesis was measured in isolated hepatocytes and cardiomyocytes of notothenioids differing in the expression of Hb and cardiac Mb. Neither rates of protein synthesis nor the energetic costs of protein synthesis differed among species, suggesting that red-blooded species do not degrade and replace oxidatively modified proteins at a higher rate compared to icefishes but rather, persist with higher levels of oxidized proteins. (C) 2015 Elsevier Inc. All rights reserved.</t>
  </si>
  <si>
    <t>[Lewis, Johanne M.] Georgia So Univ, Dept Biol, Statesboro, GA 30458 USA; [Grove, Theresa J.] Valdosta State Univ, Dept Biol, Valdosta, GA 31698 USA; [O'Brien, Kristin M.] Univ Alaska, Inst Arctic Biol, Fairbanks, AK 99775 USA</t>
  </si>
  <si>
    <t>University System of Georgia; Georgia Southern University; University System of Georgia; Valdosta State University; University of Alaska System; University of Alaska Fairbanks</t>
  </si>
  <si>
    <t>O'Brien, KM (corresponding author), Univ Alaska, Inst Arctic Biol, Fairbanks, AK 99775 USA.</t>
  </si>
  <si>
    <t>kmobrien@alaska.edu</t>
  </si>
  <si>
    <t>US National Science Foundation [ANT-1043781]; Office of Polar Programs (OPP); Directorate For Geosciences [1043781] Funding Source: National Science Foundation</t>
  </si>
  <si>
    <t>US National Science Foundation(National Science Foundation (NSF)); Office of Polar Programs (OPP); Directorate For Geosciences(National Science Foundation (NSF)NSF - Directorate for Geosciences (GEO))</t>
  </si>
  <si>
    <t>We thank the support staff at the US Antarctic Research Station, Palmer Station, and the masters and crew of the ARSV Laurence M. Gould for their assistance in the field. We acknowledge technical assistance from Megan Hoffmann and Amanda Reynolds. We thank Dr. William Driedzic for his helpful comments on an earlier version of the manuscript. This research was supported by a grant (ANT-1043781) from the US National Science Foundation to K.M.O.</t>
  </si>
  <si>
    <t>10.1016/j.cbpa.2015.05.026</t>
  </si>
  <si>
    <t>WOS:000358096100022</t>
  </si>
  <si>
    <t>Bijl, PK; Brinkhuis, H</t>
  </si>
  <si>
    <t>Bijl, Peter K.; Brinkhuis, Henk</t>
  </si>
  <si>
    <t>A new genus and two new species of dinoflagellate cysts from lower Eocene marine sediments of the Wilkes Land Margin, Antarctica</t>
  </si>
  <si>
    <t>Antarctic Margin; Early Eocene; Organic walled dinoflagellate cyst taxonomy; Biostratigraphy</t>
  </si>
  <si>
    <t>SOUTH-PACIFIC; NEW-ZEALAND; CLIMATE; SECTOR; OCEAN</t>
  </si>
  <si>
    <t>Integrated Ocean Drilling Program (IODP) Expedition 318 recovered lower Eocene sediments in Hole U1356A from the continental rise of the Wilkes Land Margin, Antarctica. These sediments yielded a new genus of organic-walled dinoflagellate cysts (Adeliesphaera gen. nov.). We tentatively place this new genus within the suborder Gonyaulacineae, family Areoligeraceae, based on the obligate apical archeopyle, the asymmetric antapical geometry and the left-side offset sulcal notch. We herein describe the type species of Adeliesphaera gen. nov., Adeliesphaera ohanlonii sp. nov., as well as a new species of Turbiosphaera, Turbiosphaera guersteinae sp. nov. The short stratigraphic range of both species (53.7-53.4 Ma and 53.1-52.9 Ma, respectively) qualifies them as potentially important regional Southern Ocean stratigraphic markers for high-resolution age control. (C) 2015 Elsevier B.V. All rights reserved.</t>
  </si>
  <si>
    <t>[Bijl, Peter K.; Brinkhuis, Henk] Univ Utrecht, Fac Geosci, Dept Earth Sci, Marine Palynol &amp; Paleoceanog,Lab Paleobot &amp; Palyn, NL-3508 TC Utrecht, Netherlands; [Brinkhuis, Henk] NIOZ Royal Netherlands Inst Sea Res, NL-1790 AB Den Burg, Texel, Netherlands</t>
  </si>
  <si>
    <t>Utrecht University; Utrecht University; Royal Netherlands Institute for Sea Research (NIOZ)</t>
  </si>
  <si>
    <t>Bijl, PK (corresponding author), Univ Utrecht, Fac Geosci, Dept Earth Sci, Marine Palynol &amp; Paleoceanog,Lab Paleobot &amp; Palyn, POB 80-115, NL-3508 TC Utrecht, Netherlands.</t>
  </si>
  <si>
    <t>p.k.bijl@uu.nl</t>
  </si>
  <si>
    <t>Brinkhuis, Henk/IUO-8165-2023</t>
  </si>
  <si>
    <t>Brinkhuis, Henk/0000-0003-0253-6610; Bijl, Peter/0000-0002-1710-4012</t>
  </si>
  <si>
    <t>U.S. National Science Foundation; Dutch National Science Foundation (NWO) [866.10.110, 863.13.002]</t>
  </si>
  <si>
    <t>U.S. National Science Foundation(National Science Foundation (NSF)); Dutch National Science Foundation (NWO)(Netherlands Organization for Scientific Research (NWO))</t>
  </si>
  <si>
    <t>We thank Chris Clowes and one anonymous reviewer for their helpful comments, which really improved the manuscript. This research used samples from the Integrated Ocean Drilling Program (IODP). IODP was sponsored by the U.S. National Science Foundation and participating countries under management of Joined Oceanographic Institutions inc. Both authors thank the Dutch National Science Foundation (NWO; NPP Grant 866.10.110 to H.B.; VENI Grant 863.13.002 to P.K.B) for financial support. Natasja L.D. Welters is thanked for sample processing and slide preparation. Gea Zijlstra, Rob Fensome and Graham Williams are thanked for help with taxonomy and nomenclature.</t>
  </si>
  <si>
    <t>10.1016/j.revpalbo.2015.05.004</t>
  </si>
  <si>
    <t>CM1KC</t>
  </si>
  <si>
    <t>WOS:000357438800007</t>
  </si>
  <si>
    <t>Repschläger, J; Weinelt, M; Andersen, N; Garbe-Schönberg, D; Schneider, R</t>
  </si>
  <si>
    <t>Repschlaeger, Janne; Weinelt, Mara; Andersen, Nils; Garbe-Schoenberg, Dieter; Schneider, Ralph</t>
  </si>
  <si>
    <t>Northern source for Deglacial and Holocene deepwater composition changes in the Eastern North Atlantic Basin</t>
  </si>
  <si>
    <t>AMOC; deglacial; deepwater; temperatures; stable isotopes; North Atlantic</t>
  </si>
  <si>
    <t>BENTHIC FORAMINIFERA; OCEAN CIRCULATION; BOTTOM-WATER; CARBON; TEMPERATURE; SEA; VARIABILITY; MG/CA; DELTA-C-13; STRENGTH</t>
  </si>
  <si>
    <t>Over the last decades extensive research has been carried out on changes in the Atlantic Meridional Overturning Circulation and its role during the last deglacial period. At present, only a few high-resolution data sets from the deep eastern North Atlantic exist for this period. It therefore remains uncertain whether deepwater changes in the Eastern North Atlantic Basin were governed by alternating contributions of northern and southern deepwater or whether the Eastern North Atlantic Basin reflects changes in the initial composition and source of North Atlantic deepwater. Furthermore, it is still debated whether such changes are triggered by Northern or Southern Hemisphere climatic changes. In this centennial to decadal scale resolution study we investigate deepwater composition changes in the Eastern North Atlantic Basin over the last 15 ka BR We used sediment cores GEOFAR KF16 and MD08-3180 (37.984 degrees N; 31.118 degrees W, wd 3050 m/37.999 degrees N; 31.134 degrees W, wd 3064 m), obtained from a small basin at the eastern flank of the Mid Atlantic Ridge south of the Azores Islands. Under modern conditions the coring site is situated at the boundary between southern Lower Deep Water and northern Eastern North Atlantic Deep Water consisting of Iceland Scotland Overflow Water and Labrador Sea Water. Distinct differences between the three water masses in terms of ventilation state, temperature and salinity signatures are ideal for tracking changes in the deglacial North Atlantic deepwater distribution using paired benthic foraminiferal stable isotopes (delta C-13, delta O-18) and Mg/Ca bottom water temperature reconstructions. The results show a close coupling of low bottom water temperature (1.5 degrees C) and delta C-13 (0-0.5 parts per thousand) values during cold Heinrich event 1, the Younger Dryas and the Preboreal, that were coeval with a major delta O-18 depletion of deepwater. The strong similarities between subtropical Eastern North Atlantic Deep Water and subpolar North Atlantic surface and deepwater changes indicate that deglacial changes in Eastern North Atlantic Deep Water distribution were triggered in the North Atlantic. Consequently, this would imply that changes in the North Atlantic also contributed to deglacial changes in Antarctic bottom water composition. During the early Holocene stepwise increasing delta C-13 values suggest increasing Eastern North Atlantic Deep Water production and/or increasing Eastern North Atlantic Deep Water ventilation with minor but distinct interruptions (at 10.8, 10.6, 9.1, 8.4, 8.1 and 7.2 ka BP), which were most probably also triggered in the subpolar North Atlantic. (C) 2015 Elsevier B.V. All rights reserved.</t>
  </si>
  <si>
    <t>[Repschlaeger, Janne; Garbe-Schoenberg, Dieter; Schneider, Ralph] Univ Kiel, Inst Geosci, D-24118 Kiel, Germany; [Weinelt, Mara] Univ Kiel, Inst Prehist &amp; Protohist Archaeol, D-24118 Kiel, Germany; [Andersen, Nils] Univ Kiel, Leibniz Lab Radiometr Dating &amp; Stable Isotope Res, D-24118 Kiel, Germany</t>
  </si>
  <si>
    <t>University of Kiel; University of Kiel; University of Kiel</t>
  </si>
  <si>
    <t>Repschläger, J (corresponding author), Univ Kiel, Inst Geosci, Ludewig Meyn Str 10, D-24118 Kiel, Germany.</t>
  </si>
  <si>
    <t>jr@gpi.uni-kiel.de; mweinelt@gshdl.uni-kiel.de; nandersen@leibniz.uni-kiel.de; dgs@gpi.uni-kiel.de; schneider@gpi.uni-kiel.de</t>
  </si>
  <si>
    <t>Garbe-Schönberg, Dieter/E-2439-2016; Weinelt, Mara/AAD-5295-2020; Garbe-Schönberg, Dieter/AAO-3827-2020</t>
  </si>
  <si>
    <t>Garbe-Schönberg, Dieter/0000-0001-9006-9463; Schneider, Ralph/0000-0003-1453-9181; Weinelt, Mara/0000-0001-5438-4546</t>
  </si>
  <si>
    <t>European Science Foundation (ESF) under the EUROCORES Program EuroMARC through of the European Comission [ERAS-CT-2003-980409]; German Science Foundation (DFG) [WE 2679/6-1]</t>
  </si>
  <si>
    <t>European Science Foundation (ESF) under the EUROCORES Program EuroMARC through of the European Comission; German Science Foundation (DFG)(German Research Foundation (DFG))</t>
  </si>
  <si>
    <t>We would like to thank M. Regenberg, K. Bremer, U. Westernstroer, for laboratory assistance and Mg/Ca data discussions and N. Fraser for proof reading. The results represented here are obtained from cores taken onboard R.V. Marion Dufresne (French Polar Institute, IPEV) during the IMAGES-AMOCINT MD168-cruise in the framework of the 06-EuroMARC-FP-006 Project. We thank the captain and the crew, as well as our colleagues onboard for their help. This manuscript has been made possible thanks to the support from the European Science Foundation (ESF) under the EUROCORES Program EuroMARC through contract No. ERAS-CT-2003-980409 of the European Comission. Financial support is given by the German Science Foundation (DFG) grant number WE 2679/6-1. Furthermore we would like to thank Mr. Bernard Dennielou and Ifremer for providing us with material from core GEOFAR KF16.</t>
  </si>
  <si>
    <t>10.1016/j.epsl.2015.05.009</t>
  </si>
  <si>
    <t>CM5UU</t>
  </si>
  <si>
    <t>WOS:000357755300024</t>
  </si>
  <si>
    <t>Lechner, AM; Doerr, V; Harris, RMB; Doerr, E; Lefroy, EC</t>
  </si>
  <si>
    <t>Lechner, Alex M.; Doerr, Veronica; Harris, Rebecca M. B.; Doerr, Erik; Lefroy, Edward C.</t>
  </si>
  <si>
    <t>A framework for incorporating fine-scale dispersal behaviour into biodiversity conservation planning</t>
  </si>
  <si>
    <t>LANDSCAPE AND URBAN PLANNING</t>
  </si>
  <si>
    <t>Connectivity; Dispersal; Circuitscape; Graph theory; Least-cost paths; Conservation planning</t>
  </si>
  <si>
    <t>GAP-CROSSING DECISIONS; LANDSCAPE CONNECTIVITY; HABITAT PATCHES; GRAPH-THEORY; MODELS; CONFIGURATION; UNCERTAINTY; CORRIDORS; LINKAGES; ECOLOGY</t>
  </si>
  <si>
    <t>Fine-scale landscape features such as scattered trees are increasingly thought to be critical for dispersal, and need to be considered in connectivity modelling and planning. Yet existing modelling approaches struggle to adequately take fine-scale features and threshold dynamics of dispersal behaviour into account, in part because of computational limitations. We present a framework for modelling connectivity at fine spatial resolutions over large spatial extents. Our framework involves a novel approach to characterising fine-scale dispersal behaviour within the context of existing modelling methods, and uses key parameters of dispersal behaviour to link models and their interpretation at multiple scales. We address computational limitations by creating a gap-crossing threshold layer, which identifies areas where dispersal is possible because of the presence and spacing of fine-scale connectivity elements. This layer is combined with a dispersal-cost layer within a graph-network analysis to identify the optimal least-cost path between patches. Graph metrics are used to assess the importance of specific patches at the regional-scale and to describe connectivity for the whole landscape. A local-scale connectivity model using the Circuitscape software complements the regional analysis outputs by considering all possible pathways across a landscape simultaneously rather than a single least-cost path. The framework was designed specifically to be applied by land use planners who need to quantify the impacts of property development on fine-scale connectivity, yet need to assess implications at the regional scale. We demonstrate the framework by applying it in the Lower Hunter region, Australia. (C) 2015 Elsevier B.V. All rights reserved.</t>
  </si>
  <si>
    <t>[Lechner, Alex M.; Lefroy, Edward C.] Univ Tasmania, Ctr Environm, Hobart, Tas 7001, Australia; [Lechner, Alex M.] Univ Queensland, Sustainable Minerals Inst, Ctr Social Responsibil Min, Brisbane, Qld 4072, Australia; [Doerr, Veronica; Doerr, Erik] CSIRO Ecosyst Sci, Canberra, ACT 2601, Australia; [Doerr, Veronica; Doerr, Erik] Australian Natl Univ, Res Sch Biol, Acton, ACT 0200, Australia; [Harris, Rebecca M. B.] Univ Tasmania, Antarctic Climate &amp; Ecosyst Cooperat Res Ctr, Hobart, Tas 7000, Australia</t>
  </si>
  <si>
    <t>University of Tasmania; University of Queensland; Commonwealth Scientific &amp; Industrial Research Organisation (CSIRO); Ecosystem Sciences; Australian National University; Antarctic Climate &amp; Ecosystems Cooperative Research Centre (ACE CRC); University of Tasmania</t>
  </si>
  <si>
    <t>Lechner, AM (corresponding author), Univ Tasmania, Ctr Environm, Private Bag 141, Hobart, Tas 7001, Australia.</t>
  </si>
  <si>
    <t>a.lechner@uq.edu.au</t>
  </si>
  <si>
    <t>Doerr, Veronica/A-2150-2011; Doerr, Erik D/A-9797-2011; Lefroy, Edward/J-7144-2014; Harris, Rebecca/N-2790-2013</t>
  </si>
  <si>
    <t>Lefroy, Edward/0000-0002-3164-8948; Harris, Rebecca/0000-0002-6426-2179; Lechner, Alex/0000-0003-2050-9480</t>
  </si>
  <si>
    <t>Australian Government Sustainable Regional Development Program; National Environmental Research Program's Landscapes and Policy research Hub</t>
  </si>
  <si>
    <t>Australian Government Sustainable Regional Development Program(Australian Government); National Environmental Research Program's Landscapes and Policy research Hub</t>
  </si>
  <si>
    <t>This project was funded by the Australian Government Sustainable Regional Development Program in conjunction with the National Environmental Research Program's Landscapes and Policy research Hub. We would like to thank the reviewers for providing detailed and constructive feedback and sincerely think the manuscript is much improved because of their contributions. We would also like to thank the following people and organisations; Michael Lacy, Tom Barrett, Michael Drielsma, Jamie Love, Meredith Laing, Ellen Saxon, HCCREMs, Sue Gould, Dave Osborn and Randal Storey. Special thanks to Robbie Economos and colleagues at Lake Macquarie Council who improved the gap-crossing layer modelling method. Finally, thanks to the many other people who provided feedback.</t>
  </si>
  <si>
    <t>0169-2046</t>
  </si>
  <si>
    <t>1872-6062</t>
  </si>
  <si>
    <t>LANDSCAPE URBAN PLAN</t>
  </si>
  <si>
    <t>Landsc. Urban Plan.</t>
  </si>
  <si>
    <t>10.1016/j.landurbplan.2015.04.008</t>
  </si>
  <si>
    <t>Ecology; Environmental Studies; Geography; Geography, Physical; Regional &amp; Urban Planning; Urban Studies</t>
  </si>
  <si>
    <t>Environmental Sciences &amp; Ecology; Geography; Physical Geography; Public Administration; Urban Studies</t>
  </si>
  <si>
    <t>CM2YM</t>
  </si>
  <si>
    <t>WOS:000357548300002</t>
  </si>
  <si>
    <t>Jalali, MA; Ierodiaconou, D; Monk, J; Gorfine, H; Rattray, A</t>
  </si>
  <si>
    <t>Jalali, M. Ali; Ierodiaconou, Daniel; Monk, Jacquomo; Gorfine, Harry; Rattray, Alex</t>
  </si>
  <si>
    <t>Predictive mapping of abalone fishing grounds using remotely-sensed LiDAR and commercial catch data</t>
  </si>
  <si>
    <t>Distribution modeling; LiDAR bathymetry; GPS records; Fishing grounds; Haliotis rubra</t>
  </si>
  <si>
    <t>HABITAT SUITABILITY; POSTSETTLEMENT SURVIVAL; SUITABLE HABITAT; TERRAIN ANALYSIS; AIRBORNE LIDAR; FISHERIES; REEF; GIS; DISTRIBUTIONS; MANAGEMENT</t>
  </si>
  <si>
    <t>Defining the geographic extent of suitable fishing grounds at a scale relevant to resource exploitation for commercial benthic species can be problematic. Bathymetric light detection and ranging (LiDAR) systems provide an opportunity to enhance ecosystem-based fisheries management strategies for coastally distributed benthic fisheries. In this study we define the spatial extent of suitable fishing grounds for the blacklip abalone (Haliotis rubra) along 200 linear kilometers of coastal waters for the first time, demonstrating the potential for integration of remotely-sensed data with commercial catch information. Variables representing seafloor structure, generated from airborne bathymetric LiDAR were combined with spatially-explicit fishing event data, to characterize the geographic footprint of the western Victorian abalone fishery, in south-east Australia. A MaxEnt modeling approach determined that bathymetry, rugosity and complexity were the three most important predictors in defining suitable fishing grounds (AUC = 0.89). Suitable fishing grounds predicted by the model showed a good relationship with catch statistics within each sub-zone of the fishery, suggesting that model outputs may be a useful surrogate for potential catch. (C) 2015 Elsevier B.V. All rights reserved.</t>
  </si>
  <si>
    <t>[Jalali, M. Ali; Ierodiaconou, Daniel; Monk, Jacquomo; Rattray, Alex] Deakin Univ, Ctr Integrat Ecol, Sch Life &amp; Environm Sci, Fac Sci Engn &amp; Built Environm, Warrnambool, Vic, Australia; [Monk, Jacquomo] Univ Tasmania, Inst Marine &amp; Antarctic Studies, Hobart, Tas 7001, Australia; [Gorfine, Harry] Queenscliff Ctr, DEDJTR, Dept Econ Dev Jobs Transport &amp; Resources, Queenscliff, Vic, Australia; [Rattray, Alex] Univ Pisa, Dipartimento Biol, I-56126 Pisa, Italy; [Gorfine, Harry] RMIT Univ, Sch Math &amp; Geospatial Sci, Melbourne, Vic, Australia</t>
  </si>
  <si>
    <t>Deakin University; University of Tasmania; University of Pisa; Royal Melbourne Institute of Technology (RMIT)</t>
  </si>
  <si>
    <t>Ierodiaconou, D (corresponding author), Deakin Univ, Ctr Integrat Ecol, Sch Life &amp; Environm Sci, Fac Sci Engn &amp; Built Environm, Warrnambool, Vic, Australia.</t>
  </si>
  <si>
    <t>iero@deakin.edu.au</t>
  </si>
  <si>
    <t>Rattray, Alex J/I-8172-2012; Gorfine, Harry/GOE-3967-2022; Ierodiaconou, Daniel A/B-9915-2008</t>
  </si>
  <si>
    <t>Gorfine, Harry/0000-0001-6933-3389; Rattray, Alex/0000-0002-8591-6688; Ierodiaconou, Daniel/0000-0002-7832-4801; Monk, Jacquomo/0000-0002-1874-0619</t>
  </si>
  <si>
    <t>Fisheries Research and Development Corporation (FRDC) [2011-033]; Deakin University Postgraduate Research Scholarship</t>
  </si>
  <si>
    <t>Fisheries Research and Development Corporation (FRDC)(Fisheries R&amp;D Corp); Deakin University Postgraduate Research Scholarship</t>
  </si>
  <si>
    <t>This project was funded by the Fisheries Research and Development Corporation (FRDC) project 2011-033 awarded to DI and HG. We thank the Western Abalone Divers Association (WADA) in Victoria for providing GPS log data of fishing events for blacklip abalone. Special thanks to the former Department of Sustainability and Environment (DSE) for providing the LiDAR bathymetry collected for the Future Coasts Program. M.A.J. was supported by a Deakin University Postgraduate Research Scholarship. Spatial analyses were performed using GIS laboratory facilities at Deakin University, Warrnambool, Victoria.</t>
  </si>
  <si>
    <t>10.1016/j.fishres.2015.04.009</t>
  </si>
  <si>
    <t>CM0EN</t>
  </si>
  <si>
    <t>WOS:000357351300004</t>
  </si>
  <si>
    <t>Poigner, H; Wilhelms-Dick, D; Abele, D; Staubwasser, M; Henkel, S</t>
  </si>
  <si>
    <t>Poigner, Harald; Wilhelms-Dick, Dorothee; Abele, Doris; Staubwasser, Michael; Henkel, Susann</t>
  </si>
  <si>
    <t>Iron assimilation by the clam Laternula elliptica: Do stable isotopes (δ56Fe) help to decipher the sources?</t>
  </si>
  <si>
    <t>Iron; Stable isotopes; Hemolymph; Bivalve; Antarctica</t>
  </si>
  <si>
    <t>KING GEORGE ISLAND; METAL CONCENTRATIONS; CONTINENTAL-SHELF; DECEPTION-ISLAND; FE; FRACTIONATION; ACCUMULATION; SEDIMENT; BLOOD; FLUX</t>
  </si>
  <si>
    <t>Iron stable isotope signatures (delta Fe-56) in hemolymph (bivalve blood) of the Antarctic bivalve Laternula elliptica were analyzed by Multiple Collector-Inductively Coupled Plasma-Mass Spectrometry (MC-ICP-MS) to test whether the isotopic fingerprint can be tracked back to the predominant sources of the assimilated Fe. An earlier investigation of Fe concentrations in L. elliptica hemolymph suggested that an assimilation of reactive and bioavailable Fe (oxyhydr)oxide particles (i.e. ferrihydrite), precipitated from pore water Fe around the benthic boundary, is responsible for the high Fe concentration in L. elliptica (Poigner et al., 2013b). At two stations in Potter Cove (King George Island, Antarctica) bivalve hemolymph showed mean delta Fe-56 values of -1.19 +/- 0.34 parts per thousand and -1.04 +/- 0.39 parts per thousand, respectively, which is between 0.5%, and 0.85%e lighter than the pool of easily reducible Fe (oxyhydr)oxides of the surface sediments (-0.3 parts per thousand to -0.6 parts per thousand). This is in agreement with the enrichment of lighter Fe isotopes at higher trophic levels, resulting from the preferential assimilation of light isotopes from nutrition. Nevertheless, delta Fe-56 hemolymph values from both stations showed a high variability, ranging between 0.21%. (value close to unaltered/primary Fe(oxyhydr)oxide minerals) and -1.91 parts per thousand (typical for pore water Fe or diagenetic Fe precipitates), which we interpret as a mixed delta Fe-56 signature caused by Fe assimilation from different sources with varying Fe contents and delta Fe-56 values. Furthermore, mass dependent Fe fractionation related to physiological processes within the bivalve cannot be ruled out. This is the first study addressing the potential of Fe isotopes for tracing back food sources of bivalves. (C) 2015 Elsevier Ltd. All rights reserved.</t>
  </si>
  <si>
    <t>[Poigner, Harald; Wilhelms-Dick, Dorothee; Abele, Doris; Henkel, Susann] Alfred Wegener Inst Helmholtz Ctr Polar &amp; Marine, D-27570 Bremerhaven, Germany; [Staubwasser, Michael; Henkel, Susann] Univ Cologne, Inst Geol &amp; Mineral, D-50674 Cologne, Germany</t>
  </si>
  <si>
    <t>Helmholtz Association; Alfred Wegener Institute, Helmholtz Centre for Polar &amp; Marine Research; University of Cologne</t>
  </si>
  <si>
    <t>Poigner, H (corresponding author), Alfred Wegener Inst Helmholtz Ctr Polar &amp; Marine, D-27570 Bremerhaven, Germany.</t>
  </si>
  <si>
    <t>Harald.Poigner@awi.de; Doris.Abele@awi.de</t>
  </si>
  <si>
    <t>Henkel, Susann/S-4924-2016; Henkel, Susann/AAR-3270-2021; Staubwasser, Michael/N-4021-2015</t>
  </si>
  <si>
    <t>Henkel, Susann/0000-0001-7490-0237; Staubwasser, Michael/0000-0002-5892-1115; Abele, Doris/0000-0002-5766-5017</t>
  </si>
  <si>
    <t>German Research Foundation (DFG) [AB 124/11-1, STA 936/5-1, KA 2769/3-1, 1158]; DFG [GRK 717]</t>
  </si>
  <si>
    <t>German Research Foundation (DFG)(German Research Foundation (DFG)); DFG(German Research Foundation (DFG))</t>
  </si>
  <si>
    <t>This work was supported by the German Research Foundation (DFG) under grants AB 124/11-1, STA 936/5-1, and KA 2769/3-1 in the framework of priority program 1158 (Antarctic Research with Comparable Investigations in Arctic Sea Ice Areas) and is associated to the IMCOAST project. Dorothee Wilhelms-Dick acknowledges the DFG for financial support (GRK 717: Proxies in Earth History). We also thank the reviewer and the editor who greatly improved the manuscript.</t>
  </si>
  <si>
    <t>10.1016/j.chemosphere.2015.04.067</t>
  </si>
  <si>
    <t>CK9GV</t>
  </si>
  <si>
    <t>WOS:000356549500040</t>
  </si>
  <si>
    <t>Parodi, B; Londonio, A; Polla, G; Smichowski, P</t>
  </si>
  <si>
    <t>Parodi, Belen; Londonio, Agustin; Polla, Griselda; Smichowski, Patricia</t>
  </si>
  <si>
    <t>On-line solid phase extraction of bismuth by FI-HG-AAS using L-proline immobilised on carbon nanotubes combined with factorial design</t>
  </si>
  <si>
    <t>Bismuth; Preconcentration; FI-HG-AAS; L-Proline immobilised on CNTs; Factor analysis; Waters</t>
  </si>
  <si>
    <t>CONTROLLED-PORE GLASS; HYDRIDE GENERATION; ENVIRONMENTAL-SAMPLES; EMISSION-SPECTROMETRY; SPECIATION ANALYSIS; TRACE AMOUNTS; L-METHIONINE; PRECONCENTRATION; ANTIMONY; WATERS</t>
  </si>
  <si>
    <t>This study explores further the analytical capabilities of functionalised multiwalled carbon nanotubes with L-proline (pro-MWCNTs) for the reliable preconcentration and determination of Bi(III) in waters using an online flow injection hydride generation atomic absorption spectrometry (FI-HG-AAS) system. To avoid carbon nanoparticles aggregation, the preconcentration was carried out on a microcolumn filled with functionalised pro-MWCNTs and a low molecular weight polyethylene. The optimisation was performed by employing a full factorial design. The factors related to the optimisation process were the concentration of eluent and pH of the sample. The best performance was achieved packing the substrate in a microcolumn of 2.3 mm (i.d) x 25 mm (pro-MWCNTs net length: 10 mm), the pH was 7.0 and the concentration of the eluent (HCl) was 10% (v/v). Under optimal conditions, the adsorption capacity of the substrate was found to be 0.1 mg g(-1) reaching a preconcentration factor (PF) of 160. A detection limit (3 sigma) of 0.7 ng L-1 was achieved, when using only 3.0 mg of substrate. Interferences affecting Bi(III) signal were carefully studied. Precision, expressed as relative standard deviation (RSD) turned to be 1.5% at the 0.1 mu g L-1 level (n = 10). Accuracy test for the entire analytical procedure was performed by means of the Standard Reference Material (SRM) NIST 1643e (trace elements in water) and results were in good agreement with the certified values. The system was evaluated for quantitative determination of Bi(III) in different categories of waters. (C) 2015 Elsevier B.V. All rights reserved.</t>
  </si>
  <si>
    <t>[Parodi, Belen] Inst Nacl Tecnol Ind, Ctr Invest &amp; Desarrollo Mecan, Buenos Aires, DF, Argentina; [Parodi, Belen; Londonio, Agustin] Univ San Martin, Inst Invest Ingn Ambiental 3iA, RA-1650 Buenos Aires, DF, Argentina; [Londonio, Agustin; Smichowski, Patricia] Comis Nacl Energia Atom, Gerencia Quim, Buenos Aires, DF, Argentina; [Polla, Griselda] Comis Nacl Energia Atom, Gerencia Invest &amp; Aplicaciones, Buenos Aires, DF, Argentina; [Smichowski, Patricia] Consejo Nacl Invest Cient &amp; Tecn, Buenos Aires, DF, Argentina</t>
  </si>
  <si>
    <t>Instituto Nacional de Tecnologia Industrial (INTI); Comision Nacional de Energia Atomica (CNEA); Comision Nacional de Energia Atomica (CNEA); Consejo Nacional de Investigaciones Cientificas y Tecnicas (CONICET)</t>
  </si>
  <si>
    <t>Smichowski, P (corresponding author), Comis Nacl Energia Atom, Gerencia Quim, Av Gral Paz 1499,B1650KNA San Martin, Buenos Aires, DF, Argentina.</t>
  </si>
  <si>
    <t>belen@inti.gob.ar; londonio@cnea.gov.ar; grispoll@cnea.gov.ar; smichows@cnea.gov.ar</t>
  </si>
  <si>
    <t>CONICET [PIP 486]; ANPCyT [PICT 1195]</t>
  </si>
  <si>
    <t>CONICET(Consejo Nacional de Investigaciones Cientificas y Tecnicas (CONICET)); ANPCyT(ANPCyT)</t>
  </si>
  <si>
    <t>The authors thank Agustin Negri (Physics Department, CNEA) for providing the Antarctic water sample. PS thanks CONICET (Project PIP 486) and ANPCyT (Project PICT 1195) for funds. BP acknowledges Gustavo Lafogiannis for his kind cooperation.</t>
  </si>
  <si>
    <t>10.1016/j.microc.2015.04.014</t>
  </si>
  <si>
    <t>WOS:000356748200013</t>
  </si>
  <si>
    <t>GhoshBikramjit; BridleAndrew, R; NowakBarbara, F; CainKenneth, D</t>
  </si>
  <si>
    <t>GhoshBikramjit; BridleAndrew, R.; NowakBarbara, F.; CainKenneth, D.</t>
  </si>
  <si>
    <t>Assessment of immune response and protection against bacterial coldwater disease induced by a live-attenuated vaccine delivered orally or intraperitoneally to rainbow trout, Oncorhynchus mykiss (Walbaum)</t>
  </si>
  <si>
    <t>AQUACULTURE</t>
  </si>
  <si>
    <t>Live attenuated; Oral vaccine; Coldwater disease; Flavobacterium psychrophilum; Microencapsulation; Rainbow trout</t>
  </si>
  <si>
    <t>FLAVOBACTERIUM-PSYCHROPHILUM; SODIUM ALGINATE; ANTIMICROBIAL RESISTANCE; VIBRIO-VULNIFICUS; HUMORAL RESPONSE; COMMON CARP; IMMUNIZATION; EFFICACY; FISH; STRAIN</t>
  </si>
  <si>
    <t>Flavobacterium psychrophilum is the causative agent of bacterial coldwater disease (BCWD), which has a major global impact on salmonid aquaculture. A candidate live-attenuated F. psychrophilum vaccine strain, CSF259-93B.17 (B17), has been developed and shown to provide significant protection when delivered by intraperitoneal (IP) or immersion routes. This study examined immune response in rainbow trout and protection induced by B17 grown in iron-limited conditions against BCWD, when administered either orally or via injection. B17 was administered via both routes with and without alginate microencapsulation, and comparative protective efficacy was assessed. The microencapsulation method used successfully encapsulated viable B17 bacteria. Fewer micro-encapsulated B17 cells were available per unit volume of vaccine compared to unencapsulated bacteria. However, protection did not significantly differ for microencapsulated and unencapsulated B17 bacteria regardless of the route of delivery. Despite substantially elevated challenge pressure, both oral and IP delivery achieved significantly better protection than controls, and orally administered B17 achieved protection levels comparable to those achieved by IP immunisation. Serum antibody production response was slower in orally immunised fish, but achieved similar titres to IP immunised fish prior to bacterial challenge. The study indicated that with further optimisation, oral delivery of B17 may form a beneficial component of vaccination strategies, and contribute to the overall management of BCWD at salmonid hatcheries. Statement of relevance F. psychrophilum is the causative agent of bacterial coldwater disease (BCWD), which is a significant impediment to salmonid aquaculture worldwide. In this study, we evaluate the protection and antibody response against BCWD elicited in rainbow trout by immunisation with a live attenuated strain of F. psychrophilum, delivered by oral or intraperitoneal injection routes. In addition, we assess the effect of alginate microencapsulation on the efficacy of this vaccine candidate. We show that it is possible to elicit both an antibody response and measurable reduction in mortality by oral administration of the vaccine, even under elevated pathogenic challenge pressure. (C) 2015 Elsevier B.V. All rights reserved.</t>
  </si>
  <si>
    <t>[GhoshBikramjit; BridleAndrew, R.; NowakBarbara, F.] Univ Tasmania, Inst Marine &amp; Antarctic Sci, Launceston, Tas 7250, Australia; [CainKenneth, D.] Univ Idaho, Dept Fish &amp; Wildlife Resources, Moscow, ID 83844 USA</t>
  </si>
  <si>
    <t>University of Tasmania; Idaho; University of Idaho</t>
  </si>
  <si>
    <t>GhoshBikramjit (corresponding author), Univ Tasmania, Inst Marine &amp; Antarctic Sci, Locked Bag 1370, Launceston, Tas 7250, Australia.</t>
  </si>
  <si>
    <t>bikramjit.ghosh@utas.edu.au; andrew.bridle@utas.edu.au; b.nowak@utas.edu.au; kcain@uidaho.edu</t>
  </si>
  <si>
    <t>CAIN, KEN/ABC-2818-2020; Ghosh, Bikramjit/P-4916-2016; Nowak, Barbara/J-7261-2014</t>
  </si>
  <si>
    <t>Cain, Kenneth/0000-0002-9488-0461; Ghosh, Bikramjit/0000-0002-5144-263X; Bridle, Andrew/0000-0002-5788-1297; Nowak, Barbara/0000-0002-0347-643X</t>
  </si>
  <si>
    <t>0044-8486</t>
  </si>
  <si>
    <t>1873-5622</t>
  </si>
  <si>
    <t>Aquaculture</t>
  </si>
  <si>
    <t>10.1016/j.aquaculture.2015.04.035</t>
  </si>
  <si>
    <t>CJ7JU</t>
  </si>
  <si>
    <t>WOS:000355672000032</t>
  </si>
  <si>
    <t>Smykla, J; Drewnik, M; Szarek-Gwiazda, E; Hii, YS; Knap, W; Emslie, SD</t>
  </si>
  <si>
    <t>Smykla, Jerzy; Drewnik, Marek; Szarek-Gwiazda, Ewa; Hii, Yii Siang; Knap, Wieslaw; Emslie, Steven D.</t>
  </si>
  <si>
    <t>Variation in the characteristics and development of soils at Edmonson Point due to abiotic and biotic factors, northern Victoria Land, Antarctica</t>
  </si>
  <si>
    <t>Geochemistry; Bio-elements; Soil development; Ecosystem processes; Ornithogenic; Penguins</t>
  </si>
  <si>
    <t>KING-GEORGE-ISLAND; ROSS SEA REGION; ADELIE PENGUIN ROOKERIES; SOUTH-SHETLAND ISLANDS; MCMURDO DRY VALLEYS; ORNITHOGENIC SOILS; CLIMATE-CHANGE; CONTINENTAL ANTARCTICA; WINDMILL ISLANDS; TERRESTRIAL</t>
  </si>
  <si>
    <t>The lack of baseline surveys of soil environments in many areas of Antarctica provides an impediment to understanding their suitability for supporting biotic communities and limits abilities to monitor and predict impacts of environmental changes. A soil survey was conducted at Edmonson Point (Victoria Land) within representative local environments to identify their variability and drivers of soil processes and geochemistry. The soils were coarse-textured and lacked cohesion and structural development. The parent material was homogenous, and consisted of weathered and unconsolidated basaltic lavas and scoria. Despite these similarities, the soils varied significantly with the variation driven by local environmental and biotic factors. Penguins had the greatest influence, deposited guano altered soil processes leading to profound changes in soil characteristics. The ornithogenic soils were rich in penguin bio-elements, with low C/N, high EC and large variation in pH. Contents of N and C declined at comparable rates as C/N values did not change with time. Ornithogenic P was not readily lost, resulting in its high concentrations in relict soils. Abundant bacteria played a key role in these processes, but after cessation of guano inputs bacterial numbers and activity declined considerably. Alternatively, rich autotrophic microflora had a little influence on ornithogenic soil geochemistry. Characteristics and development of mineral soils were driven by hydrology and associated biological processes. Dry fellfield soils were the most immature, as indicated by more coarse-grained material, neutral pH, low EC and C/N values, scarce microflora and elemental content corresponding to typical background values. Alternatively, soils from moss communities and wetlands had higher amounts of fine-grained material, C, N and C/N values and lower pH that resulted from accumulation of organic matter. Elemental concentrations in soils from moss communities were similar to those in fellfields, but were elevated in wetland soils. While C and N contents seemed to be controlled by biotic communities, geochemistry of other elements was driven by external inputs. Although some inputs may originate from substratum weathering in the surrounding areas, marine-derived elements redistributed with penguin guano seemed to be the major source of the enrichment Analyses of the origin and distribution of the soil elements may provide valuable records for reconstruction of geochemical and environmental processes in Antarctic terrestrial ecosystems. (C) 2015 Elsevier B.V. All rights reserved.</t>
  </si>
  <si>
    <t>[Smykla, Jerzy; Szarek-Gwiazda, Ewa] Polish Acad Sci, Inst Nat Conservat, PL-31120 Krakow, Poland; [Drewnik, Marek] Jagiellonian Univ, Dept Pedol &amp; Soil Geog, Inst Geog &amp; Spatial Management, Krakow, Poland; [Hii, Yii Siang] Univ Malaysia Terengganu, Inst Oceanog &amp; Environm, Kuala Terengganu 21030, Terengganu, Malaysia; [Knap, Wieslaw] AGH Univ Sci &amp; Technol, Dept Hydrogeol &amp; Geol Engn, Fac Geol Geophys &amp; Environm Protect, PL-30059 Krakow, Poland; [Smykla, Jerzy; Emslie, Steven D.] Univ N Carolina, Dept Biol &amp; Marine Biol, Wilmington, NC 28403 USA</t>
  </si>
  <si>
    <t>Polish Academy of Sciences; Jagiellonian University; Universiti Malaysia Terengganu; AGH University of Krakow; University of North Carolina; University of North Carolina Wilmington</t>
  </si>
  <si>
    <t>Smykla, J (corresponding author), Univ N Carolina, Dept Biol &amp; Marine Biol, 601 S Coll Rd, Wilmington, NC 28403 USA.</t>
  </si>
  <si>
    <t>smykla@iop.krakow.pl; marek.drewnik@uj.edu.pl; szarek@iop.krakow.pl; hii.y.siang@gmail.com; wkna@agh.edu.pl; emslies@uncw.edu</t>
  </si>
  <si>
    <t>; Smykla, Jerzy/N-3288-2014</t>
  </si>
  <si>
    <t>Knap, Wieslaw/0000-0001-7058-8733; Smykla, Jerzy/0000-0001-8228-6695; Drewnik, Marek/0000-0001-7400-2103</t>
  </si>
  <si>
    <t>Polish Antarctic Program; Polish Ministry of Science and Higher Education within the program Supporting International Mobility of Scientists [2P04F00127, NN304069033, NN305376438, NN304014939]; Polish Academy of Sciences; Academy of Sciences of the Czech Republic within the project Soil biodiversity of the Antarctic terrestrial ecosystems; National Science Foundation [ANT 0739575]</t>
  </si>
  <si>
    <t>Polish Antarctic Program; Polish Ministry of Science and Higher Education within the program Supporting International Mobility of Scientists; Polish Academy of Sciences; Academy of Sciences of the Czech Republic within the project Soil biodiversity of the Antarctic terrestrial ecosystems; National Science Foundation(National Science Foundation (NSF))</t>
  </si>
  <si>
    <t>The first author would like to thank the Directors of the Department of the Antarctic Biology Polish Academy of Sciences, Stanislaw Rakusa-Suszczewski, Andrzej Tatur and Katarzyna Chwedorzewska, for their cooperation and support provided on behalf of the Polish Antarctic Program. Thanks are due to Eva Kastovska, Ondrej Komarek, Justyna Morawska-Ploskonka, Hana Santruckova and Szymon Wojcik for the laboratory support and/or assistance. We would also like to express our special thanks to Larry Coats for comradeship and assistance during the field survey, and to the personnel of the U.S. Antarctic Program at McMurdo Station and the Italian National Program for Antarctic Research (PNRA) at Mario Zucchelli Station at Terra Nova Bay for logistical aid. This work was completed within the project of the senior author funded by the Polish Ministry of Science and Higher Education within the program Supporting International Mobility of Scientists and within grant nos. 2P04F00127, NN304069033, NN305376438 and NN304014939. This work was also partly supported under the agreement on scientific cooperation between the Polish Academy of Sciences and the Academy of Sciences of the Czech Republic within the project Soil biodiversity of the Antarctic terrestrial ecosystems. The field survey was made possible with funding to S. Emslie from the National Science Foundation (ANT 0739575) and through logistical support supplied by Raytheon Polar Services.</t>
  </si>
  <si>
    <t>10.1016/j.catena.2015.04.011</t>
  </si>
  <si>
    <t>CK0KN</t>
  </si>
  <si>
    <t>WOS:000355894200007</t>
  </si>
  <si>
    <t>Galea, HR</t>
  </si>
  <si>
    <t>Galea, Horia R.</t>
  </si>
  <si>
    <t>Two new genera and nine new species of hydroids (Cnidaria: Hydrozoa) from off New Caledonia</t>
  </si>
  <si>
    <t>EUROPEAN JOURNAL OF TAXONOMY</t>
  </si>
  <si>
    <t>New species; western Pacific; deep-water</t>
  </si>
  <si>
    <t>FRENCH LESSER ANTILLES; STAUROTHECA ALLMAN; WESTERN PACIFIC; ANTARCTIC EXPEDITIONS; SERTULARIIDAE</t>
  </si>
  <si>
    <t>Two new genera and nine new species of hydroids are described based on deep-water material collected from off New Caledonia during various expeditions of the French Tropical Deep-Sea Benthos program. Caledoniana gen. nov., provisionally included in the family Sertulariidae Lamouroux, 1812, presently comprises three new species, viz. C. alata sp. nov., C. decussata sp. nov., and C. microgona sp. nov., while an additional group of three new species, is accommodated in the new sertulariid genus Solenoscyphus gen. nov.: S. candelabrum sp. nov., S. decidualis sp. nov., and S. striatus sp. nov. Furthermore, three new species of Hincksella Billard, 1918 (family Syntheciidae Marktanner-Turneretscher, 1890) are described, namely H. cornuta sp. nov., H. neocaledonica sp. nov., and H. similis sp. nov.</t>
  </si>
  <si>
    <t>Hydrozoan Res Lab, F-83170 Tourves, France</t>
  </si>
  <si>
    <t>MUSEUM NATL HISTOIRE NATURELLE</t>
  </si>
  <si>
    <t>PARIS</t>
  </si>
  <si>
    <t>SERVICE PUBLICATIONS SCIENTIFIQUES, 57 RUE CUVIER, 75005 PARIS, FRANCE</t>
  </si>
  <si>
    <t>2118-9773</t>
  </si>
  <si>
    <t>EUR J TAXON</t>
  </si>
  <si>
    <t>Eur. J. Taxon.</t>
  </si>
  <si>
    <t>AUG 31</t>
  </si>
  <si>
    <t>10.5852/ejt.2015.135</t>
  </si>
  <si>
    <t>Plant Sciences; Entomology; Zoology</t>
  </si>
  <si>
    <t>CQ4AX</t>
  </si>
  <si>
    <t>gold, Green Submitted</t>
  </si>
  <si>
    <t>WOS:000360547600001</t>
  </si>
  <si>
    <t>Cherel, Y; Hobson, KA; Guinet, C</t>
  </si>
  <si>
    <t>Cherel, Yves; Hobson, Keith A.; Guinet, Christophe</t>
  </si>
  <si>
    <t>Milk isotopic values demonstrate that nursing fur seal pups are a full trophic level higher than their mothers</t>
  </si>
  <si>
    <t>RAPID COMMUNICATIONS IN MASS SPECTROMETRY</t>
  </si>
  <si>
    <t>CARBON-ISOTOPE; STABLE-CARBON; NITROGEN-ISOTOPE; ELEPHANT SEALS; PEROMYSCUS-MANICULATUS; DISCRIMINATION; FRACTIONATION; DIETARY; TISSUE; BLOOD</t>
  </si>
  <si>
    <t>RATIONALE: In mammals including humans, mother-to-offspring transfer of nutrients has been the focus of several isotopic studies. Measurement of delta C-13 and delta N-15 values were mainly conducted on easily sampled tissues such as blood and hair that allow the calculation of apparent discrimination factors (Delta C-13 and Delta N-15) between offspring and maternal tissues. Quantifying real Delta C-13 and Delta N-15 values requires the measurement of the delta C-13 and delta N-15 values of milk, the exclusive food of newborns. Surprisingly, little isotopic information is available on milk and its biochemical components (lipids and proteins). METHODS: Paired blood and milk samples from 10 lactating females and their pups were collected from two otariid species, the Antarctic and subantarctic fur seals. Tissue delta C-13 and delta N-15 values were measured using continuous-flow isotope ratio mass spectrometry (CFIRMS) on maternal and offspring blood, and on whole milk, lipid-free milk and milk lipids, thus allowing the calculation and comparison of apparent (maternal blood to offspring blood) and real (lipid-free milk to offspring blood) Delta C-13 and Delta N-15 values. RESULTS: In both fur seal species, the apparent Delta C-13 values averaged similar to 0.0%. Lipid-free milk was slightly C-13-depleted compared with both maternal and pup blood and it was strongly C-13-enriched (similar to 6.3 parts per thousand) compared with milk lipids. In contrast, the apparent and real Delta N-15 values averaged 1.2-1.4 and 2.6-3.0%, respectively, the differences being explained by the similar to 1.5 % lower milk delta N-15 values than those of maternal blood. CONCLUSIONS: In fur seals, the low apparent Delta N-15 translated into a higher real Delta N-15 value, amounting to a full trophic level, which is in agreement with the almost never verified hypothesis that N-15 differences between mothers and their offsprings should reflect one complete trophic level. The study highlights the need to measure milk isotopic values to disentangle the nutritional mother-to-offspring relationships. Copyright (C) 2015 John Wiley &amp; Sons, Ltd.</t>
  </si>
  <si>
    <t>[Cherel, Yves; Guinet, Christophe] Univ La Rochelle, CNRS, Ctr Etud Biol Chize, UMR 7372, F-79360 Villiers En Bois, France; [Hobson, Keith A.] Environm Canada, Saskatoon, SK S7N 3H5, Canada</t>
  </si>
  <si>
    <t>La Rochelle Universite; Centre National de la Recherche Scientifique (CNRS); CNRS - Institute of Ecology &amp; Environment (INEE); Environment &amp; Climate Change Canada</t>
  </si>
  <si>
    <t>Cherel, Y (corresponding author), CEBC CNRS, F-79360 Villiers En Bois, France.</t>
  </si>
  <si>
    <t>cherel@cebc.cnrs.fr</t>
  </si>
  <si>
    <t>Hobson, Keith/Q-9306-2019; Guinet, Christophe/AAR-8457-2020</t>
  </si>
  <si>
    <t>Institut Polaire Francais Paul Emile Victor [109]; Terres Australes et Antarctiques Francaises; Environment Canada; European Research Council Advanced Grant under the European Community's Seven Framework Program [ERC-2012-ADG_20120314]</t>
  </si>
  <si>
    <t>Institut Polaire Francais Paul Emile Victor; Terres Australes et Antarctiques Francaises; Environment Canada(CGIAR); European Research Council Advanced Grant under the European Community's Seven Framework Program</t>
  </si>
  <si>
    <t>The authors thank J. P. Y. Arnould, F. Bailleul, S. Luque and F. Pawlowski for their help in the field and P. Healy for preparing samples for stable isotope analysis conducted by M. Stocki (University of Saskatchewan, Department of Soil Science). The present work was supported financially and logistically by the Institut Polaire Francais Paul Emile Victor (Programme No109, H. Weimerskirch), the Terres Australes et Antarctiques Francaises, and Environment Canada. The study is a contribution to the Program EARLYLIFE funded by a European Research Council Advanced Grant under the European Community's Seven Framework Program FP7/2007-2013 (Grant Agreement ERC-2012-ADG_20120314 to H. Weimerskirch).</t>
  </si>
  <si>
    <t>0951-4198</t>
  </si>
  <si>
    <t>1097-0231</t>
  </si>
  <si>
    <t>RAPID COMMUN MASS SP</t>
  </si>
  <si>
    <t>Rapid Commun. Mass Spectrom.</t>
  </si>
  <si>
    <t>AUG 30</t>
  </si>
  <si>
    <t>10.1002/rcm.7243</t>
  </si>
  <si>
    <t>Biochemical Research Methods; Chemistry, Analytical; Spectroscopy</t>
  </si>
  <si>
    <t>Biochemistry &amp; Molecular Biology; Chemistry; Spectroscopy</t>
  </si>
  <si>
    <t>CN8KX</t>
  </si>
  <si>
    <t>WOS:000358690400004</t>
  </si>
  <si>
    <t>Park, JA; Gardner, C; Chang, MI; Kim, DH; Jang, YS</t>
  </si>
  <si>
    <t>Park, Jeong-A; Gardner, Caleb; Chang, Myo-In; Kim, Do-Hoon; Jang, Young-Soo</t>
  </si>
  <si>
    <t>Fuel Use and Greenhouse Gas Emissions from Offshore Fisheries of the Republic of Korea</t>
  </si>
  <si>
    <t>CARBON FOOTPRINT</t>
  </si>
  <si>
    <t>Greenhouse Gas (GHG) emissions from the offshore fisheries industry in the Republic of Korea (Korea) were examined in response to growing concerns about global warming and the contribution of emissions from different industrial sectors. Fuel usage and GHG emissions (CO2, CH4, N2O) were analysed using the 'Tier 1' method provided by the Intergovernmental Panel on Climate Change (IPCC) from the offshore fishery, which is the primary domestic seafood production sector in Korea. In 2013, fuel usage in the offshore fishery accounted for 59.7% (557,463 KL) of total fuel consumption of fishing vessels in Korea. Fuel consumption and thus GHG emissions were not stable through time in this industry, increasing by 2.4% p.a. for three consecutive years, from 2011 to 2013, despite a decrease in the number of vessels operating. GHG emissions generated in offshore fisheries also changed through time and increased from 1,442,975 tCO(2)e/year in 2011 to 1,477,279 tCO(2)e/year in 2013. Changes in both fuel use and GHG emissions per kg offshore fish production appeared to be associated with decreasing catch rates by the fleet, which in turn were a reflection of decrease in fish biomass. Another important feature of GHG emissions in this industry was the high variation in GHG emission per kg fish product among different fishing methods. The long line fishery had approximately three times the emissions of the average production while the jigging fishery was more than two times higher than the average. Lowest emissions were from the trawl sector, which is regarded as having greatest environmental impact using traditional biodiversity metrics although had lowest environmental impact in terms of fuel and GHG emission metrics used in this study. The observed deterioration in fuel efficiency of the offshore fishery each year is of concern but also demonstrates that fuel efficiency can change, which shows there is opportunity to improve efficiency with changes to fishery management and harvesting operations.</t>
  </si>
  <si>
    <t>[Park, Jeong-A; Gardner, Caleb] Univ Tasmania, Inst Marine &amp; Antarctic Studies, Hobart, Tas, Australia; [Park, Jeong-A; Kim, Do-Hoon; Jang, Young-Soo] Pukyong Natl Univ, Dept Marine &amp; Fisheries Business &amp; Econ, Busan, South Korea; [Chang, Myo-In] Minist Oceans &amp; Fisheries Korea, Sejong, South Korea</t>
  </si>
  <si>
    <t>University of Tasmania; Pukyong National University</t>
  </si>
  <si>
    <t>Jang, YS (corresponding author), Pukyong Natl Univ, Dept Marine &amp; Fisheries Business &amp; Econ, Busan, South Korea.</t>
  </si>
  <si>
    <t>ysjang@pknu.ac.kr</t>
  </si>
  <si>
    <t>Gardner, Caleb/I-7086-2013</t>
  </si>
  <si>
    <t>Gardner, Caleb/0000-0003-0324-4337</t>
  </si>
  <si>
    <t>AUG 28</t>
  </si>
  <si>
    <t>e0133778</t>
  </si>
  <si>
    <t>10.1371/journal.pone.0133778</t>
  </si>
  <si>
    <t>CQ0PO</t>
  </si>
  <si>
    <t>Green Accepted, Green Published, gold, Green Submitted</t>
  </si>
  <si>
    <t>WOS:000360299100011</t>
  </si>
  <si>
    <t>Terres, MA; Lawrence, E; Hosack, GR; Haywood, MDE; Babcock, RC</t>
  </si>
  <si>
    <t>Terres, Maria A.; Lawrence, Emma; Hosack, Geoffrey R.; Haywood, Michael D. E.; Babcock, Russell C.</t>
  </si>
  <si>
    <t>Assessing Habitat Use by Snapper (Chrysophrys auratus) from Baited Underwater Video Data in a Coastal Marine Park</t>
  </si>
  <si>
    <t>REEF FISH ASSEMBLAGES; LONG-TERM PROTECTION; PAGRUS-AURATUS; TEMPORAL VARIATION; RESERVES; AREAS; RECOVERY; PREDICTION; AUSTRALIA; SPARIDAE</t>
  </si>
  <si>
    <t>Baited Underwater Video (BUV) systems have become increasingly popular for assessing marine biodiversity. These systems provide video footage from which biologists can identify the individual fish species present. Here we explore the relevance of spatial dependence and marine park boundaries while estimating the distribution and habitat associations of the commercially and recreationally important snapper species Chrysophrys auratus in Moreton Bay Marine Park during a period when new Marine National Parks zoned as no-take or green areas (i.e., areas with no legal fishing) were introduced. BUV studies typically enforce a minimum distance among BUV sites, and then assume that observations from different sites are independent conditional on the measured covariates. In this study, we additionally incorporated the spatial dependence among BUV sites into the modelling framework. This modelling approach allowed us to test whether or not the incorporation of highly correlated environmental covariates or the geographic placement of BUV sites produced spatial dependence, which if unaccounted for could lead to model bias. We fitted Bayesian logistic models with and without spatial random effects to determine if the Marine National Park boundaries and available environmental covariates had an effect on snapper presence and habitat preference. Adding the spatial dependence component had little effect on the resulting model parameter estimates that emphasized positive association for particular coastal habitat types by snapper. Strong positive relationships between the presence of snapper and rock habitat, particularly rocky substrate composed of indurated freshwater sediments known as coffee rock, and kelp habitat reinforce the consideration of habitat availability in marine reserve design and the design of any associated monitoring programs.</t>
  </si>
  <si>
    <t>[Terres, Maria A.] N Carolina State Univ, Dept Stat, Raleigh, NC 27695 USA; [Lawrence, Emma] CSIRO, Digital Prod Flagship, Dutton Pk, Qld, Australia; [Hosack, Geoffrey R.] CSIRO, Digital Prod Flagship, Hobart, Tas, Australia; [Haywood, Michael D. E.; Babcock, Russell C.] CSIRO, Oceans &amp; Atmosphere Flagship, Dutton Pk, Qld, Australia</t>
  </si>
  <si>
    <t>North Carolina State University; Commonwealth Scientific &amp; Industrial Research Organisation (CSIRO); Commonwealth Scientific &amp; Industrial Research Organisation (CSIRO); Commonwealth Scientific &amp; Industrial Research Organisation (CSIRO)</t>
  </si>
  <si>
    <t>Terres, MA (corresponding author), N Carolina State Univ, Dept Stat, Raleigh, NC 27695 USA.</t>
  </si>
  <si>
    <t>mterres.stat@gmail.com</t>
  </si>
  <si>
    <t>Hosack, Geoffrey/E-8566-2010; Lawrence, Emma/A-5584-2009; Babcock, Russell/A-3794-2012</t>
  </si>
  <si>
    <t>Hosack, Geoffrey/0000-0002-6462-6817; Babcock, Russell/0000-0002-7756-1290</t>
  </si>
  <si>
    <t>Australian Government's National Environmental Research Program (NERP); CSIRO Marine and Atmospheric Research; DERM (Queensland Department of Environment and Resource Management)</t>
  </si>
  <si>
    <t>Australian Government's National Environmental Research Program (NERP)(Australian Government); CSIRO Marine and Atmospheric Research(Commonwealth Scientific &amp; Industrial Research Organisation (CSIRO)); DERM (Queensland Department of Environment and Resource Management)</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</si>
  <si>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The funders had no role in study design, data collection and analysis, decision to publish, or preparation of the manuscript. The funding for the fieldwork was jointly (50:50) provided by CSIRO Marine and Atmospheric Research and DERM (Queensland Department of Environment and Resource Management).</t>
  </si>
  <si>
    <t>e0136799</t>
  </si>
  <si>
    <t>10.1371/journal.pone.0136799</t>
  </si>
  <si>
    <t>WOS:000360299100142</t>
  </si>
  <si>
    <t>Rodriguez, ES; Poynter, S; Curran, M; Haddad, PR; Shellie, RA; Nesterenko, PN; Paull, B</t>
  </si>
  <si>
    <t>Rodriguez, Estrella Sanz; Poynter, Sam; Curran, Mark; Haddad, Paul R.; Shellie, Robert A.; Nesterenko, Pavel N.; Paull, Brett</t>
  </si>
  <si>
    <t>Capillary ion chromatography with on-column focusing for ultra-trace analysis of methanesulfonate and inorganic anions in limited volume Antarctic ice core samples</t>
  </si>
  <si>
    <t>JOURNAL OF CHROMATOGRAPHY A</t>
  </si>
  <si>
    <t>Capillary ion chromatography; On-column focussing; Methanesulfonic acid; Inorganic anions; Antarctic ice cores; IC-MS</t>
  </si>
  <si>
    <t>DRONNING MAUD LAND; SEA-ICE; EAST ANTARCTICA; DOME-C; MASS-SPECTROMETRY; WEST ANTARCTICA; ORGANIC-ACIDS; SNOW; VARIABILITY; AMUNDSENISEN</t>
  </si>
  <si>
    <t>Preservation of ionic species within Antarctic ice yields a unique proxy record of the Earth's climate history. Studies have been focused until now on two proxies: the ionic components of sea salt aerosol and methanesulfonic acid. Measurement of the all of the major ionic species in ice core samples is typically carried out by ion chromatography. Former methods, whilst providing suitable detection limits, have been based upon off-column preconcentration techniques, requiring larger sample volumes, with potential for sample contamination and/or carryover. Here, a new capillary ion chromatography based analytical method has been developed for quantitative analysis of limited volume Antarctic ice core samples. The developed analytical protocol applies capillary ion chromatography (with suppressed conductivity detection) and direct on-column sample injection and focusing, thus eliminating the requirement for off-column sample preconcentration. This limits the total sample volume needed to 300 mu L per analysis, allowing for triplicate sample analysis with &lt;1 mL of sample. This new approach provides a reliable and robust analytical method for the simultaneous determination of organic and inorganic anions, including fluoride, methanesulfonate, chloride, sulfate and nitrate anions. Application to composite ice-core samples is demonstrated, with coupling of the capillary ion chromatograph to high resolution mass spectrometry used to confirm the presence and purity of the observed methanesulfonate peak. (C) 2015 Elsevier B.V. All rights reserved.</t>
  </si>
  <si>
    <t>[Rodriguez, Estrella Sanz; Haddad, Paul R.; Shellie, Robert A.; Nesterenko, Pavel N.; Paull, Brett] Univ Tasmania, Sch Phys Sci, Australian Ctr Res Separat Sci, Hobart, Tas 7001, Australia; [Poynter, Sam; Curran, Mark] Antarctic Climate &amp; Ecosyst Cooperat Res Ctr, Hobart, Tas 7001, Australia; [Curran, Mark] Australian Antarctic Div, Kingston, Tas 7050, Australia</t>
  </si>
  <si>
    <t>University of Tasmania; Antarctic Climate &amp; Ecosystems Cooperative Research Centre (ACE CRC); Australian Antarctic Division</t>
  </si>
  <si>
    <t>Paull, B (corresponding author), Univ Tasmania, Sch Phys Sci, Australian Ctr Res Separat Sci, GPO Box 252-75, Hobart, Tas 7001, Australia.</t>
  </si>
  <si>
    <t>Brett.Paull@utas.edu.au</t>
  </si>
  <si>
    <t>paull, brett/AAO-8366-2020; Nesterenko, Pavel N./A-4766-2012; Shellie, Robert/AAU-6100-2020; Poynter, Samuel/O-9808-2016</t>
  </si>
  <si>
    <t>paull, brett/0000-0001-6373-6582; Nesterenko, Pavel N./0000-0002-9997-0650; Shellie, Robert/0000-0002-8470-0893; Poynter, Samuel/0000-0002-5841-2687; Haddad, Paul/0000-0001-9579-7363; Sanz Rodriguez, Estrella/0000-0003-3443-6382</t>
  </si>
  <si>
    <t>0021-9673</t>
  </si>
  <si>
    <t>1873-3778</t>
  </si>
  <si>
    <t>J CHROMATOGR A</t>
  </si>
  <si>
    <t>J. Chromatogr. A</t>
  </si>
  <si>
    <t>10.1016/j.chroma.2015.07.034</t>
  </si>
  <si>
    <t>Biochemical Research Methods; Chemistry, Analytical</t>
  </si>
  <si>
    <t>Biochemistry &amp; Molecular Biology; Chemistry</t>
  </si>
  <si>
    <t>CP4WF</t>
  </si>
  <si>
    <t>WOS:000359882600021</t>
  </si>
  <si>
    <t>Hu, DZ; Tian, WS; Xie, F; Wang, CX; Zhang, JK</t>
  </si>
  <si>
    <t>Hu, Dingzhu; Tian, Wenshou; Xie, Fei; Wang, Chunxiao; Zhang, Jiankai</t>
  </si>
  <si>
    <t>Impacts of stratospheric ozone depletion and recovery on wave propagation in the boreal winter stratosphere</t>
  </si>
  <si>
    <t>BREWER-DOBSON CIRCULATION; CHEMISTRY-CLIMATE MODEL; CHANGING CLIMATE; PLANETARY-WAVES; SIMULATIONS; TROPOSPHERE; INCREASES</t>
  </si>
  <si>
    <t>This paper uses a state-of-the-art general circulation model to study the impacts of the stratospheric ozone depletion from 1980 to 2000 and the expected partial ozone recovery from 2000 to 2020 on the propagation of planetary waves in December, January, and February. In the Southern Hemisphere (SH), the stratospheric ozone depletion leads to a cooler and stronger Antarctic stratosphere, while the stratospheric ozone recovery has the opposite effects. In the Northern Hemisphere (NH), the impacts of the stratospheric ozone depletion on polar stratospheric temperature are not opposite to that of the stratospheric ozone recovery; i.e., the stratospheric ozone depletion causes a weak cooling and the stratospheric ozone recovery causes a statistically significant cooling. The stratospheric ozone depletion leads to a weakening of the Arctic polar vortex, while the stratospheric ozone recovery leads to a strengthening of the Arctic polar vortex. The cooling of the Arctic polar vortex is found to be dynamically induced viamodulating the planetary wave activity by stratospheric ozone increases. Particularly interesting is that stratospheric ozone changes have opposite effects on the stationary and transient wave fluxes in the NH stratosphere. The analysis of the wave refractive index and Eliassen-Palm flux in the NH indicates (1) that the wave refraction in the stratosphere cannot fully explain wave flux changes in the Arctic stratosphere and (2) that stratospheric ozone changes can cause changes in wave propagation in the northern midlatitude troposphere which in turn affect wave fluxes in the NH stratosphere. In the SH, the radiative cooling (warming) caused by stratospheric ozone depletion (recovery) produces a larger (smaller) meridional temperature gradient in the midlatitude upper troposphere, accompanied by larger (smaller) zonal wind vertical shear and larger (smaller) vertical gradients of buoyancy frequency. Hence, there are more (fewer) transient waves propagating into the stratosphere. The dynamical warming (cooling) caused by stratospheric ozone decreases (increases) partly offsets their radiative cooling (warming).</t>
  </si>
  <si>
    <t>[Hu, Dingzhu; Tian, Wenshou; Wang, Chunxiao; Zhang, Jiankai] Lanzhou Univ, Coll Atmospher Sci, Lanzhou 730000, Peoples R China; [Hu, Dingzhu] Nanjing Univ Informat Sci &amp; Technol, Minist Educ, Key Lab Meteorol Disaster, Nanjing, Jiangsu, Peoples R China; [Xie, Fei] Beijing Normal Univ, Coll Global Change &amp; Earth Syst Sci, Beijing 100875, Peoples R China; [Xie, Fei] Joint Ctr Global Change Studies, Beijing, Peoples R China</t>
  </si>
  <si>
    <t>Lanzhou University; Nanjing University of Information Science &amp; Technology; Beijing Normal University</t>
  </si>
  <si>
    <t>Tian, WS (corresponding author), Lanzhou Univ, Coll Atmospher Sci, Lanzhou 730000, Peoples R China.</t>
  </si>
  <si>
    <t>wstian@lzu.edu.cn</t>
  </si>
  <si>
    <t>Xie, Fei/I-9766-2016; Zhang, Jiankai/N-8781-2019; Zhang, Jiankai/AAR-3510-2020</t>
  </si>
  <si>
    <t>Xie, Fei/0000-0003-2891-3883; Zhang, Jiankai/0000-0002-8491-0225</t>
  </si>
  <si>
    <t>National Science Foundation of China [41225018, 2014CB441202, 41175042]</t>
  </si>
  <si>
    <t>National Science Foundation of China(National Natural Science Foundation of China (NSFC))</t>
  </si>
  <si>
    <t>This work was supported by the National Science Foundation of China (41225018, 2014CB441202, and 41175042). Comments from three anonymous reviewers substantially improve the quality of this paper and are greatly appreciated. We thank Sandip Dhomse from University of Leeds for proofreading the manuscript. We also appreciate the NASA for providing the reanalysis data (http://disc.sci.gsfc.nasa.gov/daac-bin/FTPSubset.pl) and the SPARC of the World Climate Research Project for providing the CCMVal-2 data sets (http://www.pa.op.dlr.de/CCMVal/).</t>
  </si>
  <si>
    <t>AUG 27</t>
  </si>
  <si>
    <t>10.1002/2014JD022855</t>
  </si>
  <si>
    <t>CU3KX</t>
  </si>
  <si>
    <t>WOS:000363425200018</t>
  </si>
  <si>
    <t>Joe, MH; Kim, JY; Lim, S; Kim, DH; Bai, S; Park, H; Lee, SG; Han, SJ; Choi, JI</t>
  </si>
  <si>
    <t>Joe, Min-Ho; Kim, Ji-Youn; Lim, Sangyong; Kim, Dong-Ho; Bai, Suk; Park, Hyun; Lee, Sung Gu; Han, Se Jong; Choi, Jong-il</t>
  </si>
  <si>
    <t>Microalgal lipid production using the hydrolysates of rice straw pretreated with gamma irradiation and alkali solution</t>
  </si>
  <si>
    <t>BIOTECHNOLOGY FOR BIOFUELS</t>
  </si>
  <si>
    <t>Rice straw; Pretreatment; Microalgae; Gamma ray irradiation; Lipid</t>
  </si>
  <si>
    <t>ENZYMATIC-HYDROLYSIS; RADIATION PRETREATMENT; BIOMASS; SACCHARIFICATION; GROWTH</t>
  </si>
  <si>
    <t>Background: Lignocellulosic biomass has long been recognized as a potential sustainable source of sugars for biofuels. However, many physicochemical structural and compositional factors inhibit the enzymatic digestibility of the lignocellulosic biomass. In this study, efficient pretreatment method of rice straw (RS) was developed and the RS hydrolysate was applied in the cultivation of microalgae for lipid production. Results: Gamma ray irradiation (GRI) and alkali solution were used for the pretreatment, and saccharification was carried out with lignocellulolytic enzymes. When RS was pretreated by combined GRI and alkali method, the glucose and xylose saccharification yield after enzymatic hydrolysis increased up to 91.65 and 98.84 %, respectively. The enzymatic hydrolysate from the RS pretreated with the combined method was used to cultivate Chlorella protothecoides for lipid production. The maximum concentrations of biomass and fatty acid methyl ester of cells were 6.51 and 2.95 g/L, respectively. The lipid content of C. protothecoides from RS hydrolysate was comparable to that from glucose, and the lipid composition was similar between different carbon sources. Conclusion: These results demonstrate that the combined pretreatment with gamma irradiation was highly effective in preparing hydrolysate, and the rice straw hydrolysate could be used as an alternative carbon source for microalgal lipid production for biofuel.</t>
  </si>
  <si>
    <t>[Joe, Min-Ho; Kim, Ji-Youn; Lim, Sangyong; Kim, Dong-Ho] Korea Atom Energy Res Inst, Dept Biotechnol, Jeongeup 580185, South Korea; [Joe, Min-Ho] Chonnam Natl Univ, Sch Biol Sci &amp; Biotechnol, Gwangju 500757, South Korea; [Bai, Suk] Chonnam Natl Univ, Coll Nat Sci, Dept Biol Sci, Gwangju 500757, South Korea; [Park, Hyun; Lee, Sung Gu; Han, Se Jong] Korea Polar Res Inst, Inchon 406840, South Korea; [Choi, Jong-il] Chonnam Natl Univ, Dept Biotechnol &amp; Bioengn, Gwangju 500757, South Korea</t>
  </si>
  <si>
    <t>Korea Atomic Energy Research Institute (KAERI); Chonnam National University; Chonnam National University; Korea Institute of Ocean Science &amp; Technology (KIOST); Korea Polar Research Institute (KOPRI); Chonnam National University</t>
  </si>
  <si>
    <t>Choi, JI (corresponding author), Chonnam Natl Univ, Dept Biotechnol &amp; Bioengn, Gwangju 500757, South Korea.</t>
  </si>
  <si>
    <t>choiji01@jnu.ac.kr</t>
  </si>
  <si>
    <t>Choi, Jong-Il/P-7476-2018</t>
  </si>
  <si>
    <t>HAN, Se Jong/0000-0001-9576-2179; Park, Hyun/0000-0002-8055-2010</t>
  </si>
  <si>
    <t>Nuclear R&amp;D program of the Ministry of Science, ICT &amp; Future Planning (MSIP); National Research Foundation of Korea (NRF) - Korea government (MSIP) [NRF-2015R1A2A2A01004733]; Golden Seed Project [213004-04-2-SBA30]; Ministry of Agriculture, Ministry of Oceans and Fisheries; research supporting program by Chonnam National University; Technology Development Program to Solve Climate Changes (Systems Metabolic Engineering for Biorefineries) from the Ministry of Education, Science and Technology (MEST) through the NRF [NRF-2012-C1AAA001-2012M1A2A2026556]; Antarctic organisms: Cold-Adaptation Mechanisms - Korea Polar Research Institute [PE14070]</t>
  </si>
  <si>
    <t>Nuclear R&amp;D program of the Ministry of Science, ICT &amp; Future Planning (MSIP); National Research Foundation of Korea (NRF) - Korea government (MSIP); Golden Seed Project; Ministry of Agriculture, Ministry of Oceans and Fisheries; research supporting program by Chonnam National University; Technology Development Program to Solve Climate Changes (Systems Metabolic Engineering for Biorefineries) from the Ministry of Education, Science and Technology (MEST) through the NRF; Antarctic organisms: Cold-Adaptation Mechanisms - Korea Polar Research Institute</t>
  </si>
  <si>
    <t>This study was financially supported by the Nuclear R&amp;D program of the Ministry of Science, ICT &amp; Future Planning (MSIP), by the National Research Foundation of Korea (NRF) grant funded by the Korea government (MSIP) (No. NRF-2015R1A2A2A01004733), by Golden Seed Project (213004-04-2-SBA30), Ministry of Agriculture, Ministry of Oceans and Fisheries, by the research supporting program by Chonnam National University 2013, by the Technology Development Program to Solve Climate Changes (Systems Metabolic Engineering for Biorefineries) from the Ministry of Education, Science and Technology (MEST) through the NRF (NRF-2012-C1AAA001-2012M1A2A2026556), and by the Antarctic organisms: Cold-Adaptation Mechanisms and its application grant (PE14070) funded by the Korea Polar Research Institute.</t>
  </si>
  <si>
    <t>1754-6834</t>
  </si>
  <si>
    <t>BIOTECHNOL BIOFUELS</t>
  </si>
  <si>
    <t>Biotechnol. Biofuels</t>
  </si>
  <si>
    <t>10.1186/s13068-015-0308-x</t>
  </si>
  <si>
    <t>Biotechnology &amp; Applied Microbiology; Energy &amp; Fuels</t>
  </si>
  <si>
    <t>CP7FZ</t>
  </si>
  <si>
    <t>WOS:000360053900001</t>
  </si>
  <si>
    <t>Ainley, DG; Ballard, G; Jones, RM; Jongsomjit, D; Pierce, SD; Smith, WO; Veloz, S</t>
  </si>
  <si>
    <t>Ainley, David G.; Ballard, Grant; Jones, Randolph M.; Jongsomjit, Dennis; Pierce, Stephen D.; Smith, Walker O., Jr.; Veloz, Sam</t>
  </si>
  <si>
    <t>Trophic cascades in the western Ross Sea, Antarctica: revisited</t>
  </si>
  <si>
    <t>Adelie penguin; Foraging competition; Ross Sea; Trophic cascade; Wasp-waist food web structure</t>
  </si>
  <si>
    <t>ADELIE PENGUIN; PLEURAGRAMMA-ANTARCTICUM; GEOGRAPHIC STRUCTURE; OCEAN; COMPETITION; SEABIRDS; DENSITY; RATES; FOOD; OCEANOGRAPHY</t>
  </si>
  <si>
    <t>We investigated mesopredator effects on prey availability in the Ross Sea, Antarctica, assessing the reasons why Adelie penguin Pygoscelis adeliae foraging trip duration (FTD) increases and diet changes from krill to fish as numbers of foraging penguins and competing cetaceans increase in the penguins' foraging area. To investigate penguins' seasonally changing FTD as a function of foraging population size-previously investigated indirectly-we used bio-logging to determine the penguins' 3-dimensional foraging volume, while an autonomous glider quantified the depth, abundance, and distribution of potential prey. As numbers of foraging penguins and cetaceans increased, penguins spent more time on foraging trips, traveling farther and deeper, and their diet included more fish, as average maximum depth of krill increased from 45 to 65 m, and that of small fish also deepened, but only from 51 to 57 m. With a need to forage at greater depths for in creasingly over lapping prey, the penguins consumed more of the energy-dense fish. Krill depth was negatively correlated with chlorophyll (a proxy for krill food), indicating an uncoupling between the two and the overwhelming importance of predation avoidance by the krill relative to food acquisition. Results support the hypotheses that (1) predators remove the grazers from Ross Sea surface waters, controlling their vertical distributions; and (2) the food web has a 'wasp-waist' structure, in which middle-and upper-trophic levels are controlled top-down, whereas phytoplank ton production and accumulation are regulated bottom-up, largely independent of grazer control. Ross Sea models need revision to reflect this food web structure.</t>
  </si>
  <si>
    <t>[Ainley, David G.] HT Harvey &amp; Associates Ecol Consultants, Los Gatos, CA 95032 USA; [Ballard, Grant; Jongsomjit, Dennis; Veloz, Sam] Point Blue Conservat Sci, Petaluma, CA 94954 USA; [Jones, Randolph M.; Smith, Walker O., Jr.] Virginia Inst Marine Sci, Coll William &amp; Mary, Gloucester Point, VA 23062 USA; [Pierce, Stephen D.] Oregon State Univ, Coll Earth Ocean &amp; Atmospher Sci, Corvallis, OR 97331 USA</t>
  </si>
  <si>
    <t>William &amp; Mary; Virginia Institute of Marine Science; Oregon State University</t>
  </si>
  <si>
    <t>Veloz, Samuel/Q-4973-2019</t>
  </si>
  <si>
    <t>Veloz, Samuel/0000-0003-3401-9167</t>
  </si>
  <si>
    <t>NSF [ANT 1141948, ANT 1142174]; NASA/HQ; Directorate For Geosciences; Office of Polar Programs (OPP) [1142174, 0944411] Funding Source: National Science Foundation</t>
  </si>
  <si>
    <t>NSF(National Science Foundation (NSF)); NASA/HQ; Directorate For Geosciences; Office of Polar Programs (OPP)(National Science Foundation (NSF)NSF - Directorate for Geosciences (GEO))</t>
  </si>
  <si>
    <t>This project was supported financially by NSF grants ANT 1141948 and ANT 1142174, and logistically by the U.S. Antarctic Program, including helicopters to support glider deployment and the RV 'Nathaniel B. Palmer' for glider retrieval. Access to the Cape Crozier Specially Protected Area and work on penguins was approved under ACA Permit 2011-002 and Animal Welfare Permit 4130 through Oregon State University. V. Asper and K. Martin, University of Southern Mississippi, were instrumental in glider deployment and piloting; A. Pollard, E. Porzig, and S. Jennings helped to deploy and retrieve the Splash tags at Crozier. We acknowledge use of imagery from the Land Atmosphere Near-real time Capability for EOS (LANCE) system operated by the NASA/GSFC Earth Science Data and Information System (ESDIS) with funding provided by NASA/HQ. The manuscript benefitted from review by K. Dugger, A. Lescroel, and B. Saenz. This is VIMS contribution number 3492, and Point Blue Conservation Science contribution number 2038.</t>
  </si>
  <si>
    <t>10.3354/meps11394</t>
  </si>
  <si>
    <t>CR0DW</t>
  </si>
  <si>
    <t>WOS:000360989500001</t>
  </si>
  <si>
    <t>Jones, EL; McConnell, BJ; Smout, S; Hammond, PS; Duck, CD; Morris, CD; Thompson, D; Russell, DJF; Vincent, C; Cronin, M; Sharples, RJ; Matthiopoulos, J</t>
  </si>
  <si>
    <t>Jones, Esther L.; McConnell, Bernie J.; Smout, Sophie; Hammond, Philip S.; Duck, Callan D.; Morris, Christopher D.; Thompson, David; Russell, Deborah J. F.; Vincent, Cecile; Cronin, Michelle; Sharples, Ruth J.; Matthiopoulos, Jason</t>
  </si>
  <si>
    <t>Patterns of space use in sympatric marine colonial predators reveal scales of spatial partitioning</t>
  </si>
  <si>
    <t>Halichoerus grypus; Phoca vitulina; Density estimation; Propagating uncertainty; Species distribution; Telemetry; Area-based conservation</t>
  </si>
  <si>
    <t>SEALS PHOCA-VITULINA; OFFSHORE WIND FARM; HARBOR SEALS; GREY SEALS; HALICHOERUS-GRYPUS; SATELLITE TELEMETRY; DISTEMPER-VIRUS; UNITED-KINGDOM; AERIAL COUNTS; ABUNDANCE</t>
  </si>
  <si>
    <t>Species distribution maps can provide important information to focus conservation efforts and enable spatial management of human activities. Two sympatric marine predators, grey seals Halichoerus grypus and harbour seals Phoca vitulina, have overlapping ranges on land and at sea but contrasting population dynamics around Britain: whilst grey seals have generally increased, harbour seals have shown significant regional declines. We analysed 2 decades of at sea movement data and terrestrial count data from these species to produce high resolution, broad-scale maps of distribution and associated uncertainty to inform conservation and management. Our results showed that grey seals use offshore areas connected to their haul-out sites by prominent corridors, and harbour seals primarily stay within 50 km of the coastline. Both species show fine-scale offshore spatial segregation off the east coast of Britain and broad-scale partitioning off western Scotland. These results illustrate that, for broad-scale marine spatial planning, the conservation needs of harbour seals (primarily inshore, the exception being selected offshore usage areas) are different from those of grey seals (up to 100 km offshore and corridors connecting these areas to haul-out sites). More generally, our results illustrate the importance of detailed knowledge of marine predator distributions to inform marine spatial planning; for instance, spatial prioritisation is not necessarily the most effective spatial planning strategy even when conserving species with similar taxonomy.</t>
  </si>
  <si>
    <t>[Jones, Esther L.; McConnell, Bernie J.; Smout, Sophie; Hammond, Philip S.; Duck, Callan D.; Morris, Christopher D.; Thompson, David; Russell, Deborah J. F.] Univ St Andrews, Sea Mammal Res Unit, Scottish Oceans Inst, St Andrews KY16 8LB, Fife, Scotland; [Jones, Esther L.; Smout, Sophie; Hammond, Philip S.; Russell, Deborah J. F.] Univ St Andrews, Ctr Res Ecol &amp; Environm Modelling, Buchanan Gardens, Observ, St Andrews KY16 9LZ, Fife, Scotland; [Vincent, Cecile] Univ La Rochelle, CEBC, ILE, CNRS,UMR 7372, F-17000 La Rochelle, France; [Cronin, Michelle] Natl Univ Ireland Univ Coll Cork, Coastal &amp; Marine Res Ctr, Haulbowline, Cork, Ireland; [Sharples, Ruth J.] Univ Tasmania, Inst Marine &amp; Antarctic Studies, IMAS Sandy Bay, Hobart, Tas 7001, Australia; [Matthiopoulos, Jason] Univ Glasgow, Inst Biodivers Anim Hlth &amp; Comparat Med, Glasgow G12 8QQ, Lanark, Scotland</t>
  </si>
  <si>
    <t>University of St Andrews; University of St Andrews; Centre National de la Recherche Scientifique (CNRS); CNRS - Institute of Ecology &amp; Environment (INEE); La Rochelle Universite; University College Cork; University of Tasmania; University of Glasgow</t>
  </si>
  <si>
    <t>Jones, EL (corresponding author), Univ St Andrews, Sea Mammal Res Unit, Scottish Oceans Inst, St Andrews KY16 8LB, Fife, Scotland.</t>
  </si>
  <si>
    <t>el298@st-andrews.ac.uk</t>
  </si>
  <si>
    <t>Jones, Emily Lena/AAM-1818-2021; Vincent, Cecile/AAG-9881-2019; Russell, Debbie J.F./AAA-6487-2021; Matthiopoulos, Jason/N-9808-2013; McConnell, Bernie/G-6553-2019</t>
  </si>
  <si>
    <t>Jones, Emily Lena/0000-0002-9927-7469; Vincent, Cecile/0000-0002-5224-0757; Russell, Debbie J.F./0000-0002-1969-102X; Matthiopoulos, Jason/0000-0003-3639-8172; McConnell, Bernie/0000-0001-7575-5270; Hammond, Philip/0000-0002-2381-8302; Jones, Esther/0000-0002-4409-5860; Thompson, David/0000-0003-1546-2876</t>
  </si>
  <si>
    <t>Scottish Government [MMSS001/01]; UK Department of Energy and Climate Change (DECC) as part of their Offshore Energy Strategic Environmental Assessment programme; EU MYFISH project; Natural Environment Research Council [smru10001] Funding Source: researchfish</t>
  </si>
  <si>
    <t>Scottish Government; UK Department of Energy and Climate Change (DECC) as part of their Offshore Energy Strategic Environmental Assessment programme; EU MYFISH project; Natural Environment Research Council(UK Research &amp; Innovation (UKRI)Natural Environment Research Council (NERC))</t>
  </si>
  <si>
    <t>We thank the following people and institutions: Professor Paul Thompson, University of Aber deen; Dr. Carol Sparling, SMRU Consulting; Ed Rowsell and Barry Collins, Chichester Harbour Conservancy; Jolyon Chesworth, Langstone Harbour Authority; Industry Nature Conservation Association; ZSL; Marine Current Turbines Ltd.; Northern Ireland Environment Agency; Department of Arts, Heritage, Gaeltacht and the Islands; Countryside Council for Wales; Welsh Assembly Government; Scottish Natural Heritage (SNH); National Environmental Research Council (NERC); Lisa Morgan, RSPB; Kate Lock and the Skomer Island wardens, Natural Resources Wales. E.L.J. and D.J.F.R. were funded under Scottish Government grant MMSS001/01. D.J.F.R. was funded by the UK Department of Energy and Climate Change (DECC) as part of their Offshore Energy Strategic Environmental Assessment programme. S.S. was partly funded by the EU MYFISH project.</t>
  </si>
  <si>
    <t>10.3354/meps11370</t>
  </si>
  <si>
    <t>WOS:000360989500016</t>
  </si>
  <si>
    <t>Ventura, T; Fitzgibbon, QP; Battaglene, SC; Elizur, A</t>
  </si>
  <si>
    <t>Ventura, Tomer; Fitzgibbon, Quinn P.; Battaglene, Stephen C.; Elizur, Abigail</t>
  </si>
  <si>
    <t>Redefining metamorphosis in spiny lobsters: molecular analysis of the phyllosoma to puerulus transition in Sagmariasus verreauxi</t>
  </si>
  <si>
    <t>JASUS-EDWARDSII HUTTON; METHYL FARNESOATE; ALCOHOL-DEHYDROGENASE; MICROARRAY ANALYSIS; STAGE PHYLLOSOMA; PANULIRUS-CYGNUS; GENE-EXPRESSION; LIFE-CYCLE; HORMONE; LARVAE</t>
  </si>
  <si>
    <t>The molecular understanding of crustacean metamorphosis is hindered by small sized individuals and inability to accurately define molt stages. We used the spiny lobster Sagmariasus verreauxi where the large, transparent larvae enable accurate tracing of the transition from a leaf-shaped phyllosoma to an intermediate larval-juvenile phase (puerulus). Transcriptomic analysis of larvae at well-defined stages prior to, during, and following this transition show that the phyllosoma-puerulus metamorphic transition is accompanied by vast transcriptomic changes exceeding 25% of the transcriptome. Notably, genes previously identified as regulating metamorphosis in other crustaceans do not fluctuate during this transition but in the later, morphologically-subtle puerulus-juvenile transition, indicating that the dramatic phyllosoma-puerulus morphological shift relies on a different, yet to be identified metamorphic mechanism. We examined the change in expression of domains and gene families, with focus on several key genes. Our research implies that the separation in molecular triggering systems between the phyllosoma-puerulus and puerulus-juvenile transitions might have enabled the extension of the oceanic phase in spiny lobsters. Study of similar transitions, where metamorphosis is uncoupled from the transition into the benthic juvenile form, in other commercially important crustacean groups might show common features to point on the evolutionary advantage of this two staged regulation.</t>
  </si>
  <si>
    <t>[Ventura, Tomer; Elizur, Abigail] Univ Sunshine Coast, GeneCol Res Ctr, Fac Sci Hlth Educ &amp; Engn, Sunshine Coast, Qld, Australia; [Fitzgibbon, Quinn P.; Battaglene, Stephen C.] Univ Tasmania, Inst Marine &amp; Antarctic Studies, Fisheries &amp; Aquaculture, Hobart, Tas, Australia</t>
  </si>
  <si>
    <t>University of the Sunshine Coast; University of Tasmania</t>
  </si>
  <si>
    <t>Ventura, T (corresponding author), Univ Sunshine Coast, GeneCol Res Ctr, Fac Sci Hlth Educ &amp; Engn, Sunshine Coast, Qld, Australia.</t>
  </si>
  <si>
    <t>tventura@usc.edu.au</t>
  </si>
  <si>
    <t>Battaglene, Stephen C/H-9683-2014; Ventura, T./H-9832-2019; Elizur, Abigail/B-7708-2012</t>
  </si>
  <si>
    <t>Ventura, T./0000-0002-0777-2367; Elizur, Abigail/0000-0002-2960-302X; Fitzgibbon, Quinn/0000-0002-1104-3052</t>
  </si>
  <si>
    <t>Australian Research Council [DE130101089, URG12/03, IH120100032]; Australian Research Council [DE130101089, IH120100032] Funding Source: Australian Research Council</t>
  </si>
  <si>
    <t>Australian Research Council(Australian Research Council); Australian Research Council(Australian Research Council)</t>
  </si>
  <si>
    <t>This study was supported in part by the Australian Research Council (http://www.arc.gov.au/) through a Discovery Early Career Research Award granted to Dr Tomer Ventura (DECRA; No. DE130101089), as well as a Collaborative Research Network seed grant and a University seed grant (URG12/03) awarded to Dr Tomer Ventura, Associate Professor Stephen Battaglene and Professor Abigail Elizur by USC. Lobster culture and participation from Associate Professor Stephen Battaglene and Dr Quinn Fitzgibbon were supported by the Australian Research Council Industrial Research Transformation grant (No. IH120100032).</t>
  </si>
  <si>
    <t>10.1038/srep13537</t>
  </si>
  <si>
    <t>CP8MX</t>
  </si>
  <si>
    <t>gold, Green Published, Green Accepted, Green Submitted</t>
  </si>
  <si>
    <t>WOS:000360149200001</t>
  </si>
  <si>
    <t>Bothale, RV; Rao, PVN; Dutt, CBS; Dadhwal, VK; Maurya, D</t>
  </si>
  <si>
    <t>Bothale, Rajashree V.; Rao, P. V. N.; Dutt, C. B. S.; Dadhwal, V. K.; Maurya, Devesh</t>
  </si>
  <si>
    <t>Spatio-temporal dynamics of surface melting over Antarctica using OSCAT and QuikSCAT scatterometer data (2001-2014)</t>
  </si>
  <si>
    <t>CURRENT SCIENCE</t>
  </si>
  <si>
    <t>Ice shelves; scatterometer data; spatio-temporal dynamics; snowmelt</t>
  </si>
  <si>
    <t>SUMMER MELT; ICE; SNOWMELT; PERIOD; SEASON; TRENDS</t>
  </si>
  <si>
    <t>In this article, spatio-temporal dynamics of snowmelt in Antarctica from 2001 to 2014 using OSCAT and QuikSCAT scatterometer data is presented. Melting over Antarctic ice sheet can influence shelf dynamics and stability. Here, we have utilized the sensitivity of scatterometer data to detect the presence of liquid water in the snow caused due to melt conditions. After analysing decadal data, a spatial and temporal variation in the average backscatter coefficient was observed over the shelf areas. An adaptive threshold-based classification using austral winter mean and standard deviation of HH polarization is used which takes into account the spatial and temporal variability in backscatter from snow/ice. Significant spatiotemporal variability in melt area, duration and melt index was observed. Around 9.5% of the continent experienced melt over the study period. Larsen C and George VI shelves had maximum melt duration. The high correlation between melt duration obtained from satellite data and the positive degree day validates the efficacy of the melt algorithm used in the analysis and sensitivity of OSCAT data in detecting presence of water due to melt. There is seasonal and spatial variation in melt onset. Based on MI, 2004-05 was the warmest summer over the continent with 2011-12 being the coldest summer. Consistent and intensive melting was observed over Amery, Larsen C, George VI, Lazarev and Fimbul shelves. Melting of sporadic nature was observed over Ronne-Filchner, Ross and Riiser-Larsen shelves. The East Antarctic shelves experienced large melt during the study period. This article presents the suitability of OSCAT in melt identification and status of melt over the continent.</t>
  </si>
  <si>
    <t>[Bothale, Rajashree V.; Rao, P. V. N.; Dutt, C. B. S.; Dadhwal, V. K.; Maurya, Devesh] Natl Remote Sensing Ctr ISRO, Hyderabad 500037, Andhra Pradesh, India</t>
  </si>
  <si>
    <t>Department of Space (DoS), Government of India; Indian Space Research Organisation (ISRO); National Remote Sensing Centre (NRSC)</t>
  </si>
  <si>
    <t>Bothale, RV (corresponding author), Natl Remote Sensing Ctr ISRO, Hyderabad 500037, Andhra Pradesh, India.</t>
  </si>
  <si>
    <t>rbothale@gmail.com</t>
  </si>
  <si>
    <t>Dadhwal, Vinay K/F-9825-2010</t>
  </si>
  <si>
    <t>INDIAN ACAD SCIENCES</t>
  </si>
  <si>
    <t>BANGALORE</t>
  </si>
  <si>
    <t>C V RAMAN AVENUE, SADASHIVANAGAR, P B #8005, BANGALORE 560 080, INDIA</t>
  </si>
  <si>
    <t>0011-3891</t>
  </si>
  <si>
    <t>CURR SCI INDIA</t>
  </si>
  <si>
    <t>Curr. Sci.</t>
  </si>
  <si>
    <t>AUG 25</t>
  </si>
  <si>
    <t>CP8PY</t>
  </si>
  <si>
    <t>WOS:000360157700019</t>
  </si>
  <si>
    <t>Manu, S; Rawat, R; Sinha, AK; Gurubaran, S; Jeeva, K</t>
  </si>
  <si>
    <t>Manu, S.; Rawat, R.; Sinha, A. K.; Gurubaran, S.; Jeeva, K.</t>
  </si>
  <si>
    <t>Schumann resonances observed at Maitri, Antarctica: diurnal variation and its interpretation in terms of global thunderstorm activity</t>
  </si>
  <si>
    <t>Diurnal variations; global electric circuit; lightning; Schumann resonances</t>
  </si>
  <si>
    <t>IONOSPHERE CAVITY MODES; FREQUENCY VARIATIONS; PARAMETERS; REGION</t>
  </si>
  <si>
    <t>Schumann resonances (SRs) are the AC components of the global electric circuit and are excited by the lightning activity within the Earth-ionosphere waveguide. An induction magnetometer, which was operated from the Indian Antarctic station, Maitri (70.8 degrees S, 11.7 degrees E), served to examine the SR parameters, namely the amplitude and frequency, in the north-south (HNS) and east-west (H-EW) magnetic components. The analysis for the first resonant mode presented in this work reveals a strong UT variation in its amplitude in seasonal as well as yearly timescales. The NS amplitude reveals a semi-diurnal variation with peaks at similar to 1000 and similar to 2100 UT, whereas the EW amplitude exhibits a strong diurnal variation with a pronounced peak at 1600 UT. The diurnal curves for the frequency for both components are similar in nature to those for the amplitude, but for a time shift. The diurnal trend in the amplitude is retained irrespective of seasons, whereas significant difference are noticed in the frequency behaviour between the summer and winter seasons, especially in the EW component. The observed diurnal variation in the SR intensity is explained in terms of the dominant thunderstorm activity centred over the three convectively active regions: Asia/Maritime Continent (Indonesia), South America and Africa. The diurnal variation in frequency depends not only on the location of the thunderstorm region with respect to the observer, but also on the ionospheric day/night conditions and the Earth-ionosphere cavity thickness.</t>
  </si>
  <si>
    <t>[Manu, S.; Jeeva, K.] Indian Inst Geomagnetism, Equatorial Geophys Res Lab, Tirunelveli 627011, India; [Rawat, R.; Sinha, A. K.; Gurubaran, S.] Indian Inst Geomagnetism, New Panvel W 410218, Navi Mumbai, India</t>
  </si>
  <si>
    <t>Department of Science &amp; Technology (India); Indian Institute of Geomagnetism (IIG); Department of Science &amp; Technology (India); Indian Institute of Geomagnetism (IIG)</t>
  </si>
  <si>
    <t>Gurubaran, S (corresponding author), Indian Inst Geomagnetism, New Panvel W 410218, Navi Mumbai, India.</t>
  </si>
  <si>
    <t>gurubara@iigs.iigm.res.in</t>
  </si>
  <si>
    <t>SHANMUGAM, MANU/I-7629-2015; Gurubaran, Subramanian/C-6694-2013</t>
  </si>
  <si>
    <t>SHANMUGAM, MANU/0000-0003-3307-456X; Sinha, Ashwini Kumar/0000-0003-1329-6579; Rawat, Rahul/0000-0002-7275-8895; Gurubaran, Subramanian/0000-0002-9678-1352</t>
  </si>
  <si>
    <t>WOS:000360157700026</t>
  </si>
  <si>
    <t>Lannuzel, D; Grotti, M; Abelmoschi, ML; van der Merwe, P</t>
  </si>
  <si>
    <t>Lannuzel, Delphine; Grotti, Marco; Abelmoschi, Marie Luisa; van der Merwe, Pier</t>
  </si>
  <si>
    <t>Organic ligands control the concentrations of dissolved iron in Antarctic sea ice</t>
  </si>
  <si>
    <t>MARINE CHEMISTRY</t>
  </si>
  <si>
    <t>Sea ice; Seawater; Iron; Organic ligands; Complexation; Antarctica</t>
  </si>
  <si>
    <t>ROSS SEA; COMPLEXING LIGANDS; NATURAL-WATERS; TRACE-METALS; COMPLEXATION; SEAWATER; SPECIATION; OCEAN; EQUILIBRATION; MANGANESE</t>
  </si>
  <si>
    <t>The organic complexation of dissolved iron (DFe) was assessed in 5 snow, 34 sea ice, 12 brine and 24 under-ice seawater samples collected during a 22 day time series in the East Antarctic sector in austral summer 2009. Similar to seawater, over 99% of DFe was bound to organic ligands in snow, sea ice and brines throughout the study. Dissolved organic ligand and Fe concentrations were higher in the brines and sea ice than in snow and seawater samples. In sea ice, [DFe] ranged from 2.1 to 81.0 nM and organic Fe complexing ligands ([Lt]) ranged from 4.5 to 72.1 nM, with complex stability log K-FeL = 21.0-23.0. Estimated concentrations of inorganic Fe ([Fe'] in sea ice ranged from 0.1 to 982 pM. In brines, [DFe] ranged from 03 to 34.6 nM and [Lt] ranged from 5.9 to 41.4 nM, with complex stability log K-FeL = 21.0-22.0. Estimated concentrations of inorganic Fe (Fe') in brines ranged from 0.70 to 72 pM. Organic ligands were nearly saturated with Fe in both sea ice and brines, with positive linear relationships observed between [DFe] and [Lt]: [Lt] = 0.90 [DFe] + 4.24 (R-2 = 0.93, n = 34) in sea ice and [Lt] = 1.08[DFe] + 4.86 (R-2 = 0.98, n = 12) in brines. Our results therefore suggest that the organic ligands produced by sea ice algae and bacteria keep Fe in the dissolved phase therefore enhancing its availability for the sea ice algal community. When DFe concentrations become higher than the ligand concentrations, non-organically bound Fe is transferred into the particulate phase by scavenging, biological uptake or precipitation processes. As sea ice starts to melt, DFe is released into seawater together with organic ligands, potentially increasing the residence time of Fe in Antarctic surface waters and its bio-availability for the phytoplankton community. (C) 2015 Elsevier B.V. All rights reserved.</t>
  </si>
  <si>
    <t>[Lannuzel, Delphine] Inst Marine &amp; Antarctic Studies, Hobart, Tas 7001, Australia; [Lannuzel, Delphine; van der Merwe, Pier] Univ Tasmania, Antarctic Climate &amp; Ecosyst CRC, Hobart, Tas 7001, Australia; [Grotti, Marco; Abelmoschi, Marie Luisa] Univ Genoa, Dept Chem &amp; Ind Chem, I-16146 Genoa, Italy</t>
  </si>
  <si>
    <t>University of Tasmania; University of Tasmania; University of Genoa</t>
  </si>
  <si>
    <t>Lannuzel, D (corresponding author), Inst Marine &amp; Antarctic Studies, Locked Bag 129, Hobart, Tas 7001, Australia.</t>
  </si>
  <si>
    <t>delphine.lannuzel@utas.edu.au</t>
  </si>
  <si>
    <t>Grotti, Marco/HGU-3949-2022; lannuzel, delphine/J-7937-2014; van der Merwe, Pier/C-9210-2015</t>
  </si>
  <si>
    <t>Grotti, Marco/0000-0001-6956-5761; lannuzel, delphine/0000-0001-6154-1837; van der Merwe, Pier/0000-0002-7428-8030</t>
  </si>
  <si>
    <t>Australian Research Council [ARC DP0985361, DE120100030]; Australian Government Cooperative Research Centre Programme through the Antarctic Climate &amp; Ecosystems (ACE) CRC; Australian Government Cooperative Research Centre Programme through Australian Antarctic Science (AAS) project [3026]; Italian National Program for Research in Antarctica (PNRA); Australian Research Council [DE120100030] Funding Source: Australian Research Council</t>
  </si>
  <si>
    <t>Australian Research Council(Australian Research Council); Australian Government Cooperative Research Centre Programme through the Antarctic Climate &amp; Ecosystems (ACE) CRC(Australian GovernmentDepartment of Industry, Innovation and ScienceCooperative Research Centres (CRC) Programme); Australian Government Cooperative Research Centre Programme through Australian Antarctic Science (AAS) project(Australian GovernmentDepartment of Industry, Innovation and ScienceCooperative Research Centres (CRC) Programme); Italian National Program for Research in Antarctica (PNRA)(Ministry of Education, Universities and Research (MIUR)); Australian Research Council(Australian Research Council)</t>
  </si>
  <si>
    <t>The authors would like to thank the staff from Casey station for their logistic support. We are grateful to Andrew Cianchi, Mick Stapleton and Simon Cross for the field support, to Dr Andrea Bazzano for the data processing with R and to Prof van den Berg for his useful suggestions on voltammetric measurements. This work was co-funded by the Australian Research Council (ARC DP0985361 and DE120100030), the Australian Government Cooperative Research Centres Programme through the Antarctic Climate &amp; Ecosystems (ACE) CRC and Australian Antarctic Science (AAS) project #3026 and the Italian National Program for Research in Antarctica (PNRA).</t>
  </si>
  <si>
    <t>0304-4203</t>
  </si>
  <si>
    <t>1872-7581</t>
  </si>
  <si>
    <t>MAR CHEM</t>
  </si>
  <si>
    <t>Mar. Chem.</t>
  </si>
  <si>
    <t>AUG 20</t>
  </si>
  <si>
    <t>10.1016/j.marchem.2015.05.005</t>
  </si>
  <si>
    <t>Chemistry, Multidisciplinary; Oceanography</t>
  </si>
  <si>
    <t>Chemistry; Oceanography</t>
  </si>
  <si>
    <t>CN7QH</t>
  </si>
  <si>
    <t>WOS:000358628600012</t>
  </si>
  <si>
    <t>Zhang, MM; Chen, LQ</t>
  </si>
  <si>
    <t>Zhang, Miming; Chen, Liqi</t>
  </si>
  <si>
    <t>Continuous underway measurements of dimethyl sulfide in seawater by purge and trap gas chromatography coupled with pulsed flame photometric detection</t>
  </si>
  <si>
    <t>Dimethyl sulfide; Shipboard underway measurement; Purge and trap</t>
  </si>
  <si>
    <t>SEA-ICE; SURFACE SEAWATER; SULFUR-COMPOUNDS; SOUTHERN-OCEAN; DMS; DIMETHYLSULFONIOPROPIONATE; DIMETHYLSULFOXIDE; VARIABILITY; ATMOSPHERE; WATERS</t>
  </si>
  <si>
    <t>In this study, a conventional purge and trap (PT) system was modified with gas chromatography coupled with pulsed flame photometric detection (GC-PFPD) to achieve long-term continuous shipboard underway measurements of trace-level dimethyl sulfide (DMS) in unfiltered seawater. This PT system is automated, time-efficient and electronically temperature controlled. A complete analytical cycle for each sample only requires 8.5 min. The critical aspects of the PT-GC-PFPD system were evaluated, and sharp peaks were observed for nanomolar levels of DMS with a low limit of detection (LOD) of 0.05 nmol L-1. Unfiltered seawater samples were continuously supplied to the system because small deviations were observed in the responses between filtered and unfiltered seawater samples (ranging from 0.7% to 4.7%). Moreover, during 9 days of continuous in-situ observations, a 6% deviation in the standards was observed, indicating that this system is reliable and stable. The successful application of this system in a field study suggested that the proposed DMS analysis method would significantly facilitate data collection in the field. In addition, dimethylsulfoniopropionate (DMSP) was also detected by this system after conversion to DMS. The required modifications are affordable and can be easily performed by laboratories that have traditional, non-commercial, purge and trap systems. (C) 2015 Elsevier B.V. All rights reserved.</t>
  </si>
  <si>
    <t>Xiamen Univ, Coll Ocean &amp; Earth Sci, Xiamen 361100, Peoples R China; [Chen, Liqi] State Ocean Adm, Inst Oceanog 3, Key Lab Global &amp; Marine Atmospher Chem, Xiamen 361005, Peoples R China</t>
  </si>
  <si>
    <t>Xiamen University; Third Institute of Oceanography, Ministry of Natural Resources</t>
  </si>
  <si>
    <t>Chen, LQ (corresponding author), State Ocean Adm, Inst Oceanog 3, Key Lab Global &amp; Marine Atmospher Chem, Xiamen 361005, Peoples R China.</t>
  </si>
  <si>
    <t>Lqchen@soa.gov.cn</t>
  </si>
  <si>
    <t>National Natural Science Foundation of China [41230529, 41476172]; Chinese Projects for Investigations and Assessments of the Arctic and Antarctic (CHINARE) [01-04-02, 02-01, 03-04-02]; Chinese International Cooperation Projects [2015DFG22010, IC201201, IC201308, IC201513]</t>
  </si>
  <si>
    <t>National Natural Science Foundation of China(National Natural Science Foundation of China (NSFC)); Chinese Projects for Investigations and Assessments of the Arctic and Antarctic (CHINARE); Chinese International Cooperation Projects</t>
  </si>
  <si>
    <t>We thank the Chinese Arctic and Antarctic Administration (CAA) of the State Oceanic Administration (SOA) and the crew of the R/V Xue Long for support with the field operations. Furthermore, we would like to extend our thanks to Yanfang Wu, a Ph.D. student of the University of New South Wales, and Bo Yang, a Ph.D. Student from the University of South Florida, for their assistance with English and their discussions and revisions of the paper. We would also like to thank Professor Christa Marandino from GEOMAR - Helmholtz Centre for Ocean Research Kiel, Germany, for her help in revising the paper. This work was supported by the National Natural Science Foundation of China (41230529, 41476172), the Chinese Projects for Investigations and Assessments of the Arctic and Antarctic (CHINARE2012-15 for 01-04-02, 02-01 and 03-04-02), and the Chinese International Cooperation Projects (2015DFG22010, IC201201, IC201308, IC201513).</t>
  </si>
  <si>
    <t>10.1016/j.marchem.2015.05.006</t>
  </si>
  <si>
    <t>WOS:000358628600007</t>
  </si>
  <si>
    <t>Williams, NL; Feely, RA; Sabine, CL; Dickson, AG; Swift, JH; Talley, LD; Russell, JL</t>
  </si>
  <si>
    <t>Williams, Nancy L.; Feely, Richard A.; Sabine, Christopher L.; Dickson, Andrew G.; Swift, James H.; Talley, Lynne D.; Russell, Joellen L.</t>
  </si>
  <si>
    <t>Quantifying anthropogenic carbon inventory changes in the Pacific sector of the Southern Ocean</t>
  </si>
  <si>
    <t>Carbon dioxide; Dissolved inorganic carbon; Anthropogenic carbon; pH; Carbonate chemistry; Ocean acidification; Apparent oxygen utilization; Hydrography; Southern ocean; Decadal change</t>
  </si>
  <si>
    <t>DISSOLVED INORGANIC CARBON; ANTARCTIC INTERMEDIATE WATER; TIME-SERIES; INDIAN-OCEAN; CO2 UPTAKE; DIOXIDE ANALYSIS; TEMPORAL-CHANGES; SURFACE OCEAN; ACIDIFICATION; STORAGE</t>
  </si>
  <si>
    <t>The Southern Ocean plays a major role in mediating the uptake, transport, and long-term storage of anthropogenic carbon dioxide (CO2) into the deep ocean. Examining the magnitude and spatial distribution of this oceanic carbon uptake is critical to understanding how the earth's carbon system will react to continued increases in this greenhouse gas. Here, we use the extended multiple linear regression technique to quantify the total and anthropogenic change in dissolved inorganic carbon (DIC) along the S04P and P16S CLIVAR/U.S. Global Ocean Carbon and Repeat Hydrography Program lines south of 67 degrees S in the Pacific sector of the Southern Ocean between 1992 and 2011 using discrete bottle measurements from repeat occupations. Along the S04P section, which is located in the seasonal sea ice zone south of the Antarctic Circumpolar Current in the Pacific, the anthropogenic component of the DIC increase from 1992 to 2011 is mostly found in the Antarctic Surface Water (AASW, upper 100 m), while the increase in DIC below the mixed layer in the Circumpolar Deep Water can be primarily attributed to either a slowdown in circulation or decreased ventilation of deeper, high CO2 waters. In the AASW we calculate an anthropogenic increase in DIC of 12-18 mu mol kg(-1) and an average storage rate of anthropogenic CO2 of 0.10 +/- 0.02 mol m(-2) yr(-1) for this region compared to a global average of 0.5 +/- 0.2 mol m(-2) yr(-1). In surface waters this anthropogenic CO2 uptake results in an average pH decrease of 0.0022 +/- 0.0004 pH units yr(-1), a 0.47 +/- 0.10% yr(-1) decrease in the saturation state of aragonite (Omega(Aragonite)) and a 2.0 +/- 0.7 m yr(-1) shoaling of the aragonite saturation horizons (calculated for the Omega(Aragonite) = 1.3 contour). (C) 2015 Published by Elsevier B.V.</t>
  </si>
  <si>
    <t>[Williams, Nancy L.] Univ Washington, Sch Oceanog, Seattle, WA 98195 USA; [Williams, Nancy L.; Feely, Richard A.; Sabine, Christopher L.] NOAA, Pacific Marine Environm Lab, Seattle, WA 98115 USA; [Dickson, Andrew G.; Swift, James H.; Talley, Lynne D.] Univ Calif San Diego, Scripps Inst Oceanog, La Jolla, CA 92093 USA; [Russell, Joellen L.] Univ Arizona, Dept Geosci, Tucson, AZ 85721 USA</t>
  </si>
  <si>
    <t>University of Washington; University of Washington Seattle; National Oceanic Atmospheric Admin (NOAA) - USA; University of California System; University of California San Diego; Scripps Institution of Oceanography; University of Arizona</t>
  </si>
  <si>
    <t>Williams, NL (corresponding author), Univ Washington, Sch Oceanog, Box 357940, Seattle, WA 98195 USA.</t>
  </si>
  <si>
    <t>Nancy.Williams@oregonstate.edu; Richard.A.Feely@noaa.gov; Chris.Sabine@noaa.gov; adickson@ucsd.edu; jswift@ucsd.edu; ltalley@ucsd.edu; jrussell@email.arizona.edu</t>
  </si>
  <si>
    <t>/AAL-3738-2021; Williams, Nancy L./ABH-4755-2020; Feely, Richard A./ABI-5740-2020; Dickson, Andrew Gilmore/HPE-2168-2023</t>
  </si>
  <si>
    <t>Williams, Nancy L./0000-0002-6541-9385; Russell, Joellen/0000-0001-9937-6056; Swift, James/0000-0003-0957-5444; Talley, Lynne/0000-0003-1574-729X</t>
  </si>
  <si>
    <t>National Oceanic and Atmospheric Administration (NOAA); National Science Foundation [OCE-0752972, P148130]; Directorate For Geosciences; Division Of Ocean Sciences [0752972] Funding Source: National Science Foundation; Office of Polar Programs (OPP); Directorate For Geosciences [1425989] Funding Source: National Science Foundation</t>
  </si>
  <si>
    <t>National Oceanic and Atmospheric Administration (NOAA)(National Oceanic Atmospheric Admin (NOAA) - USA); National Science Foundation(National Science Foundation (NSF)); Directorate For Geosciences; Division Of Ocean Sciences(National Science Foundation (NSF)NSF - Directorate for Geosciences (GEO)); Office of Polar Programs (OPP); Directorate For Geosciences(National Science Foundation (NSF)NSF - Directorate for Geosciences (GEO))</t>
  </si>
  <si>
    <t>The National Oceanic and Atmospheric Administration (NOAA) and the National Science Foundation Grant OCE-0752972 (subcontract P148130) sponsored this work. We specifically acknowledge Joel Levy, Kathy Tedesco, and David Legler of the Climate Observations Division of the NOAA Climate Program and Eric Itsweire and Don Rice of the National Science Foundation for their continued support. We would also like to thank all the officers, crew, and scientists of the WOCE/JGOFS and CLIVAR/U.S. Global Ocean Carbon and Repeat Hydrography Program cruises for providing these valuable data. This is PMEL contribution number 4228.</t>
  </si>
  <si>
    <t>10.1016/j.marchem.2015.06.015</t>
  </si>
  <si>
    <t>WOS:000358628600015</t>
  </si>
  <si>
    <t>Sergeev, VA; Dmitrieva, NP; Stepanov, NA; Sormakov, DA; Angelopoulos, V; Runov, AV</t>
  </si>
  <si>
    <t>Sergeev, V. A.; Dmitrieva, N. P.; Stepanov, N. A.; Sormakov, D. A.; Angelopoulos, V.; Runov, A. V.</t>
  </si>
  <si>
    <t>On the plasma sheet dependence on solar wind and substorms and its role in magnetosphere-ionosphere coupling</t>
  </si>
  <si>
    <t>Plasma sheet; Particle acceleration; Solar wind driver; Substorms; Flow burst</t>
  </si>
  <si>
    <t>TEMPERATURE; CURRENTS</t>
  </si>
  <si>
    <t>Recently, it was argued that Hall conductivity and peak intensity of equivalent ionospheric currents are sensitive to the amount of field-aligned acceleration of plasma sheet (PS) electrons, which in turn depends on the plasma sheet parameters T-e and N-e (electron temperature and density) proportionally to the quantity eTN = (T-e)(1/2)/N-e. Here we extend these studies using data from six tail seasons of THEMIS observations to show statistically that the behavior of these PS electron parameters, measured in the middle of the nightside plasma sheet at similar to 10 R-E distance, depends in a very different way on two basic processes: the solar wind state and substorms. We confirm previous work that slow/dense (fast/tenuous) solar wind provides cold/dense (hot/tenuous) plasma sheet conditions. However, we find that electron temperature and pressure parameters (T-e and P-e) behave differently from the proton ones (T-p and P-p), indicating a strong decoupling between temperature variations of auroral protons and electrons in the central plasma sheet (CPS): electrons are more sensitive to the substorm-related acceleration in the magnetotail than protons. Our superposed epoch study of plasma sheet parameter variations during substorms as well as our analysis of plasma acceleration at dipolarization fronts shows that during the substorm expansion phase a new (accelerated and plasma-depleted) population comes into the inner CPS with the flow bursts, showing an average increase of electron temperature and eTN parameter roughly by a factor of 2 above its background values for both cold/dense and hot/tenuous plasma sheet states. Preferential electron heating in the flow bursts is also statistically confirmed.</t>
  </si>
  <si>
    <t>[Sergeev, V. A.; Dmitrieva, N. P.; Stepanov, N. A.] St Petersburg State Univ, Earth Phys Dept, St Petersburg 198504, Russia; [Stepanov, N. A.; Sormakov, D. A.] Arctic &amp; Antarctic Res Inst, St Petersburg 199226, Russia; [Angelopoulos, V.; Runov, A. V.] Univ Calif Los Angeles, Los Angeles, CA USA</t>
  </si>
  <si>
    <t>Saint Petersburg State University; Arctic &amp; Antarctic Research Institute; University of California System; University of California Los Angeles</t>
  </si>
  <si>
    <t>Sergeev, VA (corresponding author), St Petersburg State Univ, Earth Phys Dept, Ulyanovskaya 1, St Petersburg 198504, Russia.</t>
  </si>
  <si>
    <t>victor@geo.phys.spbu.ru</t>
  </si>
  <si>
    <t>Никита, Степанов/AAB-8570-2022; Sergeev, Victor A/H-1173-2013; Sormakov, Dmitry/K-1695-2014; Dmitrieva, Natalia/Q-3549-2016</t>
  </si>
  <si>
    <t>Никита, Степанов/0000-0003-0014-5886; Sergeev, Victor A/0000-0002-4569-9631; Angelopoulos, Vassilis/0000-0001-7024-1561; Sormakov, Dmitry/0000-0003-2829-5982; Dmitrieva, Natalia/0000-0003-1459-9440</t>
  </si>
  <si>
    <t>Russian Foundation of Basic Research grant [13-05-00132]</t>
  </si>
  <si>
    <t>Russian Foundation of Basic Research grant</t>
  </si>
  <si>
    <t>We thank the data providers, NSSDC at NASA GSFC for the OMNI data, Kyoto WDC for the AL index data, and C. W. Carlson and J. P. McFadden for the use of the ESA THEMIS data. This work was supported by the Russian Foundation of Basic Research grant 13-05-00132.</t>
  </si>
  <si>
    <t>AUG 19</t>
  </si>
  <si>
    <t>10.1186/s40623-015-0296-x</t>
  </si>
  <si>
    <t>CP1DP</t>
  </si>
  <si>
    <t>WOS:000359616800002</t>
  </si>
  <si>
    <t>Bowman, JS; Ducklow, HW</t>
  </si>
  <si>
    <t>Bowman, Jeff S.; Ducklow, Hugh W.</t>
  </si>
  <si>
    <t>Microbial Communities Can Be Described by Metabolic Structure: A General Framework and Application to a Seasonally Variable, Depth-Stratified Microbial Community from the Coastal West Antarctic Peninsula</t>
  </si>
  <si>
    <t>SEA-ICE; BACTERIAL; BACTERIOPLANKTON; PHYLOGENY; DIVERSITY; ALIGNMENT; GENOMICS; DATABASE; SUMMER; WINTER</t>
  </si>
  <si>
    <t>Taxonomic marker gene studies, such as the 16S rRNA gene, have been used to successfully explore microbial diversity in a variety of marine, terrestrial, and host environments. For some of these environments long term sampling programs are beginning to build a historical record of microbial community structure. Although these 16S rRNA gene datasets do not intrinsically provide information on microbial metabolism or ecosystem function, this information can be developed by identifying metabolisms associated with related, phenotyped strains. Here we introduce the concept of metabolic inference; the systematic prediction of metabolism from phylogeny, and describe a complete pipeline for predicting the metabolic pathways likely to be found in a collection of 16S rRNA gene phylotypes. This framework includes a mechanism for assigning confidence to each metabolic inference that is based on a novel method for evaluating genomic plasticity. We applied this framework to 16S rRNA gene libraries from the West Antarctic Peninsula marine environment, including surface and deep summer samples and surface winter samples. Using statistical methods commonly applied to community ecology data we found that metabolic structure differed between summer surface and winter and deep samples, comparable to an analysis of community structure by 16S rRNA gene phylotypes. While taxonomic variance between samples was primarily driven by low abundance taxa, metabolic variance was attributable to both high and low abundance pathways. This suggests that clades with a high degree of functional redundancy can occupy distinct adjacent niches. Overall our findings demonstrate that inferred metabolism can be used in place of taxonomy to describe the structure of microbial communities. Coupling metabolic inference with targeted metagenomics and an improved collection of completed genomes could be a powerful way to analyze microbial communities in a high-throughput manner that provides direct access to metabolic and ecosystem function.</t>
  </si>
  <si>
    <t>[Bowman, Jeff S.; Ducklow, Hugh W.] Columbia Univ, Lamont Doherty Earth Observ, Palisades, NY 10964 USA; [Bowman, Jeff S.] Blue Marble Space Inst Sci, Seattle, WA USA</t>
  </si>
  <si>
    <t>Columbia University</t>
  </si>
  <si>
    <t>Bowman, JS (corresponding author), Columbia Univ, Lamont Doherty Earth Observ, Palisades, NY 10964 USA.</t>
  </si>
  <si>
    <t>bowmanjs@ldeo.columbia.edu</t>
  </si>
  <si>
    <t>Bowman, Jeff/0000-0002-8811-6280</t>
  </si>
  <si>
    <t>National Science Foundation Division of Polar Programs [1440435, 1340886]; Directorate For Geosciences; Office of Polar Programs (OPP) [1440435] Funding Source: National Science Foundation; Division Of Polar Programs; Directorate For Geosciences [1340886] Funding Source: National Science Foundation</t>
  </si>
  <si>
    <t>National Science Foundation Division of Polar Programs(National Science Foundation (NSF)); Directorate For Geosciences; Office of Polar Programs (OPP)(National Science Foundation (NSF)NSF - Directorate for Geosciences (GEO)); Division Of Polar Programs; Directorate For Geosciences(National Science Foundation (NSF)NSF - Directorate for Geosciences (GEO))</t>
  </si>
  <si>
    <t>Funding provided by National Science Foundation Division of Polar Programs, http://www.nsf.gov/div/index.jsp?div=PLR, grant number 1440435 to HWD and National Science Foundation Division of Polar Programs, http://www.nsf.gov/div/index.jsp?div=PLR, grant number 1340886 to HWD. The funders had no role in study design, data collection and analysis, decision to publish, or preparation of the manuscript.</t>
  </si>
  <si>
    <t>AUG 18</t>
  </si>
  <si>
    <t>e0135868</t>
  </si>
  <si>
    <t>10.1371/journal.pone.0135868</t>
  </si>
  <si>
    <t>CP1VY</t>
  </si>
  <si>
    <t>WOS:000359666100079</t>
  </si>
  <si>
    <t>Solomon, S; Kinnison, D; Bandoro, J; Garcia, R</t>
  </si>
  <si>
    <t>Solomon, Susan; Kinnison, Doug; Bandoro, Justin; Garcia, Rolando</t>
  </si>
  <si>
    <t>Simulation of polar ozone depletion: An update</t>
  </si>
  <si>
    <t>ozone; stratosphere</t>
  </si>
  <si>
    <t>NITRIC-ACID TRIHYDRATE; STRATOSPHERIC CLOUDS; CHLORINE ACTIVATION; MODEL; AEROSOL; UNCERTAINTIES; PARTICLES; HCL; ANTARCTICA; REACTIVITY</t>
  </si>
  <si>
    <t>We evaluate polar ozone depletion chemistry using the specified dynamics version of the Whole Atmosphere Community Climate Model for the year 2011. We find that total ozone depletion in both hemispheres is dependent on cold temperatures (below 192 K) and associated heterogeneous chemistry on polar stratospheric cloud particles. Reactions limited to warmer temperatures above 192 K, or on binary liquid aerosols, yield little modeled polar ozone depletion in either hemisphere. An imposed factor of three enhancement in stratospheric sulfate increases ozone loss by up to 20 Dobson unit (DU) in the Antarctic and 15 DU in the Arctic in this model. Such enhanced sulfate loads are similar to those observed following recent relatively small volcanic eruptions since 2005 and imply impacts on the search for polar ozone recovery. Ozone losses are strongly sensitive to temperature, with a test case cooler by 2 K producing as much as 30 DU additional ozone loss in the Antarctic and 40 DU in the Arctic. A new finding of this paper is the use of the temporal behavior and variability of ClONO2 and HCl as indicators of the efficacy of heterogeneous chemistry. Transport of ClONO2 from the southern subpolar regions near 55-65 degrees S to higher latitudes near 65-75 degrees S provides a flux of NOx from more sunlit latitudes to the edge of the vortex and is important for ozone loss in this model. Comparisons between modeled and observed total column and profile ozone perturbations, ClONO2 abundances, and the rate of change of HCl bolster confidence in these conclusions.</t>
  </si>
  <si>
    <t>[Solomon, Susan; Bandoro, Justin] MIT, Dept Earth Atmospher &amp; Planetary Sci, Cambridge, MA 02139 USA; [Kinnison, Doug; Garcia, Rolando] Natl Ctr Atmospher Res, Div Atmospher Chem, Boulder, CO 80307 USA</t>
  </si>
  <si>
    <t>Massachusetts Institute of Technology (MIT); National Center Atmospheric Research (NCAR) - USA</t>
  </si>
  <si>
    <t>Solomon, S (corresponding author), MIT, Dept Earth Atmospher &amp; Planetary Sci, Cambridge, MA 02139 USA.</t>
  </si>
  <si>
    <t>solos@mit.edu</t>
  </si>
  <si>
    <t>NSF FESD [OCE-1338814]; NSF atmospheric chemistry division; U.S. National Science Foundation; National Science Foundation (NSF); Office of Science of the U.S. Department of Energy; NSF; Canadian Space Agency</t>
  </si>
  <si>
    <t>NSF FESD; NSF atmospheric chemistry division; U.S. National Science Foundation(National Science Foundation (NSF)); National Science Foundation (NSF)(National Science Foundation (NSF)); Office of Science of the U.S. Department of Energy(United States Department of Energy (DOE)); NSF(National Science Foundation (NSF)); Canadian Space Agency(Canadian Space Agency)</t>
  </si>
  <si>
    <t>We thank Meijong Park for help with the MLS data. D. E. Kinnison and S. Solomon were partially supported by NSF FESD grant OCE-1338814 and a grant from the NSF atmospheric chemistry division. The National Center for Atmospheric Research (NCAR) is sponsored by the U.S. National Science Foundation. WACCM is a component of the Community Earth System Model (CESM), which is supported by the National Science Foundation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 Laboratory (CISL). We are grateful to Michael Hopfner, Peter Bernath, and two anonymous referees for helpful comments and suggestions. We thank NASA Goddard Space Flight Center for the MERRA data (accessed freely online at http://disc.sci.gsfc.nasa.gov/). We also thank the MLS team for the constituent data used in this paper, freely available at http://disc.sci.gsfc.nasa.gov/ Aura/data-holdings/MLS/. We are grateful to the ACE team for their measurements, which are supported by the Canadian Space Agency (available via http://www.ace.uwaterloo.ca/index.html) and to the MIPAS team for their data (https://www.imk-asf.kit.edu/english/308.php). Model results shown in this paper are available on request to the WACCM liaison, Michael Mills (mmills@ucar.edu).</t>
  </si>
  <si>
    <t>AUG 16</t>
  </si>
  <si>
    <t>10.1002/2015JD023365</t>
  </si>
  <si>
    <t>CQ3KV</t>
  </si>
  <si>
    <t>WOS:000360501900038</t>
  </si>
  <si>
    <t>Brasso, RL; Chiaradia, A; Polito, MJ; Rey, AR; Emslie, SD</t>
  </si>
  <si>
    <t>Brasso, Rebecka L.; Chiaradia, Andre; Polito, Michael J.; Raya Rey, Andrea; Emslie, Steven D.</t>
  </si>
  <si>
    <t>A comprehensive assessment of mercury exposure in penguin populations throughout the Southern Hemisphere: Using trophic calculations to identify sources of population-level variation</t>
  </si>
  <si>
    <t>Penguin; Mercury; Trophic level; Population; Southern Hemisphere; Marine ecosystem</t>
  </si>
  <si>
    <t>STABLE-ISOTOPE ANALYSIS; FOOD-WEB; APTENODYTES-PATAGONICUS; INTERANNUAL VARIATION; REPRODUCTIVE SUCCESS; FEATHERS; DIET; METHYLMERCURY; POSITION; BIRDS</t>
  </si>
  <si>
    <t>The wide geographic distribution of penguins (Order Sphenisciformes) throughout the Southern Hemisphere provided a unique opportunity to use a single taxonomic group as biomonitors of mercury among geographically distinct marine ecosystems. Mercury concentrations were compared among ten species of penguins representing 26 geographically distinct breeding populations. Mercury concentrations were relatively low (&lt;=,2.00 ppm) in feathers from 18126 populations considered. Population-level differences in trophic level explained variation in mercury concentrations among Little, King, and Gentoo penguin populations. However, Southern Rockhopper and Magellanic penguins breeding on Staten Island, Tierra del Fuego, had the highest mercury concentrations relative to their conspecifics despite foraging at a lower trophic level. The concurrent use of stable isotope and mercury data allowed us to document penguin populations at the greatest risk of exposure to harmful concentrations of mercury as a result of foraging at a high trophic level or in geographic 'hot spots' of mercury availability. (C) 2015 Elsevier Ltd. All rights reserved.</t>
  </si>
  <si>
    <t>[Brasso, Rebecka L.] Univ N Carolina, Dept Biol, Greensboro, NC 27402 USA; [Chiaradia, Andre] Phillip Isl Nat Pk, Res Dept, Cowes, Vic 3922, Australia; [Polito, Michael J.] Louisiana State Univ, Dept Oceanog &amp; Coastal Sci, Baton Rouge, LA 70803 USA; [Raya Rey, Andrea] Consejo Nacl Invest Cient &amp; Tecn, Ctr Austral Invest Cient, RA-9410 Ushuaia, Tierra Del Fueg, Argentina; [Emslie, Steven D.] Univ N Carolina, Dept Biol &amp; Marine Biol, Wilmington, NC 28403 USA</t>
  </si>
  <si>
    <t>University of North Carolina; University of North Carolina Greensboro; Louisiana State University System; Louisiana State University; Consejo Nacional de Investigaciones Cientificas y Tecnicas (CONICET); University of North Carolina; University of North Carolina Wilmington</t>
  </si>
  <si>
    <t>Brasso, RL (corresponding author), Univ N Carolina, Dept Biol, 356 Sullivan Sci Bldg,321 McIver St, Greensboro, NC 27402 USA.</t>
  </si>
  <si>
    <t>rebecka.brasso@gmail.com</t>
  </si>
  <si>
    <t>Brasso, Rebecka L/I-7014-2013; Chiaradia, Andre/AFK-6634-2022; Polito, Michael/G-9118-2012; Chiaradia, Andre/AAG-4928-2022</t>
  </si>
  <si>
    <t>Chiaradia, Andre/0000-0002-6178-4211; Polito, Michael/0000-0001-8639-4431; Chiaradia, Andre/0000-0002-6178-4211; Raya Rey, Andrea/0000-0003-0127-6650</t>
  </si>
  <si>
    <t>United States National Science Foundation (NSF) Office of Polar Programs grant [ANT 0739575]; Society for Integrative and Comparative Biology; Philanthropic Educational Organization Scholar Award; Office of Polar Programs (OPP); Directorate For Geosciences [0739575] Funding Source: National Science Foundation</t>
  </si>
  <si>
    <t>United States National Science Foundation (NSF) Office of Polar Programs grant(National Science Foundation (NSF)); Society for Integrative and Comparative Biology; Philanthropic Educational Organization Scholar Award; Office of Polar Programs (OPP); Directorate For Geosciences(National Science Foundation (NSF)NSF - Directorate for Geosciences (GEO))</t>
  </si>
  <si>
    <t>Major funding for this research was provided by a United States National Science Foundation (NSF) Office of Polar Programs grant ANT 0739575 to S. Emslie, M. Polito, and W. Patterson. Additional funding was provided to R. Brasso from the Society for Integrative and Comparative Biology and a Philanthropic Educational Organization Scholar Award. For their invaluable assistance with logistical support in the field and the collection of feather samples, we thank W. Trivelpiece and S. Trivelpiece (US Antarctic Marine Living Resources program), N. Parsons and volunteers/staff at the South African Foundation for the Conservation of Coastal Birds, T. Hart, C. Summers, and Phillip Island Nature Parks for their continued strong support. Valuable assistance with data queries was kindly received from V. Barquete, A. Steinfurth, A. Carravieri, and Y. Cherel. Mercury concentrations for Little penguins at St. Kilda were graciously provided by S. Caarels, who prematurely passed away this year. This work complies with and was completed in accordance with Antarctic Conservation Acts permits provided to S. Emslie (2006-001) by the NSF, South African Department of Environmental Affairs Environmental Research (RES2010/11 and RES2011/20) and Convention on International Trade in Endangered Species of Wildlife Fauna and Flora (CITES) permit (112215) provided to N. Parsons and R. Brasso, Wildlife Act 1975 Research permit (10006148) to A. Chiaradia, and Research Permit S.S.C. y T. Nro. 18/11 to A. Raya Rey.</t>
  </si>
  <si>
    <t>AUG 15</t>
  </si>
  <si>
    <t>10.1016/j.marpolbul.2015.05.059</t>
  </si>
  <si>
    <t>CQ2GJ</t>
  </si>
  <si>
    <t>WOS:000360417800053</t>
  </si>
  <si>
    <t>de Oliveira, MF; Rodrigues, E; Suda, CNK; Vani, GS; Donatti, L; Rodrigues, E; Lavrado, HP</t>
  </si>
  <si>
    <t>de Oliveira, Mariana Feijo; Rodrigues Junior, Edson; Suda, Cecilia N. K.; Vani, Gannabathula S.; Donatti, Lucelia; Rodrigues, Edson; Lavrado, Helena P.</t>
  </si>
  <si>
    <t>Interactions of temperature, salinity and diesel oil on antioxidant defense enzymes of the limpet Nacella concinna</t>
  </si>
  <si>
    <t>Antarctica; Pollution; Marine gastropod; Biomarkers; Oxidative stress</t>
  </si>
  <si>
    <t>KING-GEORGE ISLAND; OXIDATIVE STRESS; DIGESTIVE GLAND; CONTAMINATION; HYDROCARBONS; METABOLISM; BIOMARKERS; BIOACCUMULATION; EXPOSURE; SYSTEMS</t>
  </si>
  <si>
    <t>The intertidal and subtidal environments in the Antarctic Peninsula are vulnerable to pollutants, such as diesel oil, a commonly used fuel. Nacelle concinna is capable of accumulating polycyclic aromatic hydrocarbons and is a potential biomonitor of diesel oil contamination. This work investigates the interaction of diesel oil, temperature and salinity on the activity of antioxidants enzymes defense of the gills, foot muscle and digestive glands. Upregulation of superoxide dismutase occurred in the three tissues by warming. The foot muscle catalase and the gill glutathione reductase were upregulated only by diesel. The inability to upregulate catalase and glutathione S-transferase in the digestive gland, as well as the increase of lipoperoxidation, suggested that this gland is more susceptible to the deleterious effects from oxidative stress. (C) 2015 Elsevier Ltd. All rights reserved.</t>
  </si>
  <si>
    <t>[de Oliveira, Mariana Feijo; Rodrigues Junior, Edson; Donatti, Lucelia] Univ Fed Parana, Dept Cell Biol, BR-81530130 Curitiba, Parana, Brazil; [de Oliveira, Mariana Feijo; Rodrigues Junior, Edson; Suda, Cecilia N. K.; Vani, Gannabathula S.; Rodrigues, Edson] Univ Taubate, Basic Biosci Inst, BR-12030180 Taubate, SP, Brazil; [Lavrado, Helena P.] Univ Fed Rio de Janeiro, Dept Marine Biol, BR-21941902 Rio De Janeiro, RJ, Brazil</t>
  </si>
  <si>
    <t>Universidade Federal do Parana; Universidade de Taubate; Universidade Federal do Rio de Janeiro</t>
  </si>
  <si>
    <t>Rodrigues, E (corresponding author), Univ Taubate, Basic Biosci Inst, 500 Ctr, BR-12030180 Taubate, SP, Brazil.</t>
  </si>
  <si>
    <t>mari.feijo@bol.com.br; edsonrodj@gmail.coin; cnksuda@hotmail.com; srvani@hotmail.com; donatti@ufpr.br; rodedson@gmail.com; hplavrado@gmail.com</t>
  </si>
  <si>
    <t>Donatti, Lucelia/E-1930-2013; de Oliveira, Mariana Feijó/AAY-2833-2020; Suda, Cecilia N.K./J-7071-2014; Lavrado, Helena/M-9737-2014; Rodrigues, Edson/C-6792-2015</t>
  </si>
  <si>
    <t>Donatti, Lucelia/0000-0002-9023-2483; Suda, Cecilia/0000-0002-6544-8661; Lavrado, Helena/0000-0002-7275-7075; Rodrigues, Edson/0000-0003-3968-6882</t>
  </si>
  <si>
    <t>Brazilian Ministry of Environment (MMA); Brazilian Ministry of Science, Technology and Innovation (MCTI); National Council for the Development of Scientific and Technological Research (CNPq); Brazilian Federal Agency for Support and Evaluation of Graduate Education (CAPES); Secretariat of the Inter-ministerial Commission for the Resources of the Sea (SeCIRM); CNPq; FAPERJ through the project INCT-APA (CNPq) [574018/2008-5, FAPERJ E-26/170.023/2008]</t>
  </si>
  <si>
    <t>Brazilian Ministry of Environment (MMA); Brazilian Ministry of Science, Technology and Innovation (MCTI); National Council for the Development of Scientific and Technological Research (CNPq)(Conselho Nacional de Desenvolvimento Cientifico e Tecnologico (CNPQ)Fundacao de Apoio a Pesquisa do Distrito Federal (FAPDF)); Brazilian Federal Agency for Support and Evaluation of Graduate Education (CAPES)(Coordenacao de Aperfeicoamento de Pessoal de Nivel Superior (CAPES)); Secretariat of the Inter-ministerial Commission for the Resources of the Sea (SeCIRM); CNPq(Conselho Nacional de Desenvolvimento Cientifico e Tecnologico (CNPQ)); FAPERJ through the project INCT-APA (CNPq)</t>
  </si>
  <si>
    <t>We are grateful to the following for their support: Brazilian Ministry of Environment (MMA), Brazilian Ministry of Science, Technology and Innovation (MCTI), National Council for the Development of Scientific and Technological Research (CNPq), Brazilian Federal Agency for Support and Evaluation of Graduate Education (CAPES) and the Secretariat of the Inter-ministerial Commission for the Resources of the Sea (SeCIRM). The authors would like to thank Dr Yocie Yoneshigue Valentin, coordinator of the National Institute of Antarctic Science and Technology of Environmental Research (INCT APA), for all the help and incentive given during execution of the present work. This research was supported by the grants from the CNPq and FAPERJ through the project INCT-APA (CNPq Process No. 574018/2008-5, FAPERJ E-26/170.023/2008)].</t>
  </si>
  <si>
    <t>10.1016/j.marpolbul.2015.05.048</t>
  </si>
  <si>
    <t>WOS:000360417800057</t>
  </si>
  <si>
    <t>Alexander, P; Luna, D; de la Torre, A; Schmidt, T</t>
  </si>
  <si>
    <t>Alexander, P.; Luna, D.; de la Torre, A.; Schmidt, T.</t>
  </si>
  <si>
    <t>Distribution functions and statistical parameters that may be used to characterize limb sounders gravity wave climatologies in the stratosphere</t>
  </si>
  <si>
    <t>Gravity waves; Limb sounders; Statistical descriptions</t>
  </si>
  <si>
    <t>OCCULTATION TEMPERATURE PROFILES; MU RADAR; RAYLEIGH LIDAR; ATMOSPHERE; ANDES; SABER</t>
  </si>
  <si>
    <t>The number of gravity wave (GW) activity climatologies in the stratosphere started to increase more than 10 years ago since the appearance of large amounts of limb and nadir satellite sounders data. There have been very few discussions regarding the adequate statistical description of OW activity in terms of a distribution function and its parameters. We put forward the question whether a general statistical functional representation adaptable to the characteristics of OW activity in diverse geographic regions and seasons exists. Here we approach this issue for two different types of limb sounders and in particular we try to find out which parameters may represent at best the climatological features. We study results for a region close to the Patagonian Andes and their prolongation in the Antarctic Peninsula, which is well-known for the generation by topography of intense stratospheric GW, specially during winter and spring. Global Positioning System (GPS) radio occultation (RO) records presently provide over 2000 profiles per day. We used 5 years of COSMIC (Constellation Observing System for Meteorology, Ionosphere and Climate) mission GPS RO data, which supplied almost 150,000 retrievals for our study. Three different distribution functions have been approached to describe the OW activity climatologies: gaussian, log-normal and gamma. The latter function has not been used in previous work. It has been shown here that it is a competitive option to the log-normal distribution. In addition, its use allows not only to quantify the GW activity level of each climatology in the stratosphere, but also to find out the number of significant modes that essentially determine it. Alternative parameters to the mean like the median may be used to characterize the climatologies. The use of the median may exhibit advantages in cases where the presence of spurious large GW activity measurements are suspected in GPS RO data. The mean is equally suitable to establish GW activity comparisons. As a priori we may not know if the above mentioned artifacts are present, in general it may be more appropriate to use the median. We perform a similar general study for data from the SABER (Sounding of the Atmosphere using Broadband Emission Radiometry) limb instrument, as it is presently also used to obtain global GW climatologies in the stratosphere. Although the observational window and data processing features are not identical for both instruments, the results exhibit many similarities. (C) 2015 COSPAR. Published by Elsevier Ltd. All rights reserved.</t>
  </si>
  <si>
    <t>[Alexander, P.] Consejo Nacl Invest Cient &amp; Tecn, Inst Fis Buenos Aires, RA-1428 Buenos Aires, DF, Argentina; [Luna, D.] Univ Buenos Aires, Fac Ciencias Exactas &amp; Nat, Dept Fis, RA-1428 Buenos Aires, DF, Argentina; [de la Torre, A.] Univ Austral, Fac Ingn, RA-1063 Buenos Aires, DF, Argentina; [Schmidt, T.] GFZ German Res Ctr Geosci, Helmholtz Ctr Potsdam, Potsdam, Germany</t>
  </si>
  <si>
    <t>Consejo Nacional de Investigaciones Cientificas y Tecnicas (CONICET); University of Buenos Aires; Austral University; Helmholtz Association; Helmholtz-Center Potsdam GFZ German Research Center for Geosciences</t>
  </si>
  <si>
    <t>Alexander, P (corresponding author), Consejo Nacl Invest Cient &amp; Tecn, Inst Fis Buenos Aires, Ciudad Univ Pabellon 1, RA-1428 Buenos Aires, DF, Argentina.</t>
  </si>
  <si>
    <t>peter@df.uba.ar; luna@df.uba.ar; adelaTorre@austral.edu.ar; tschmidt@gfz-potsdam.de</t>
  </si>
  <si>
    <t>Schmidt, Torsten/A-7142-2013; Alexander, Peter/R-5044-2019</t>
  </si>
  <si>
    <t>Schmidt, Torsten/0000-0001-9302-1000; Alexander, Peter/0000-0001-9455-2487; de la Torre, Alejandro/0000-0002-4950-5638</t>
  </si>
  <si>
    <t>CONICET [PIP 11220120100034]; ANPCYT [PICT 2013-1097]; German BMBF [01DN14001]</t>
  </si>
  <si>
    <t>CONICET(Consejo Nacional de Investigaciones Cientificas y Tecnicas (CONICET)); ANPCYT(ANPCyT); German BMBF(Federal Ministry of Education &amp; Research (BMBF))</t>
  </si>
  <si>
    <t>Manuscript prepared under grant CONICET PIP 11220120100034, ANPCYT PICT 2013-1097 and German BMBF grant 01DN14001. P. Alexander and A. de la Torre are members of CONICET. GPS RO data downloaded from cdaac-ftp.cosmic.ucar.edu and SABER data from saber.gats-Inc.com. Reanalysis data for Fig. 4 provided by the NOAA-ESRL Physical Sciences Division, Boulder Colorado from www.esrl.noaa.gov/psd.</t>
  </si>
  <si>
    <t>10.1016/j.asr.2015.05.007</t>
  </si>
  <si>
    <t>CN2RU</t>
  </si>
  <si>
    <t>WOS:000358270400004</t>
  </si>
  <si>
    <t>Grammer, GL; Fallon, SJ; Izzo, C; Wood, R; Gillanders, BM</t>
  </si>
  <si>
    <t>Grammer, G. L.; Fallon, S. J.; Izzo, C.; Wood, R.; Gillanders, B. M.</t>
  </si>
  <si>
    <t>Investigating bomb radiocarbon transport in the southern Pacific Ocean with otolith radiocarbon</t>
  </si>
  <si>
    <t>Antarctic intermediate water; southwest Pacific; lower thermocline water; East Australian Current; Tasman Sea; Helicolenus</t>
  </si>
  <si>
    <t>ATMOSPHERIC RADIOCARBON; SOUTHWEST PACIFIC; AGE VALIDATION; PRE-BOMB; GROWTH; CIRCULATION; WATER; CHRONOMETER; ATLANTIC; HISTORY</t>
  </si>
  <si>
    <t>To explore the transport of carbon into water masses from the surface ocean to depths of similar to 1000 m in the southwest Pacific Ocean, we generated time series of radiocarbon (Delta C-14) from fish otoliths. Otoliths (carbonate earstones) from long-lived fish provide an indirect method to examine the bomb pulse of radiocarbon that originated in the 1950s and 1960s, allowing identification of changes to distributions of C-14 that has entered and mixed within the ocean. We micro-sampled ocean perch (Helicolenus barathri) otoliths, collected at similar to 400-500 m in the Tasman Sea, to obtain measurements of Delta C-14 for those depths. We compared our ocean perch Delta C-14 series to published otolith-based marine surface water Delta C-14 values (Australasian snapper (Chrysophrys auratus) and nannygai (Centroberyx affinis)) and to published deep-water values (800-1000 m; orange roughy (Hoplostethus atlanticus)) from the southwest Pacific to establish a mid-water Delta C-14 series. The otolith bomb C-14 results from these different depths were consistent with previous water mass results in the upper 1500 m of the southwest Pacific Ocean (e.g. World Ocean Circulation Experiment and Geochemical Ocean Sections Study). A comparison between the initial Delta C-14 bomb pulse rise at 400-500 m suggested a ventilation lag of 5 to 10 yr, whereas a comparison of the surface and depths of 800-1000 m detailed a 10 to 20 yr lag in the time history of radiocarbon invasion at this depth. Pre-bomb reservoir ages derived from otolith C-14 located in Tasman Sea thermocline waters were similar to 530 yr, while reservoir ages estimated for Tasman Antarctic intermediate water were similar to 730 yr. (C) 2015 Elsevier B.V. All rights reserved.</t>
  </si>
  <si>
    <t>[Grammer, G. L.; Izzo, C.; Gillanders, B. M.] Univ Adelaide, Southern Seas Ecol Labs, Sch Biol Sci, Adelaide, SA 5005, Australia; [Fallon, S. J.; Wood, R.] Australian Natl Univ, Radiocarbon Facil, Res Sch Earth Sci, Canberra, ACT 0200, Australia</t>
  </si>
  <si>
    <t>University of Adelaide; Australian National University</t>
  </si>
  <si>
    <t>Grammer, GL (corresponding author), Univ Adelaide, Southern Seas Ecol Labs, Sch Biol Sci, Adelaide, SA 5005, Australia.</t>
  </si>
  <si>
    <t>gretchen.grammer@adelaide.edu.au</t>
  </si>
  <si>
    <t>Wood, Rachel/K-5577-2016; Grammer, Gretchen/V-9205-2019; Fallon, Stewart/G-6645-2011; Gillanders, Bronwyn/B-4218-2013</t>
  </si>
  <si>
    <t>Wood, Rachel/0000-0002-1694-3295; Grammer, Gretchen/0000-0003-1605-8007; Fallon, Stewart/0000-0002-8064-5903; Gillanders, Bronwyn/0000-0002-7680-2240</t>
  </si>
  <si>
    <t>Dr Paris Goodsell Marine Ecology Research Grant; Nature Foundation SA; Sir Mark Mitchell Research Foundation; CSIRO Wealth from Oceans Flagship; Australian Research Council [FT100100767, DP110100716]; Australian Research Council [FT100100767] Funding Source: Australian Research Council</t>
  </si>
  <si>
    <t>Dr Paris Goodsell Marine Ecology Research Grant; Nature Foundation SA; Sir Mark Mitchell Research Foundation; CSIRO Wealth from Oceans Flagship(Commonwealth Scientific &amp; Industrial Research Organisation (CSIRO)); Australian Research Council(Australian Research Council); Australian Research Council(Australian Research Council)</t>
  </si>
  <si>
    <t>We acknowledge partial funding from the Dr Paris Goodsell Marine Ecology Research Grant, the Nature Foundation SA, the Sir Mark Mitchell Research Foundation, CSIRO Wealth from Oceans Flagship and the Australian Research Council (FT100100767; DP110100716). We acknowledge Kevin Row ling for assistance in otolith acquisition and general mentoring. This manuscript was markedly improved by constructive comments from Katsumi Matsumoto and two anonymous reviewers.</t>
  </si>
  <si>
    <t>10.1016/j.epsl.2015.05.008</t>
  </si>
  <si>
    <t>CL8KJ</t>
  </si>
  <si>
    <t>WOS:000357223300006</t>
  </si>
  <si>
    <t>Freeman, E; Skinner, LC; Tisserand, A; Dokken, T; Timmermann, A; Menviel, L; Friedrich, T</t>
  </si>
  <si>
    <t>Freeman, E.; Skinner, L. C.; Tisserand, A.; Dokken, T.; Timmermann, A.; Menviel, L.; Friedrich, T.</t>
  </si>
  <si>
    <t>An Atlantic-Pacific ventilation seesaw across the last deglaciation</t>
  </si>
  <si>
    <t>radiocarbon; deglacial; intermediate water; ocean ventilation; carbon cycle</t>
  </si>
  <si>
    <t>ANTARCTIC INTERMEDIATE WATER; WESTERN NORTH-ATLANTIC; GLOBAL CARBON-CYCLE; SOUTHERN-OCEAN; RADIOCARBON EVIDENCE; TROPICAL ATLANTIC; CO2; C-14; CIRCULATION; RECORD</t>
  </si>
  <si>
    <t>It has been proposed that the rapid rise of atmospheric CO2 across the last deglaciation was driven by the release of carbon from an extremely radiocarbon-depleted abyssal ocean reservoir that was 'vented' to the atmosphere primarily via the deep- and intermediate overturning loops in the Southern Ocean. While some radiocarbon observations from the intermediate ocean appear to confirm this hypothesis, others appear to refute it. Here we use radiocarbon measurements in paired benthic- and planktonic foraminifera to reconstruct the benthic-planktonic C-14 age offset (i.e. 'ventilation age') of intermediate waters in the western equatorial Atlantic. Our results show clear increases in local radiocarbon-based ventilation ages during Heinrich-Stadial 1 (HS1) and the Younger Dryas (YD). These are found to coincide with opposite changes of similar magnitude observed in the Pacific, demonstrating a 'seesaw' in the ventilation of the intermediate Atlantic and Pacific Oceans that numerical model simulations of North Atlantic overturning collapse indicate was primarily driven by North Pacific overturning. We propose that this Atlantic-Pacific ventilation seesaw would have combined with a previously identified North Atlantic-Southern Ocean ventilation seesaw to enhance ocean-atmosphere CO2 exchange during a 'collapse' of the North Atlantic deep overturning limb. Whereas previous work has emphasized a more passive role for intermediate waters in deglacial climate change (merely conveying changes originating in the Southern Ocean) we suggest instead that the intermediate water seesaw played a more active role via relatively subtle but globally coordinated changes in ocean dynamics that may have further influenced ocean-atmosphere carbon exchange. (C) 2015 Elsevier B.V.</t>
  </si>
  <si>
    <t>[Freeman, E.; Skinner, L. C.] Univ Cambridge, Dept Earth Sci, Godwin Lab Palaeoclimate Res, Cambridge CB2 3EQ, England; [Tisserand, A.; Dokken, T.] Uni Climate, Uni Res, Bergen, Norway; [Tisserand, A.; Dokken, T.] Bjerknes Ctr Climate Res, Bergen, Norway; [Timmermann, A.; Friedrich, T.] Univ Hawaii, Int Pacific Res Ctr, Honolulu, HI 96822 USA; [Timmermann, A.; Friedrich, T.] Univ Hawaii, Dept Oceanog, Honolulu, HI 96822 USA; [Menviel, L.] Univ New S Wales, Climate Change Res Ctr, Sydney, NSW, Australia; [Menviel, L.] ARC Ctr Excellence Climate Syst Sci, Canberra, ACT, Australia</t>
  </si>
  <si>
    <t>University of Cambridge; Bjerknes Centre for Climate Research; University of Hawaii System; University of Hawaii System; University of New South Wales Sydney; ARC Centre of Excellence for Climate System Science</t>
  </si>
  <si>
    <t>Freeman, E (corresponding author), Univ Cambridge, Dept Earth Sci, Godwin Lab Palaeoclimate Res, Cambridge CB2 3EQ, England.</t>
  </si>
  <si>
    <t>ef276@cam.ac.uk</t>
  </si>
  <si>
    <t>Timmermann, Axel/Y-2799-2019; Menviel, Laurie/O-7833-2019; Dokken, Trond/AAE-9168-2021; Menviel, Laurie/D-6902-2013</t>
  </si>
  <si>
    <t>Timmermann, Axel/0000-0003-0657-2969; Tisserand, Amandine/0000-0002-3679-6077; Menviel, Laurie/0000-0002-5068-1591</t>
  </si>
  <si>
    <t>Royal Society; NERC [NE/L006421/1]; Australian Government; US NSF [1341311, 1400914]; Australian Research Council [DE150100107]; Natural Environment Research Council [NE/L006421/1] Funding Source: researchfish; Directorate For Geosciences [1341311, 1400914] Funding Source: National Science Foundation; Division Of Ocean Sciences [1400914] Funding Source: National Science Foundation; Office of Polar Programs (OPP) [1341311] Funding Source: National Science Foundation; Australian Research Council [DE150100107] Funding Source: Australian Research Council; NERC [NE/L006421/1] Funding Source: UKRI</t>
  </si>
  <si>
    <t>Royal Society(Royal Society); NERC(UK Research &amp; Innovation (UKRI)Natural Environment Research Council (NERC)); Australian Government(Australian Government); US NSF(National Science Foundation (NSF)); Australian Research Council(Australian Research Council); Natural Environment Research Council(UK Research &amp; Innovation (UKRI)Natural Environment Research Council (NERC)); Directorate For Geosciences(National Science Foundation (NSF)NSF - Directorate for Geosciences (GEO)); Division Of Ocean Sciences(National Science Foundation (NSF)NSF - Directorate for Geosciences (GEO)); Office of Polar Programs (OPP)(National Science Foundation (NSF)NSF - Directorate for Geosciences (GEO)); Australian Research Council(Australian Research Council); NERC(UK Research &amp; Innovation (UKRI)Natural Environment Research Council (NERC))</t>
  </si>
  <si>
    <t>We are grateful to Adam Scrivner for technical assistance in the laboratory, as well as the Royal Society and NERC grant NE/L006421/1 for research support. The UVic ESCM numerical experiments were performed on a computational cluster from the NCI National Facility systems at the Australian National University through the National Computational Merit Allocation Scheme supported by the Australian Government. A.T. and T.F. acknowledge support from the US NSF grants 1341311, 1400914. L.M. is supported by the Australian Research Council grant DE150100107.</t>
  </si>
  <si>
    <t>10.1016/j.epsl.2015.05.032</t>
  </si>
  <si>
    <t>WOS:000357223300022</t>
  </si>
  <si>
    <t>Amaro, E; Padeiro, A; de Ferro, AM; Mota, AM; Leppe, M; Verkulich, S; Hughes, KA; Peter, HU; Canário, J</t>
  </si>
  <si>
    <t>Amaro, Eduardo; Padeiro, Ana; de Ferro, Andre Mao; Mota, Ana Maria; Leppe, Marcelo; Verkulich, Sergey; Hughes, Kevin A.; Peter, Hans-Ulrich; Canario, Joao</t>
  </si>
  <si>
    <t>Assessing trace element contamination in Fildes Peninsula (King George Island) and Ardley Island, Antarctic</t>
  </si>
  <si>
    <t>Antarctica; Trace elements; Fildes Peninsula; Soil; Vegetation</t>
  </si>
  <si>
    <t>HEAVY-METAL; STATION; MERCURY</t>
  </si>
  <si>
    <t>King George Island, situated in the South Shetland Islands archipelago, is one of the most visited sites in Antarctica. This has contributed to a high density of scientific stations and shelters in the region, especially in Fildes Peninsula. In order to evaluate the natural and anthropogenic sources of trace elements (As, Cd, Cu, Zn, Pb and Hg) soil and moss samples were collected from different sites in January 2013. In general, the results revealed homogeneous concentrations (mu g g(-1)) for each element in the majority of collected samples (As: 3.8 +/- 1.4; Cd: 0.4 +/- 0.9; Cu: 34 +/- 4; Zn: 115 +/- 13; Pb: 20 +/- 5; Hg; 0.011 +/- 0.009). However, some samples in specific areas of Fildes Bay showed the existence of local anthropogenic activities that have contributed to the enrichment of contaminants in soils and moss samples that correlated to one another (e.g. Pb: 1101 mu g g(-1)). Human presence is linked to examples of contamination and environmental perturbation, making essential the implementation of this type of study in order to understand and protect unique places in Antarctica. (C) 2015 Elsevier Ltd. All rights reserved.</t>
  </si>
  <si>
    <t>[Amaro, Eduardo; Padeiro, Ana; de Ferro, Andre Mao; Mota, Ana Maria; Canario, Joao] Univ Lisbon, Inst Super Tecn, Ctr Quim Estrutural, P-1049001 Lisbon, Portugal; [Leppe, Marcelo] Chilean Antarctic Inst, INACH, Punta Arenas, Chile; [Verkulich, Sergey] Arctic &amp; Antarctic Res Inst, St Petersburg 199226, Russia; [Hughes, Kevin A.] British Antarctic Survey, Cambridge CB3 0ET, England; [Peter, Hans-Ulrich] Univ Jena, Jena, Germany</t>
  </si>
  <si>
    <t>Universidade de Lisboa; Arctic &amp; Antarctic Research Institute; UK Research &amp; Innovation (UKRI); Natural Environment Research Council (NERC); NERC British Antarctic Survey; Friedrich Schiller University of Jena</t>
  </si>
  <si>
    <t>Canário, J (corresponding author), Univ Lisbon, Inst Super Tecn, Ctr Quim Estrutural, P-1049001 Lisbon, Portugal.</t>
  </si>
  <si>
    <t>joao.canario@tecnico.ulisboa.pt</t>
  </si>
  <si>
    <t>Mota, Ana/JBS-4609-2023; Canário, João/O-7189-2019; Canário, João/B-1193-2008; Leppe, Marcelo/L-5447-2014; Hughes, Kevin/JVZ-0793-2024; Silva, Ana/JGM-6679-2023</t>
  </si>
  <si>
    <t>Canário, João/0000-0002-5190-446X; Canário, João/0000-0002-5190-446X; Leppe, Marcelo/0000-0002-1545-8167; Mao de Ferro, Andre/0000-0001-5898-9403; Padeiro, Ana Carina/0000-0001-7750-2146</t>
  </si>
  <si>
    <t>INACH; Portuguese Polar Program; Fundacao para a Ciencia e Tecnologia; Natural Environment Research Council [bas010011] Funding Source: researchfish; NERC [bas010011] Funding Source: UKRI</t>
  </si>
  <si>
    <t>INACH; Portuguese Polar Program; Fundacao para a Ciencia e Tecnologia(Fundacao para a Ciencia e a Tecnologia (FCT)); Natural Environment Research Council(UK Research &amp; Innovation (UKRI)Natural Environment Research Council (NERC)); NERC(UK Research &amp; Innovation (UKRI)Natural Environment Research Council (NERC))</t>
  </si>
  <si>
    <t>Authors thank INACH and Portuguese Polar Program for providing logistic and support. This work was part of the CONTANTARC2 Project from the Programa Polar Portugues funded by Fundacao para a Ciencia e Tecnologia.</t>
  </si>
  <si>
    <t>10.1016/j.marpolbul.2015.05.018</t>
  </si>
  <si>
    <t>WOS:000360417800066</t>
  </si>
  <si>
    <t>Van der Putten, N; Verbruggen, C; Björck, S; Michel, E; Disnar, JR; Chapron, E; Moine, BN; de Beaulieu, JL</t>
  </si>
  <si>
    <t>Van der Putten, Nathalie; Verbruggen, Cyriel; Bjorck, Svante; Michel, Elisabeth; Disnar, Jean-Robert; Chapron, Emmanuel; Moine, Bertrand N.; de Beaulieu, Jacques-Louis</t>
  </si>
  <si>
    <t>The Last Termination in the South Indian Ocean: A unique terrestrial record from Kerguelen Islands (49°S) situated within the Southern Hemisphere westerly belt</t>
  </si>
  <si>
    <t>Palaeoclimatology; Last Termination; Peat record; Kerguelen Islands; Southern Ocean; Indian Ocean; Oceanic Cold Reversal; Southern Hemisphere westerly belt</t>
  </si>
  <si>
    <t>GLACIAL MAXIMUM; CLIMATE CHANGES; ORGANIC-MATTER; ENVIRONMENTAL-CHANGES; YOUNGER DRYAS; WIND CHANGES; LOS ESTADOS; PEAT BOG; HOLOCENE; CORE</t>
  </si>
  <si>
    <t>The awareness of the significance of the Southern Ocean in the Earth's climate system has become increasingly obvious. The deglacial atmospheric CO2 rise during warming periods in Antarctica has been attributed to CO2 ventilation from the deep ocean caused by enhanced upwelling around the Antarctic Divergence. It has been hypothesized that, more intense Southern Hemisphere westerly winds aligned with the Antarctic Circumpolar Current due to a southward shift of the wind belt from its Last Glacial Maximum equator-ward position, are the main drivers. Reconstructions of past changes in atmospheric circulation in the Southern Hemisphere are still scarce and the overall picture is patchy with sometimes contradictory results. For obvious reasons, most terrestrial records originate from southern South America and New Zealand. Here we present a terrestrial record from the Indian sector of the Southern Ocean, from Kerguelen Islands located at 49 degrees S. A peat record is investigated using a multi-proxy approach (pollen and plant macrofossils, magnetic susceptibility, XRF analyses, biogenic silica content, Rock-Eval6 analysis and humification degree). Peat accumulation starts at about 16,000 cal yr BP with relatively warm and dry conditions. The most prominent change in our proxy data occurs at 13,600 cal yr BP, when peat ponds were established on the peat surface, resulting in lacustrine-type deposits, as a result of very high humidity, and with proxies implying very windy conditions. Within chronological uncertainties, this onset coincides with the onset of the so-called Oceanic Cold Reversal, based on the deuterium excess data in the EPICA Dome C ice core record. Kerguelen Islands are located in the moisture source area of Dome C and a change in atmospheric circulation at that time could explain both records. Around 12,900 cal yr BP, at the end of the Antarctic Cold Reversal, pond/lake sediments give way to more peaty deposits, with proxies suggesting slightly drier, less windy and probably warmer conditions. Kerguelen Islands became less influenced by the Southern Hemisphere westerly winds and these conditions were amplified during the early Holocene climate optimum as found in Antarctic ice core records. (C) 2015 Elsevier Ltd. All rights reserved.</t>
  </si>
  <si>
    <t>[Van der Putten, Nathalie; Bjorck, Svante] Lund Univ, Dept Geol, Quaternary Sci, S-22364 Lund, Sweden; [Verbruggen, Cyriel] Univ Ghent, Dept Geol &amp; Soil Sci, B-9000 Ghent, Belgium; [Michel, Elisabeth] Lab Mixte CNRS CEA UVSQ, LSCE, F-91198 Gif Sur Yvette, France; [Disnar, Jean-Robert; Chapron, Emmanuel] Univ Orleans, CNRS, BRGM, Inst Sci Terre Orleans,ISTO,UMR 7327, F-45071 Orleans 2, France; [Moine, Bertrand N.] Univ St Etienne, Univ Lyon, Lab Magmas &amp; Volcans UMR CNRS 6524, F-42023 St Etienne, France; [de Beaulieu, Jacques-Louis] Aix Marseille Univ, IMBE UMR CNRS IRD 7263, F-13545 Aix En Provence 04, France</t>
  </si>
  <si>
    <t>Lund University; Ghent University; CEA; Centre National de la Recherche Scientifique (CNRS); Universite Paris Saclay; Bureau de Recherches Geologiques et Minieres (BRGM); Centre National de la Recherche Scientifique (CNRS); Universite de Orleans; Universite Jean Monnet; Aix-Marseille Universite</t>
  </si>
  <si>
    <t>Van der Putten, N (corresponding author), Lund Univ, Dept Geol, Quaternary Sci, Solvegatan 12, S-22364 Lund, Sweden.</t>
  </si>
  <si>
    <t>Nathalie.van_der_putten@geol.lu.se</t>
  </si>
  <si>
    <t>MOINE, Bertrand/M-7104-2019</t>
  </si>
  <si>
    <t>MOINE, Bertrand/0000-0003-2780-2882; Van der Putten, Nathalie/0000-0002-0271-9321</t>
  </si>
  <si>
    <t>Ghent University, Belgium [BOF-0111 2005]; Swedish Research Council [VR-623-2009-7399, VR-349-2012-6278]; LUCCI Linnaeus grant</t>
  </si>
  <si>
    <t>Ghent University, Belgium(Ghent University); Swedish Research Council(Swedish Research Council); LUCCI Linnaeus grant</t>
  </si>
  <si>
    <t>Funding for NVdP was provided by Ghent University, Belgium (BOF-0111 2005) and the Swedish Research Council (VR-623-2009-7399, VR-349-2012-6278 and the LUCCI Linnaeus grant). Grants for analyses and radiocarbon dating to NVdP from LUCCI WP 3 and the Royal Physiographic Society in Lund, Sweden are greatly acknowledged. We thank the ANIS ARTEMIS facility for 14C analyses made partly within the National CNRS-INSU service and partly through CEA participation. We also thank two anonymous reviewers for their valuable comments on an earlier version of the manuscript.</t>
  </si>
  <si>
    <t>10.1016/j.quascirev.2015.05.010</t>
  </si>
  <si>
    <t>CN0IM</t>
  </si>
  <si>
    <t>WOS:000358097300009</t>
  </si>
  <si>
    <t>Allen, KA; Sikes, EL; Hönisch, B; Elmore, AC; Guilderson, TP; Rosenthal, Y; Anderson, RF</t>
  </si>
  <si>
    <t>Allen, Katherine A.; Sikes, Elisabeth L.; Hoenisch, Baerbel; Elmore, Aurora C.; Guilderson, Thomas P.; Rosenthal, Yair; Anderson, Robert F.</t>
  </si>
  <si>
    <t>Southwest Pacific deep water carbonate chemistry linked to high southern latitude climate and atmospheric CO2 during the Last Glacial Termination</t>
  </si>
  <si>
    <t>Ice age cycles; Marine carbon cycle; Benthic foraminifera; B/Ca; Carbon isotopes; Glacial termination</t>
  </si>
  <si>
    <t>ANTARCTIC INTERMEDIATE WATER; NORTHERN NEW-ZEALAND; OCEAN CIRCULATION; INTERGLACIAL CHANGES; ISOTOPIC COMPOSITION; COLD REVERSAL; B/CA RATIOS; ICE-AGE; ATLANTIC; SEA</t>
  </si>
  <si>
    <t>A greater amount of CO2 was stored in the deep sea during glacial periods, likely via greater efficiency of the biologic pump and increased uptake by a more alkaline ocean. Reconstructing past variations in seawater carbonate ion concentration (a major component of alkalinity) enables quantification of the relative roles of different oceanic CO2 storage mechanisms and also places constraints on the timing, magnitude, and location of subsequent deep ocean ventilation. Here, we present a record of deep-water inorganic carbon chemistry since the Last Glacial Maximum (LGM; similar to 19-23 ka BP), derived from sediment core RR0503-83 raised from 1627 m in New Zealand's Bay of Plenty. The core site lies within the upper limit of southern-sourced Circumpolar Deep Water (CDW), just below the lower boundary of Antarctic Intermediate Water (AAIW). We reconstruct past changes in bottom water inorganic carbon chemistry from the trace element and stable isotopic composition of calcite shells of the epibenthic foraminifer Cibicidoides wuellerstorfi. A record of Delta CO32- (Delta CO32- = [CO32-](in situ) - [CO32-](saturation)) derived from the foraminiferal boron to calcium ratio (B/Ca) provides evidence for greater ice-age storage of respired CO2 and reveals abrupt deglacial shifts in [CO32-](in situ) of up to 30 mu mol/kg (5 times larger than the difference between average LGM and Holocene values). The rapidity of these changes suggests the influence of changing water mass structure and atmospheric circulation in addition to a decrease in CO2 content of interior waters. (C) 2015 Elsevier Ltd. All rights reserved.</t>
  </si>
  <si>
    <t>[Allen, Katherine A.; Sikes, Elisabeth L.; Rosenthal, Yair] Rutgers State Univ, Dept Marine &amp; Coastal Sci, New Brunswick, NJ 08903 USA; [Allen, Katherine A.; Hoenisch, Baerbel; Anderson, Robert F.] Columbia Univ, Lamont Doherty Earth Observ, Palisades, NY USA; [Elmore, Aurora C.] Univ Durham, Dept Earth Sci, Durham, England; [Guilderson, Thomas P.] Lawrence Livermore Natl Lab, Livermore, CA USA; [Guilderson, Thomas P.] Univ Calif Santa Cruz, Dept Ocean Sci, Santa Cruz, CA 95064 USA</t>
  </si>
  <si>
    <t>Rutgers University System; Rutgers University New Brunswick; Columbia University; Durham University; United States Department of Energy (DOE); Lawrence Livermore National Laboratory; University of California System; University of California Santa Cruz</t>
  </si>
  <si>
    <t>Allen, KA (corresponding author), Dept Marine &amp; Coastal Sci, 71 Dudley Rd, New Brunswick, NJ 08901 USA.</t>
  </si>
  <si>
    <t>kat.allen@rutgers.edu</t>
  </si>
  <si>
    <t>Hoenisch, Baerbel/ABF-4968-2021; Hoenisch, Baerbel/C-7530-2013; Sikes, Elisabeth/HPE-8194-2023</t>
  </si>
  <si>
    <t>Hoenisch, Baerbel/0000-0001-5844-3398; Hoenisch, Baerbel/0000-0001-5844-3398; Allen, Katherine/0000-0002-1362-5400; Sikes, Elisabeth/0000-0003-2900-3283; Guilderson, Thomas/0000-0001-9371-7059; Anderson, Robert/0000-0002-8472-2494</t>
  </si>
  <si>
    <t>NSF [430044, OCE-0823549, OCE 07-51764]; U.S. Department of Energy [DE-AC52-07NA27344]; NOAA Climate and Global Change Program (KAA)</t>
  </si>
  <si>
    <t>NSF(National Science Foundation (NSF)); U.S. Department of Energy(United States Department of Energy (DOE)); NOAA Climate and Global Change Program (KAA)</t>
  </si>
  <si>
    <t>Many thanks to Maziet Choseby and Mysti Weber at Oregon State University core repository, to Jim Wright for stable isotopic analytical assistance, to Mea Cook for laboratory support and insightful discussions, to Phil Shane for identification of cryptic tephra layers, and to Julie Kalansky for support with trace metal analysis. Funding was provided by NSF Grants 430044 and OCE-0823549 (ELS and TG) and NSF Grant OCE 07-51764 (BH), and a portion of this work was performed under the auspices of the U.S. Department of Energy (DE-AC52-07NA27344). Funding was also provided by the NOAA Climate and Global Change Program (KAA), administered by the University Corporation for Atmospheric Research.</t>
  </si>
  <si>
    <t>10.1016/j.quascirev.2015.05.007</t>
  </si>
  <si>
    <t>WOS:000358097300012</t>
  </si>
  <si>
    <t>Chang, JC; Shulmeister, J; Woodward, C; Steinberger, L; Tibby, J; Barr, C</t>
  </si>
  <si>
    <t>Chang, Jie Christine; Shulmeister, James; Woodward, Craig; Steinberger, Lincoln; Tibby, John; Barr, Cameron</t>
  </si>
  <si>
    <t>A chironomid-inferred summer temperature reconstruction from subtropical Australia during the last glacial maximum (LGM) and the last deglaciation</t>
  </si>
  <si>
    <t>Chironomids; Subtropical Australia; Mean February temperature; Last glacial maximum; The last deglaciation; Paleoclimate reconstruction; Southern Hemisphere</t>
  </si>
  <si>
    <t>NORTH STRADBROKE ISLAND; QUATERNARY POLLEN SPECTRA; GREAT-BARRIER-REEF; OZ-INTIMATE GROUP; SOUTHEASTERN AUSTRALIA; SOUTHERN-HEMISPHERE; EASTERN AUSTRALIA; SUBFOSSIL CHIRONOMIDAE; CLIMATE VARIABILITY; INFERENCE MODELS</t>
  </si>
  <si>
    <t>A chironomid-based mean February temperature reconstruction from Welsby Lagoon, North Stradbroke Island, Australia covering the last glacial maximum (LGM) and deglaciation (between c. similar to 23.2 and 15.5 cal ka BP) is presented. Mean February temperature reconstructions show a maximum inferred cooling of c. similar to 6.5 degrees C at c. similar to 18.5 cal ka BP followed by rapid warming to near Holocene values immediately after the LGM. The inferred timing, magnitude and trend of maximum cooling and warming display strong similarities to marine records from areas affected by the East Australian current (EAC). The warming trend started at c. similar to 18.1 cal ka BP and is consistent with the start of deglaciation from Antarctic records. Near Holocene values are maintained through the deglaciation to 15.5 cal ka BP. These records suggest that changes in the Australian subtropics are linked to southern high latitudes. (C) 2015 Elsevier Ltd. All rights reserved.</t>
  </si>
  <si>
    <t>[Chang, Jie Christine; Shulmeister, James; Woodward, Craig; Steinberger, Lincoln] Univ Queensland, Sch Geog Planning &amp; Environm Management, Brisbane, Qld 4072, Australia; [Tibby, John; Barr, Cameron] Univ Adelaide, Geog Environm &amp; Populat, Adelaide, SA 5005, Australia</t>
  </si>
  <si>
    <t>University of Queensland; University of Adelaide</t>
  </si>
  <si>
    <t>Chang, JC (corresponding author), Univ Queensland, Sch Geog Planning &amp; Environm Management, Brisbane, Qld 4072, Australia.</t>
  </si>
  <si>
    <t>j.chang2@uq.edu.au; james.shulmeister@uq.edu.au; c.woodward1@uq.edu.au; l.steinberger@uq.edu.au; john.tibby@adelaide.edu.au; cameron.barr@adelaide.edu.au</t>
  </si>
  <si>
    <t>Chang, Jie C/R-2763-2016; Chang, Jie/B-2656-2014; shulmeister, james/J-2859-2015</t>
  </si>
  <si>
    <t>Chang, Jie/0000-0001-9684-6550; Barr, Cameron/0000-0003-0436-8702; shulmeister, james/0000-0001-5863-9462; Woodward, Craig/0000-0003-1197-820X; Tibby, John/0000-0002-5897-2932</t>
  </si>
  <si>
    <t>Australian Research Council [DP 110103081]; ARC Linkage Project [LP0990124]; University of Queensland Research Scholarship (UQRS); Australian Research Council [LP0990124] Funding Source: Australian Research Council</t>
  </si>
  <si>
    <t>Australian Research Council(Australian Research Council); ARC Linkage Project(Australian Research Council); University of Queensland Research Scholarship (UQRS)(University of Queensland); Australian Research Council(Australian Research Council)</t>
  </si>
  <si>
    <t>Jon Marshall and Glenn McGregor, Department of Science, Information Technology, Innovation (Queensland) provided assistance with site selection and fieldwork. We would like to thank Dr Quan Hua, Australian Nuclear Science and Technology Organisation (ANSTO), for the calibration of radiocarbon dates. The project was funded by Australian Research Council grant DP 110103081. Funding for the project was also received from the ARC Linkage Project LP0990124 for the fieldwork and radiocarbon dating. Funding was also provided by the The University of Queensland Research Scholarship (UQRS) to J. C. Chang.</t>
  </si>
  <si>
    <t>10.1016/j.quascirev.2015.06.006</t>
  </si>
  <si>
    <t>WOS:000358097300019</t>
  </si>
  <si>
    <t>Raymond, CM; Lechner, AM; Lockwood, M; Carter, O; Harris, RMB; Gilfedder, L</t>
  </si>
  <si>
    <t>Raymond, C. M.; Lechner, A. M.; Lockwood, M.; Carter, O.; Harris, R. M. B.; Gilfedder, L.</t>
  </si>
  <si>
    <t>Private land manager capacity to conserve threatened communities under climate change</t>
  </si>
  <si>
    <t>JOURNAL OF ENVIRONMENTAL MANAGEMENT</t>
  </si>
  <si>
    <t>Adaptive capacity; Pro-environmental behaviour; Environmental change; Threatened communities; Novel ecosystems</t>
  </si>
  <si>
    <t>ADAPTIVE CAPACITY; ADAPTATION; LANDHOLDERS; GOVERNANCE; TRUST; PARTICIPATION; BIODIVERSITY; UNCERTAINTY; OPPORTUNITY</t>
  </si>
  <si>
    <t>Major global changes in vegetation community distributions and ecosystem processes are expected as a result of climate change. In agricultural regions with a predominance of private land, biodiversity outcomes will depend on the adaptive capacity of individual land managers, as well as their willingness to engage with conservation programs and actions. Understanding adaptive capacity of landholders is critical for assessing future prospects for biodiversity conservation in privately owned agricultural landscapes globally, given projected climate change. This paper is the first to develop and apply a set of statistical methods (correlation and bionomial regression analyses) for combining social data on land manager adaptive capacity and factors associated with conservation program participation with biophysical data describing the current and projected-future distribution of climate suitable for vegetation communities. We apply these methods to the Tasmanian Midlands region of Tasmania, Australia and discuss the implications of the modelled results on conservation program strategy design in other contexts. We find that the integrated results can be used by environmental management organisations to design community engagement programs, and to tailor their messages to land managers with different capacity types and information behaviours. We encourage environmental agencies to target high capacity land managers by diffusing climate change and grassland management information through well respected conservation NGOs and farm system groups, and engage low capacity land managers via formalized mentoring programs. (C) 2015 Elsevier Ltd. All rights reserved.</t>
  </si>
  <si>
    <t>[Raymond, C. M.] Univ Copenhagen, Geosci &amp; Nat Resource Management, Frederiksberg, Denmark; [Raymond, C. M.] Enviroconnect, Stirling, SA 5152, Australia; [Lechner, A. M.] Univ Tasmania, Ctr Environm, Hobart, Tas 7001, Australia; [Lechner, A. M.] Univ Queensland, Ctr Social Responsibil Min, Sustainable Minerals Inst, Brisbane, Qld 4072, Australia; [Lockwood, M.] Univ Tasmania, Sch Land &amp; Food, Geog &amp; Spatial Sci, Hobart, Tas 7001, Australia; [Carter, O.; Gilfedder, L.] Dept Primary Ind Pk Water &amp; Environm, Nat &amp; Cultural Heritage Div, Hobart, Tas 7001, Australia; [Harris, R. M. B.] Univ Tasmania, ACE CRC, Hobart, Tas 7000, Australia</t>
  </si>
  <si>
    <t>University of Copenhagen; University of Tasmania; University of Queensland; University of Tasmania; University of Tasmania</t>
  </si>
  <si>
    <t>Raymond, CM (corresponding author), POB 190, Stirling, SA 5152, Australia.</t>
  </si>
  <si>
    <t>chris.raymond@enviroconnect.com.au</t>
  </si>
  <si>
    <t>Raymond, Christopher M./ABP-6324-2022; Harris, Rebecca/N-2790-2013</t>
  </si>
  <si>
    <t>Raymond, Christopher M./0000-0002-7165-885X; Lechner, Alex/0000-0003-2050-9480; Harris, Rebecca/0000-0002-6426-2179</t>
  </si>
  <si>
    <t>Australian Government's National Environmental Research Program [L0018856]</t>
  </si>
  <si>
    <t>Australian Government's National Environmental Research Program(Australian Government)</t>
  </si>
  <si>
    <t>We sincerely thank the land managers who responded to the survey, providing the social data reported in this paper. This research is an output from the Landscapes and Policy Research Hub (grant number L0018856). The hub is supported through funding from the Australian Government's National Environmental Research Program and involves researchers from the University of Tasmania (UTAS), The Australian National University (ANU), Murdoch University, the Antarctic Climate and Ecosystems Cooperative Research Centre (ACE CRC), Griffith University and Charles Sturt University (CSU).</t>
  </si>
  <si>
    <t>0301-4797</t>
  </si>
  <si>
    <t>1095-8630</t>
  </si>
  <si>
    <t>J ENVIRON MANAGE</t>
  </si>
  <si>
    <t>J. Environ. Manage.</t>
  </si>
  <si>
    <t>10.1016/j.jenvman.2015.04.048</t>
  </si>
  <si>
    <t>CM7WU</t>
  </si>
  <si>
    <t>WOS:000357908000028</t>
  </si>
  <si>
    <t>Zhang, RF; John, SG; Zhang, J; Ren, JL; Wu, Y; Zhu, ZY; Liu, SM; Zhu, XC; Marsay, CM; Wenger, F</t>
  </si>
  <si>
    <t>Zhang, Ruifeng; John, Seth G.; Zhang, Jing; Ren, Jingling; Wu, Ying; Zhu, Zhuoyi; Liu, Sumei; Zhu, Xunchi; Marsay, Chris M.; Wenger, Fred</t>
  </si>
  <si>
    <t>Transport and reaction of iron and iron stable isotopes in glacial meltwaters on Svalbard near Kongsfjorden: From rivers to estuary to ocean</t>
  </si>
  <si>
    <t>Arctic; glacier; meltwater; dissolved iron; iron isotopes</t>
  </si>
  <si>
    <t>DISSOLVED ORGANIC-MATTER; NORTH-ATLANTIC OCEAN; ANTARCTIC ICE-SHEET; SOUTHERN-OCEAN; PHYTOPLANKTON BLOOMS; MASS-SPECTROMETRY; AQUEOUS-SOLUTIONS; NATURAL-WATERS; FRACTIONATION; FE</t>
  </si>
  <si>
    <t>Glacial meltwater has been suggested as a significant source of potentially bioavailable iron to the oceans. However, the supply of dissolved iron (dFe) in glacial meltwaters is poorly constrained as few sites have been studied, and because the chemical processing of Fe during transport from glaciers to the adjacent coastal ocean is not well understood. In order to better constrain glacial fluxes of dFe to the ocean, iron concentrations, iron stable isotopes (delta Fe-56), and other supporting chemical and physical measurements were made along a similar to 4 km long glacial meltwater river on Svalbard and in estuarine waters that it flows into. Dissolved iron concentrations in the Bayelva River decreased from a maximum of 734 nM near the glacier to an average value of 116 nM near the mouth of the river. Measurements in the Kongsfjorden estuary suggest that 3 to 10 nM of dFe from the Bayelva River is stabilized in glacial waters by the time it mixes into the ocean. Incubation of Bayelva River waters over two weeks in both the light and dark show similar results, with the majority of dFe being quickly precipitated and 4 to 7 nM Fe stabilized in the dissolved phase. Evidence suggests that Fe is most likely lost from the dissolved phase by aggregation and adsorption of nanoparticulate and colloidal Fe to particles. Dissolved delta Fe-56 was between 0.11 parts per thousand and +0.09 parts per thousand for all river samples and did not vary systematically with dFe concentrations. We infer that the Fe is lost from the dissolved phase by a process that fractionates Fe isotopes by less than 0.05 parts per thousand, indicating that the Fe bonding environment does not change during precipitation. This is consistent with DOC loss that is much faster than predicted photo-oxidation rates, suggesting that DOC is also lost through adsorption and precipitation. Dissolved Fe concentrations in the Bayelva River (15-734 nM), and Fe concentrations which are stabilized in the dissolved phase (4-7 nM) are much lower than some previous estimates of Fe in glacial meltwaters, with roughly 80% of dFe lost during transit in the Bayelva River and roughly 90% of the remaining dFe lost in the estuary. This may mean that glaciers are a less significant source of dissolved Fe to the global oceans than has been previously hypothesized, that cold base glaciers of the type studied here do not contribute significantly to the dissolved Fe flux, or that the flux of reactive particulate Fe to the oceans is more important than the dissolved flux. In Arctic regions with similar proglacial environments, bedrock composition, weathering intensity, and as precipitation of colloidal and nanoparticulate Fe may all play an important role in regulating the glacial meltwater iron flux to the ocean. (C) 2015 Elsevier B.V. All rights reserved.</t>
  </si>
  <si>
    <t>[Zhang, Ruifeng; Zhang, Jing; Wu, Ying; Zhu, Zhuoyi; Zhu, Xunchi] E China Normal Univ, State Key Lab Estuarine &amp; Coastal Res, Shanghai 200062, Peoples R China; [John, Seth G.; Marsay, Chris M.] Univ S Carolina, Dept Earth &amp; Ocean Sci, Columbia, SC 29208 USA; [Ren, Jingling; Liu, Sumei] Ocean Univ China, Key Lab Marine Chem Theory &amp; Technol, Minist Educ, Qingdao 266100, Peoples R China; [Wenger, Fred] Norwegian Water Resources &amp; Energy Directorate, N-0301 Oslo, Norway</t>
  </si>
  <si>
    <t>East China Normal University; University of South Carolina System; University of South Carolina Columbia; Ocean University of China; Norwegian Water Resources &amp; Energy Directorate</t>
  </si>
  <si>
    <t>Zhang, RF (corresponding author), E China Normal Univ, State Key Lab Estuarine &amp; Coastal Res, Shanghai 200062, Peoples R China.</t>
  </si>
  <si>
    <t>rfzhang@sklec.ecnu.edu.cn</t>
  </si>
  <si>
    <t>Zhu, Xunchi/HRC-8608-2023; Zhu, Zhuoyi/HNS-4424-2023; John, Sunday/GRS-5348-2022</t>
  </si>
  <si>
    <t>Zhu, Xunchi/0000-0002-4372-3634; John, Sunday/0000-0003-2296-7653; Zhang, Ruifeng/0000-0002-4411-8153; John, Seth/0000-0002-8257-626X; Marsay, Christopher/0000-0003-1244-0444; Zhu, Zhuo-Yi/0000-0002-0276-2418</t>
  </si>
  <si>
    <t>National Program on Key Basic Research Project of China [2011CB409801]; National Natural Science Foundation of China [41006043, 44106290]; Ocean Public Welfare Scientific Research Project [2012YR11011]; State Key Laboratory of Estuarine and Coastal Research innovation funding [2011KYYW02]; National Science Foundation [NSF OCE-1334029]; Division Of Ocean Sciences; Directorate For Geosciences [1649435] Funding Source: National Science Foundation</t>
  </si>
  <si>
    <t>National Program on Key Basic Research Project of China(National Basic Research Program of China); National Natural Science Foundation of China(National Natural Science Foundation of China (NSFC)); Ocean Public Welfare Scientific Research Project; State Key Laboratory of Estuarine and Coastal Research innovation funding; National Science Foundation(National Science Foundation (NSF)); Division Of Ocean Sciences; Directorate For Geosciences(National Science Foundation (NSF)NSF - Directorate for Geosciences (GEO))</t>
  </si>
  <si>
    <t>This work was supported by: the National Program on Key Basic Research Project of China (No. 2011CB409801), the National Natural Science Foundation of China (Nos. 41006043, 44106290), the Ocean Public Welfare Scientific Research Project (2012YR11011), the State Key Laboratory of Estuarine and Coastal Research innovation funding (2011KYYW02). John and Marsay were funded by the National Science Foundation (NSF OCE-1334029). We would like to thank the Chinese Antarctic and Arctic Administration of National Oceanic Bureau for the logistic support for field sampling. We thank Zhongqiao Li and others for their efforts on the sample collection. We thank Yun Xue for her effort on maintaining the clean lab and Neptune at East China Normal University.</t>
  </si>
  <si>
    <t>10.1016/j.epsl.2015.05.031</t>
  </si>
  <si>
    <t>WOS:000357223300019</t>
  </si>
  <si>
    <t>POLAR SCIENCE Report sets new goals for U.S. Antarctic Program</t>
  </si>
  <si>
    <t>AUG 14</t>
  </si>
  <si>
    <t>10.1126/science.349.6249.676</t>
  </si>
  <si>
    <t>CO8JO</t>
  </si>
  <si>
    <t>WOS:000359415100008</t>
  </si>
  <si>
    <t>Statham, TM; Mumford, KA; Stevens, GW</t>
  </si>
  <si>
    <t>Statham, Tom M.; Mumford, Kathryn A.; Stevens, Geoffrey W.</t>
  </si>
  <si>
    <t>Removal of Copper and Zinc from Ground Water by Granular Zero-Valent Iron: A Study of Kinetics</t>
  </si>
  <si>
    <t>SEPARATION SCIENCE AND TECHNOLOGY</t>
  </si>
  <si>
    <t>low temperature; mass transfer; Antarctic remediation; PRB; heavy metal</t>
  </si>
  <si>
    <t>IN-SITU; METALLIC IRON; REACTIVITY; REDUCTION; SURFACE; REMEDIATION; OXYGENATION; CORROSION; SYSTEMS; CARBON</t>
  </si>
  <si>
    <t>Three different granular zero-valent iron (ZVI) sources are assessed for the removal of Cu2+ and Zn2+ ions from aqueous solutions. For initial heavy metal concentrations of 50 mu M the observed kinetics could be modelled via first order reaction rates. Differences in the observed kinetic rate of copper and zinc removal for different ZVI sources could not be explained by geometric or nitrogen based adsorption surface areas. Results obtained via varying both temperature and shaker rate indicate that in an environment which contains dissolved oxygen, ion diffusion and hence water flow rate will control the kinetics of copper and zinc removal by granular ZVI.</t>
  </si>
  <si>
    <t>[Statham, Tom M.; Mumford, Kathryn A.; Stevens, Geoffrey W.] Univ Melbourne, Dept Chem &amp; Biomol Engn, Particulate Fluids Proc Ctr, Melbourne, Vic 3010, Australia</t>
  </si>
  <si>
    <t>Mumford, KA (corresponding author), Univ Melbourne, Dept Chem &amp; Biomol Engn, Particulate Fluids Proc Ctr, Melbourne, Vic 3010, Australia.</t>
  </si>
  <si>
    <t>mumfordk@unimelb.edu.au</t>
  </si>
  <si>
    <t>Mumford, Kathryn A/M-6566-2015</t>
  </si>
  <si>
    <t>Stevens, Geoffrey/0000-0002-5788-4682</t>
  </si>
  <si>
    <t>Australian Antarctic Science Grant [4029]; Australian Postgraduate Award</t>
  </si>
  <si>
    <t>Australian Antarctic Science Grant; Australian Postgraduate Award(Australian Government)</t>
  </si>
  <si>
    <t>The financial support of the Australian Antarctic Science Grant 4029 is gratefully acknowledged. T.S. also acknowledges the support of an Australian Postgraduate Award.</t>
  </si>
  <si>
    <t>0149-6395</t>
  </si>
  <si>
    <t>1520-5754</t>
  </si>
  <si>
    <t>SEP SCI TECHNOL</t>
  </si>
  <si>
    <t>Sep. Sci. Technol.</t>
  </si>
  <si>
    <t>AUG 13</t>
  </si>
  <si>
    <t>10.1080/01496395.2015.1014052</t>
  </si>
  <si>
    <t>Chemistry, Multidisciplinary; Engineering, Chemical</t>
  </si>
  <si>
    <t>Chemistry; Engineering</t>
  </si>
  <si>
    <t>CN0VK</t>
  </si>
  <si>
    <t>WOS:000358131800002</t>
  </si>
  <si>
    <t>Vignaroli, G; Balsamo, F; Giordano, G; Rossetti, F; Storti, F</t>
  </si>
  <si>
    <t>Vignaroli, Gianluca; Balsamo, Fabrizio; Giordano, Guido; Rossetti, Federico; Storti, Fabrizio</t>
  </si>
  <si>
    <t>Miocene-to-Quaternary oblique rifting signature in the Western Ross Sea from fault patterns in the McMurdo Volcanic Group, north Victoria Land, Antarctica</t>
  </si>
  <si>
    <t>TECTONOPHYSICS</t>
  </si>
  <si>
    <t>Dextral fault system; Volcanism; Rifting; North Victoria Land; Antarctica</t>
  </si>
  <si>
    <t>STRIKE-SLIP; TRANSANTARCTIC MOUNTAINS; MANTLE PLUME; ZONE; SYSTEM; ARCHITECTURE; MAGMATISM; EVOLUTION; EOCENE; REGION</t>
  </si>
  <si>
    <t>Mt. Overlord and Mt. Melbourne are part of the fossil-to-active eruptive centre belt of the McMurdo Volcanic Group, located along the western shoulder of the West Antarctic Rift System in north Victoria Land (Antarctica). The formation and localisation of these volcanic centres are intimately connected to the regional fault patterns associated with Neogene transtensional stretching in the West Antarctic Rift System. This study reports about 900 structural data of faults and fault-related joints affecting the Miocene-Pliocene deposits of Mt. Overlord and the Plio-Quaternary deposits of Mt. Melbourne. Fault surfaces strike along three main directions (NW-SE, NE-SW, and N-S) with high (&gt;70 degrees) dip angles. The reconstructed fault geometries and kinematics document a NW-SE strike-slip fault system having dextral motion in the Mt. Overlord area, which evolves into a more complex structural architecture characterised by transtensional deformations in the Mt. Melbourne area, where volcanism is still active. The fault array can be reconciled with principal and subordinate deformation structures developed at the termination region of NW-SE intraplate strike-slip fault systems inducing oblique rifting in the West Antarctic Rift System. The structural dataset, integrated with available geochronological constraints, gives rise to a two-step (Miocene-to-Holocene) tectonic scenario in which the spatial migration of the volcanic activity towards the eastern boundary of the Transantarctic Mountains occurred during the evolution of the West Antarctic Rift System. (C) 2015 Elsevier B.V. All rights reserved.</t>
  </si>
  <si>
    <t>[Vignaroli, Gianluca; Giordano, Guido; Rossetti, Federico] Univ Rome Tre, Dipartimento Sci, Sez Geol, I-00146 Rome, Italy; [Balsamo, Fabrizio; Storti, Fabrizio] Dipartimento Fis &amp; Sci Terra Macedonia Melloni Pl, NEXT Nat &amp; Expt Tecton Res Grp, I-43124 Parma, Italy</t>
  </si>
  <si>
    <t>Roma Tre University</t>
  </si>
  <si>
    <t>Vignaroli, G (corresponding author), Univ Rome Tre, Dipartimento Sci, Sez Geol, Largo SL Murialdo 1, I-00146 Rome, Italy.</t>
  </si>
  <si>
    <t>gianluca.vignaroli@uniroma3.it</t>
  </si>
  <si>
    <t>Vignaroli, Gianluca/AAK-8342-2020; Giordano, Guido/ABC-4130-2021; Storti, Fabrizio/D-9358-2017; Balsamo, Fabrizio/F-1674-2017</t>
  </si>
  <si>
    <t>GIORDANO, Guido/0000-0002-5819-443X; ROSSETTI, Federico/0000-0001-8071-7252; VIGNAROLI, Gianluca/0000-0001-7345-6162; Storti, Fabrizio/0000-0003-2809-9471; Balsamo, Fabrizio/0000-0003-1931-466X</t>
  </si>
  <si>
    <t>Italian Antarctic Programme (PNRA) [2009_A2.16, Pdr2013/AZ2.07]</t>
  </si>
  <si>
    <t>Italian Antarctic Programme (PNRA)</t>
  </si>
  <si>
    <t>This work was supported by the Italian Antarctic Programme (PNRA, grant 2009_A2.16 (national coordinator: S. Rocchi; local coordinator: F. Storti) and grant Pdr2013/AZ2.07). G.V. and F.B. are warmly grateful for the logistics provided by the PNRA (expedition leader: A. Della Rovere), and acknowledge the helicopter pilots (B. McElhinney and S. Spooner),</t>
  </si>
  <si>
    <t>0040-1951</t>
  </si>
  <si>
    <t>1879-3266</t>
  </si>
  <si>
    <t>Tectonophysics</t>
  </si>
  <si>
    <t>AUG 12</t>
  </si>
  <si>
    <t>10.1016/j.tecto.2015.05.027</t>
  </si>
  <si>
    <t>CS5SV</t>
  </si>
  <si>
    <t>WOS:000362139400006</t>
  </si>
  <si>
    <t>Bertrand, EM; McCrow, JP; Moustafa, A; Zheng, H; McQuaid, JB; Delmont, TO; Post, AF; Sipler, RE; Spackeen, JL; Xu, K; Bronk, DA; Hutchins, DA; Allen, AE</t>
  </si>
  <si>
    <t>Bertrand, Erin M.; McCrow, John P.; Moustafa, Ahmed; Zheng, Hong; McQuaid, Jeffrey B.; Delmont, Tom O.; Post, Anton F.; Sipler, Rachel E.; Spackeen, Jenna L.; Xu, Kai; Bronk, Deborah A.; Hutchins, David A.; Allen, Andrew E.</t>
  </si>
  <si>
    <t>Phytoplankton-bacterial interactions mediate micronutrient colimitation at the coastal Antarctic sea ice edge</t>
  </si>
  <si>
    <t>colimitation; Southern Ocean primary productivity; metatranscriptomics; phytoplankton-bacterial interactions; cobalamin</t>
  </si>
  <si>
    <t>SUMMER BACTERIOPLANKTON; COMMUNITY STRUCTURE; IRON LIMITATION; ROSS SEA; VITAMIN-B-12; IDENTIFICATION; GROWTH; DIMETHYLSULFIDE; METABOLISM; FLAVODOXIN</t>
  </si>
  <si>
    <t>Southern Ocean primary productivity plays a key role in global ocean biogeochemistry and climate. At the Southern Ocean sea ice edge in coastal McMurdo Sound, we observed simultaneous cobalamin and iron limitation of surface water phytoplankton communities in late Austral summer. Cobalamin is produced only by bacteria and archaea, suggesting phytoplankton-bacterial interactions must play a role in this limitation. To characterize these interactions and investigate the molecular basis of multiple nutrient limitation, we examined transitions in global gene expression over short time scales, induced by shifts in micronutrient availability. Diatoms, the dominant primary producers, exhibited transcriptional patterns indicative of co-occurring iron and cobalamin deprivation. The major contributor to cobalamin biosynthesis gene expression was a gammaproteobacterial population, Oceanospirillaceae ASP10-02a. This group also contributed significantly to metagenomic cobalamin biosynthesis gene abundance throughout Southern Ocean surface waters. Oceanospirillaceae ASP10-02a displayed elevated expression of organic matter acquisition and cell surface attachment-related genes, consistent with a mutualistic relationship in which they are dependent on phytoplankton growth to fuel cobalamin production. Separate bacterial groups, including Methylophaga, appeared to rely on phytoplankton for carbon and energy sources, but displayed gene expression patterns consistent with iron and cobalamin deprivation. This suggests they also compete with phytoplankton and are important cobalamin consumers. Expression patterns of siderophore-related genes offer evidence for bacterial influences on iron availability as well. The nature and degree of this episodic colimitation appear to be mediated by a series of phytoplankton-bacterial interactions in both positive and negative feedback loops.</t>
  </si>
  <si>
    <t>[Bertrand, Erin M.; McCrow, John P.; Moustafa, Ahmed; Zheng, Hong; McQuaid, Jeffrey B.; Allen, Andrew E.] J Craig Venter Inst, Microbial &amp; Environm Genom, La Jolla, CA 92037 USA; [Bertrand, Erin M.; Moustafa, Ahmed; McQuaid, Jeffrey B.; Allen, Andrew E.] Univ Calif San Diego, Scripps Inst Oceanog, Integrat Oceanog Div, La Jolla, CA 92037 USA; [Moustafa, Ahmed] Amer Univ Cairo, Dept Biol, Cairo 11835, Egypt; [Moustafa, Ahmed] Amer Univ Cairo, Biotechnol Grad Program, Cairo 11835, Egypt; [Delmont, Tom O.] Marine Biol Lab, Josephine Bay Paul Ctr, Woods Hole, MA 02543 USA; [Post, Anton F.] Univ Rhode Isl, Grad Sch Oceanog, Narragansett, RI 02882 USA; [Sipler, Rachel E.; Spackeen, Jenna L.; Bronk, Deborah A.] Virginia Inst Marine Sci, Dept Phys Sci, Gloucester Point, VA 23062 USA; [Xu, Kai; Hutchins, David A.] Univ So Calif, Dept Biol Sci, Marine &amp; Environm Biol, Los Angeles, CA 90089 USA</t>
  </si>
  <si>
    <t>J. Craig Venter Institute; University of California System; University of California San Diego; Scripps Institution of Oceanography; Egyptian Knowledge Bank (EKB); American University Cairo; Egyptian Knowledge Bank (EKB); American University Cairo; Marine Biological Laboratory - Woods Hole; University of Rhode Island; William &amp; Mary; Virginia Institute of Marine Science; University of Southern California</t>
  </si>
  <si>
    <t>Allen, AE (corresponding author), J Craig Venter Inst, Microbial &amp; Environm Genom, La Jolla, CA 92037 USA.</t>
  </si>
  <si>
    <t>aallen@jcvi.org</t>
  </si>
  <si>
    <t>Moustafa, Ahmed/AAZ-3991-2020; Allen, Andrew E/C-4896-2012; Xu, Kai/GWX-6427-2022; Hutchins, David A/D-3301-2013; Moustafa, Ahmed/C-5234-2009; delmont, tom/A-4331-2018</t>
  </si>
  <si>
    <t>Moustafa, Ahmed/0000-0002-0111-3555; Allen, Andrew E/0000-0001-5911-6081; Xu, Kai/0000-0002-1341-1525; Hutchins, David A/0000-0002-6637-756X; Moustafa, Ahmed/0000-0002-0111-3555; McCrow, John/0000-0002-7014-5040; delmont, tom/0000-0001-7053-7848; Karl, David/0000-0002-6660-6721; McQuaid, Jeff/0000-0002-2646-9283</t>
  </si>
  <si>
    <t>National Science Foundation (NSF) [1103503, 0732822, 1043671, 1043748, 1043635, 1142095, 1136477]; Gordon and Betty Moore Foundation [GBMF3828]; Directorate For Geosciences; Division Of Ocean Sciences [1136477] Funding Source: National Science Foundation; Office of Polar Programs (OPP); Directorate For Geosciences [1542220] Funding Source: National Science Foundation</t>
  </si>
  <si>
    <t>National Science Foundation (NSF)(National Science Foundation (NSF)); Gordon and Betty Moore Foundation(Gordon and Betty Moore Foundation); Directorate For Geosciences; Division Of Ocean Sciences(National Science Foundation (NSF)NSF - Directorate for Geosciences (GEO)); Office of Polar Programs (OPP); Directorate For Geosciences(National Science Foundation (NSF)NSF - Directorate for Geosciences (GEO))</t>
  </si>
  <si>
    <t>We thank Nathan Walworth and Ariel Rabines for assistance in the laboratory and field and Rob Middag for iron concentration measurements in our cobalamin stock. We are grateful to Antarctic Support Contractors, especially Jen Erxleben and Ned Corkran, for facilitating fieldwork and to Mak Saito for helpful comments on the manuscript. This study was funded by National Science Foundation (NSF) Antarctic Sciences Awards 1103503 (to E.M.B.), 0732822 and 1043671 (to A.E.A.), 1043748 (to D.A.H.), 1043635 (to D.A.B.), and 1142095 (to A.F.P.); Gordon and Betty Moore Foundation Grant GBMF3828 (to A.E.A.); and NSF Ocean Sciences Award 1136477 (to A.E.A.).</t>
  </si>
  <si>
    <t>1091-6490</t>
  </si>
  <si>
    <t>AUG 11</t>
  </si>
  <si>
    <t>10.1073/pnas.1501615112</t>
  </si>
  <si>
    <t>CO6RY</t>
  </si>
  <si>
    <t>WOS:000359285100056</t>
  </si>
  <si>
    <t>Yu, Z; Yang, J; Liu, LM; Zhang, WJ; Amalfitano, S</t>
  </si>
  <si>
    <t>Yu, Zheng; Yang, Jun; Liu, Lemian; Zhang, Wenjing; Amalfitano, Stefano</t>
  </si>
  <si>
    <t>Bacterioplankton community shifts associated with epipelagic and mesopelagic waters in the Southern Ocean</t>
  </si>
  <si>
    <t>16S RIBOSOMAL-RNA; BACTERIAL COMMUNITIES; RDP-II; DIVERSITY; SURFACE; STRATIFICATION; ASSEMBLAGES; SEQUENCES; ECOLOGY; IRON</t>
  </si>
  <si>
    <t>The Southern Ocean is among the least explored marine environments on Earth, and still little is known about regional and vertical variability in the diversity of Antarctic marine prokaryotes. In this study, the bacterioplankton community in both epipelagic and mesopelagic waters was assessed at two adjacent stations by high-throughput sequencing and quantitative PCR. Water temperature was significantly higher in the superficial photic zone, while higher salinity and dissolved oxygen were recorded in the deeper water layers. The highest abundance of the bacterioplankton was found at a depth of 75 m, corresponding to the deep chlorophyll maximum layer. Both Alphaproteobacteria and Gammaproteobacteria were the most abundant taxa throughout the water column, while more sequences affiliated to Cyanobacteria and unclassified bacteria were identified from surface and the deepest waters, respectively. Temperature was the most significant environmental variable affecting the bacterial community structure. The bacterial community composition displayed significant differences at the epipelagic layers between two stations, whereas those in the mesopelagic waters were more similar to each other. Our results indicated that the epipelagic bacterioplankton might be dominated by short-term environmental variable conditions, whereas the mesopelagic communities appeared to be structured by longer water-mass residence time and relative stable environmental factors.</t>
  </si>
  <si>
    <t>[Yu, Zheng; Yang, Jun; Liu, Lemian] Chinese Acad Sci, Inst Urban Environm, Aquat EcoHlth Grp, Key Lab Urban Environm &amp; Hlth, Xiamen 361021, Peoples R China; [Zhang, Wenjing] Xiamen Univ, Coll Ocean &amp; Earth Sci, Marine Biodivers &amp; Global Change Res Ctr, Xiamen 361102, Peoples R China; [Amalfitano, Stefano] Natl Res Council Italy IRSA CNR, Water Res Inst, I-00015 Monterotondo, Roma, Italy</t>
  </si>
  <si>
    <t>Chinese Academy of Sciences; Institute of Urban Environment, CAS; Xiamen University; Consiglio Nazionale delle Ricerche (CNR); Istituto di Ricerca sulle Acque (IRSA-CNR)</t>
  </si>
  <si>
    <t>Yang, J (corresponding author), Chinese Acad Sci, Inst Urban Environm, Aquat EcoHlth Grp, Key Lab Urban Environm &amp; Hlth, Xiamen 361021, Peoples R China.</t>
  </si>
  <si>
    <t>jyang@iue.ac.cn</t>
  </si>
  <si>
    <t>Yang, Jun/E-6680-2011; Liu, Lemian/AGP-9346-2022; CAS, KLUEH/T-5743-2019; Zhang, Wenjing/H-5057-2012; Amalfitano, Stefano/C-6737-2012</t>
  </si>
  <si>
    <t>Yang, Jun/0000-0002-7920-2777; Zhang, Wenjing/0000-0002-2600-5040; Amalfitano, Stefano/0000-0002-6148-1472; Liu, Lemian/0000-0002-8977-6969</t>
  </si>
  <si>
    <t>National Natural Science Foundation of China [41276133]; Natural Science Foundation of Fujian Province [2014J01163]; International Science and Technology Cooperation Program of China [2011DFB91710]</t>
  </si>
  <si>
    <t>National Natural Science Foundation of China(National Natural Science Foundation of China (NSFC)); Natural Science Foundation of Fujian Province(Natural Science Foundation of Fujian Province); International Science and Technology Cooperation Program of China</t>
  </si>
  <si>
    <t>The authors thank Dr. Jian Zeng from Xiamen University and the crew of the Chinese research vessel and icebreaker Xuelong (Snow Dragon) for assistance in field sampling. The authors thank Lichan Lu and Yue Zheng for data analysis assistance, and thank Dr. George B McManus, Dr. David M Wilkinson and Dr. Sascha Krause for constructive comments on the manuscript. This work was supported by the National Natural Science Foundation of China (41276133), the Natural Science Foundation of Fujian Province (2014J01163) and the International Science and Technology Cooperation Program of China (2011DFB91710).</t>
  </si>
  <si>
    <t>AUG 10</t>
  </si>
  <si>
    <t>10.1038/srep12897</t>
  </si>
  <si>
    <t>CO5KK</t>
  </si>
  <si>
    <t>WOS:000359197800001</t>
  </si>
  <si>
    <t>Gómez, I; Huovinen, P</t>
  </si>
  <si>
    <t>Gomez, Ivan; Huovinen, Pirjo</t>
  </si>
  <si>
    <t>Lack of Physiological Depth Patterns in Conspecifics of Endemic Antarctic Brown Algae: A Trade-Off between UV Stress Tolerance and Shade Adaptation?</t>
  </si>
  <si>
    <t>KING-GEORGE ISLAND; POTTER COVE; MARINE MACROALGAE; LAMINARIA-SOLIDUNGULA; DESMARESTIA-ANCEPS; PHOTOSYNTHESIS; LIGHT; RADIATION; BIOMASS; GROWTH</t>
  </si>
  <si>
    <t>A striking characteristic of endemic Antarctic brown algae is their broad vertical distribution. This feature is largely determined by the shade adaptation in order to cope with the seasonal variation in light availability. However, during spring-summer months, when light penetrates deep in the water column these organisms have to withstand high levels of solar radiation, including UV. In the present study we examine the light use characteristics in parallel to a potential for UV tolerance (measured as content of phenolic compounds, antioxidant activity and maximum quantum yield of fluorescence) in conspecific populations of four Antarctic brown algae (Ascoseira mirabilis, Desmarestia menziesii, D. anceps and Himantothallus grandifolius) distributed over a depth gradient between 5 and 30 m. The main results indicated that a) photosynthetic efficiency was uniform along the depth gradient in all the studied species, and b) short-term (6 h) exposure to UV radiation revealed a high tolerance measured as chlorophyll fluorescence, phlorotannin content and antioxidant capacity. Multivariate analysis of similarity indicated that light requirements for photosynthesis, soluble phlorotannins and antioxidant capacity are the variables determining the responses along the depth gradient in all the studied species. The suite of physiological responses of algae with a shallower distribution (A. mirabilis and D. menziesii) differed from those with deeper vertical range (D. anceps and H. grandifolius). These patterns are consistent with the underwater light penetration that defines two zones: 0-15 m, with influence of UV radiation (1% of UV-B and UV-A at 9 m and 15 m respectively) and a zone below 15 m marked by PAR incidence (1% up to 30 m). These results support the prediction that algae show a UV stress tolerance capacity along a broad depth range according to their marked shade adaptation. The high contents of phlorotannins and antioxidant potential appear to be strongly responsible for the lack of clear depth patterns in light demand characteristics and UV tolerance.</t>
  </si>
  <si>
    <t>[Gomez, Ivan; Huovinen, Pirjo] Univ Austral Chile, Fac Ciencias, Inst Ciencias Marinas &amp; Limnol, Valdivia, Chile</t>
  </si>
  <si>
    <t>Gómez, I (corresponding author), Univ Austral Chile, Fac Ciencias, Inst Ciencias Marinas &amp; Limnol, Valdivia, Chile.</t>
  </si>
  <si>
    <t>igomezo@uach.cl</t>
  </si>
  <si>
    <t>Huovinen, Pirjo/0000-0002-7754-4933; Gomez, Ivan/0000-0001-8381-3792</t>
  </si>
  <si>
    <t>Comision Nacional de Investigacion Cientifica y Tecnologica (CONICYT) [Anillo ART1101]; Instituto Antartico Chileno (INACH) [T-20-9]</t>
  </si>
  <si>
    <t>Comision Nacional de Investigacion Cientifica y Tecnologica (CONICYT)(Comision Nacional de Investigacion Cientifica y Tecnologica (CONICYT)); Instituto Antartico Chileno (INACH)</t>
  </si>
  <si>
    <t>The study was supported by the following grants to I.G. and P.H: Anillo ART1101, Comision Nacional de Investigacion Cientifica y Tecnologica (CONICYT), http://www.conicyt.cl/pia, and T-20-9, Instituto Antartico Chileno (INACH), http://www.inach.cl/inach/. The funders had no role in study design, data collection and analysis, decision to publish, or preparation of the manuscript.</t>
  </si>
  <si>
    <t>AUG 7</t>
  </si>
  <si>
    <t>e0134440</t>
  </si>
  <si>
    <t>10.1371/journal.pone.0134440</t>
  </si>
  <si>
    <t>CO4HF</t>
  </si>
  <si>
    <t>WOS:000359121100057</t>
  </si>
  <si>
    <t>Randall-Goodwin, E; Meredith, MP; Jenkins, A; Yager, PL; Sherrell, RM; Abrahamsen, EP; Guerrero, R; Yuan, X; Mortlock, RA; Gavahan, K; Alderkamp, AC; Ducklow, H; Robertson, R; Stammerjohn, SE</t>
  </si>
  <si>
    <t>Randall-Goodwin, E.; Meredith, M. P.; Jenkins, A.; Yager, P. L.; Sherrell, R. M.; Abrahamsen, E. P.; Guerrero, R.; Yuan, X.; Mortlock, R. A.; Gavahan, K.; Alderkamp, A. -C.; Ducklow, H.; Robertson, R.; Stammerjohn, S. E.</t>
  </si>
  <si>
    <t>Freshwater distributions and water mass structure in the Amundsen Sea Polynya region, Antarctica</t>
  </si>
  <si>
    <t>CIRCUMPOLAR DEEP-WATER; PINE ISLAND GLACIER; WEST ANTARCTICA; ICE-SHEET; OCEAN CIRCULATION; SHELF; VARIABILITY; PENINSULA; INFLOW; EMBAYMENT</t>
  </si>
  <si>
    <t>We present the first densely-sampled hydrographic survey of the Amundsen Sea Polynya (ASP) region, including a detailed characterization of its freshwater distributions. Multiple components contribute to the freshwater budget, including precipitation, sea ice melt, basal ice shelf melt, and iceberg melt, from local and non-local sources. We used stable oxygen isotope ratios in seawater (delta O-18) to distinguish quantitatively the contributions from sea ice and meteoric-derived sources. Meteoric fractions were high throughout the winter mixed layer (WML), with maximum values of 2-3% (+/- 0.5%). Because the ASP region is characterized by deep WMLs, column inventories of total meteoric water were also high, ranging from 10-13 m (+/- 2 m) adjacent to the Dotson Ice Shelf (DIS) and in the deep trough to 7-9 m (+/- 2 m) in shallower areas. These inventories are at least twice those reported for continental shelf waters near the western Antarctic Peninsula. Sea ice melt fractions were mostly negative, indicating net (annual) sea ice formation, consistent with this area being an active polynya. Independently determined fractions of subsurface glacial meltwater (as one component of the total meteoric inventory) had maximum values of 1-2% (+/- 0.5%), with highest and shallowest maximum values at the DIS outflow (80-90 m) and in iceberg-stirred waters (150-200 m). In addition to these upwelling sites, contributions of subsurface glacial meltwater could be traced at depth along the similar to 27.6 isopycnal, from which it mixes into the WML through various processes. Our results suggest a quasi-continuous supply of melt-laden iron-enriched seawater to the euphotic zone of the ASP and help to explain why the ASP is Antarctica's most biologically productive polynya per unit area.</t>
  </si>
  <si>
    <t>[Randall-Goodwin, E.] Univ Calif San Diego, Scripps Inst Oceanog, San Diego, CA 92103 USA; [Meredith, M. P.; Jenkins, A.; Abrahamsen, E. P.] British Antarctic Survey, Nat Environm Res Council, Cambridge CB3 0ET, England; [Yager, P. L.] Univ Georgia, Dept Marine Sci, Athens, GA 30602 USA; [Sherrell, R. M.] Rutgers State Univ, Dept Marine &amp; Coastal Sci, New Brunswick, NJ 08903 USA; [Guerrero, R.] Inst Nacl Invest &amp; Desarrollo Pesquero, Phys Oceanog Program, Mar Del Plata, Buenos Aires, Argentina; [Yuan, X.; Ducklow, H.] Columbia Univ, Lamont Doherty Earth Observ, New York, NY USA; [Sherrell, R. M.; Mortlock, R. A.] Rutgers State Univ, Dept Earth &amp; Planetary Sci, Piscataway, NJ USA; [Gavahan, K.] Antarctic Support Contract, Centennial, CO USA; [Alderkamp, A. -C.] Stanford Univ, Dept Environm Earth Syst Sci, Stanford, CA 94305 USA; [Robertson, R.] Univ New South Wales Canberra, Australian Def Force Acad, Sch Phys Environm &amp; Math Sci, Canberra, ACT, Australia; [Stammerjohn, S. E.] Univ Colorado, Inst Arctic &amp; Alpine Res, Boulder, CO 80309 USA</t>
  </si>
  <si>
    <t>University of California System; University of California San Diego; Scripps Institution of Oceanography; UK Research &amp; Innovation (UKRI); Natural Environment Research Council (NERC); NERC British Antarctic Survey; University System of Georgia; University of Georgia; Rutgers University System; Rutgers University New Brunswick; National Fisheries Research &amp; Development Institute (INIDEP); Columbia University; Rutgers University System; Rutgers University New Brunswick; Stanford University; Australian Defense Force Academy; University of New South Wales Sydney; University of Colorado System; University of Colorado Boulder</t>
  </si>
  <si>
    <t>Randall-Goodwin, E (corresponding author), Univ Colorado, Inst Arctic &amp; Alpine Res, Boulder, CO 80309 USA.</t>
  </si>
  <si>
    <t>sharon.stammerjohn@colorado.edu</t>
  </si>
  <si>
    <t>Yuan, Xiaojun/AAI-7770-2020; Jenkins, Adrian/IUN-2406-2023; Abrahamsen, Povl/B-2140-2008; Yager, Patricia/K-8020-2014</t>
  </si>
  <si>
    <t>Abrahamsen, Povl/0000-0001-5924-5350; Jenkins, Adrian/0000-0002-9117-0616; Yager, Patricia/0000-0002-8462-6427; Yuan, Xiaojun/0000-0002-6530-1619</t>
  </si>
  <si>
    <t>Office of Polar Programs (OPP); Directorate For Geosciences [1443444] Funding Source: National Science Foundation; Office of Polar Programs (OPP); Directorate For Geosciences [1043669] Funding Source: National Science Foundation; NERC [NE/J005770/1, NE/J005746/1, bas0100033] Funding Source: UKRI; Natural Environment Research Council [NE/J005770/1, bas0100033, NE/J005746/1] Funding Source: researchfish</t>
  </si>
  <si>
    <t>Office of Polar Programs (OPP); Directorate For Geosciences(National Science Foundation (NSF)NSF - Directorate for Geosciences (GEO));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</si>
  <si>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10.12952/journal.elementa.000065</t>
  </si>
  <si>
    <t>CS5KJ</t>
  </si>
  <si>
    <t>Green Submitted, Green Accepted, gold</t>
  </si>
  <si>
    <t>WOS:000362116600001</t>
  </si>
  <si>
    <t>Haskew, J; Ro, G; Turner, K; Kimanga, D; Sirengo, M; Sharif, S</t>
  </si>
  <si>
    <t>Haskew, John; Ro, Gunnar; Turner, Kenrick; Kimanga, Davies; Sirengo, Martin; Sharif, Shahnaaz</t>
  </si>
  <si>
    <t>Implementation of a Cloud-Based Electronic Medical Record to Reduce Gaps in the HIV Treatment Continuum in Rural Kenya</t>
  </si>
  <si>
    <t>ACTIVE ANTIRETROVIRAL THERAPY; AFRICA; CARE; DIAGNOSIS; SETTINGS; AIDS; ERA</t>
  </si>
  <si>
    <t>Background Electronic medical record (EMR) systems are increasingly being adopted to support the delivery of health care in developing countries and their implementation can help to strengthen pathways of care and close gaps in the HIV treatment cascade by improving access to and use of data to inform clinical and public health decision-making. Methods This study implemented a novel cloud-based electronic medical record system in an HIV outpatient setting in Western Kenya and evaluated its impact on reducing gaps in the HIV treatment continuum including missing data and patient eligibility for ART. The impact of the system was assessed using a two-sample test of proportions pre-and post-implementation of EMR-based data verification and clinical decision support. Results Significant improvements in data quality and provision of clinical care were recorded through implementation of the EMR system, helping to ensure patients who are eligible for HIV treatment receive it early. A total of 2,169 and 764 patient records had missing data pre-implementation and post-implementation of EMR-based data verification and clinical decision support respectively. A total of 1,346 patients were eligible for ART, but not yet started on ART, pre-implementation compared to 270 patients pre-implementation. Conclusion EMR-based data verification and clinical decision support can reduce gaps in HIV care, including missing data and eligibility for ART. A cloud-based model of EMR implementation removes the need for local clinic infrastructure and has the potential to enhance data sharing at different levels of health care to inform clinical and public health decision-making. A number of issues, including data management and patient confidentiality, must be considered but significant improvements in data quality and provision of clinical care are recorded through implementation of this EMR model.</t>
  </si>
  <si>
    <t>[Haskew, John; Ro, Gunnar] Uamuzi Bora, Kakamega, Kenya; [Ro, Gunnar] Univ Durham, Durham, England; [Turner, Kenrick] British Antarctic Survey, Med Unit, Plymouth, Devon, England; [Kimanga, Davies] Elizabeth Glazer Paediat AIDS Fdn, Nairobi, Kenya; [Sirengo, Martin] Natl AIDS &amp; STI Control Program, Nairobi, Kenya; [Sharif, Shahnaaz] Minist Hlth, Nairobi, Kenya</t>
  </si>
  <si>
    <t>Durham University; UK Research &amp; Innovation (UKRI); Natural Environment Research Council (NERC); NERC British Antarctic Survey</t>
  </si>
  <si>
    <t>Haskew, J (corresponding author), WHO, Amman, Jordan.</t>
  </si>
  <si>
    <t>john.haskew@uamuzibora.org</t>
  </si>
  <si>
    <t>Rø, Gunnar/AAZ-2356-2020</t>
  </si>
  <si>
    <t>Turner, Kenrick/0000-0002-1835-6924</t>
  </si>
  <si>
    <t>Rising Stars in Global Health grant from Canadian Grand Challenges; Vestergaard Frandsen; Natural Environment Research Council [bas010011] Funding Source: researchfish; NERC [bas010011] Funding Source: UKRI</t>
  </si>
  <si>
    <t>Rising Stars in Global Health grant from Canadian Grand Challenges; Vestergaard Frandsen; Natural Environment Research Council(UK Research &amp; Innovation (UKRI)Natural Environment Research Council (NERC)); NERC(UK Research &amp; Innovation (UKRI)Natural Environment Research Council (NERC))</t>
  </si>
  <si>
    <t>This study was supported by a Rising Stars in Global Health grant from Canadian Grand Challenges and Vestergaard Frandsen. Grand Challenges and Vestergaard Frandsen had no role in study design, data collection and analysis, decision to publish, preparation of the manuscript, nor exerted any editorial control.</t>
  </si>
  <si>
    <t>e0135361</t>
  </si>
  <si>
    <t>10.1371/journal.pone.0135361</t>
  </si>
  <si>
    <t>WOS:000359121100155</t>
  </si>
  <si>
    <t>Kernaléguen, L; Cherel, Y; Knox, TC; Baylis, AMM; Arnould, JPY</t>
  </si>
  <si>
    <t>Kernaleguen, Laetitia; Cherel, Yves; Knox, Travis C.; Baylis, Alastair M. M.; Arnould, John P. Y.</t>
  </si>
  <si>
    <t>Sexual Niche Segregation and Gender-Specific Individual Specialisation in a Highly Dimorphic Marine Mammal</t>
  </si>
  <si>
    <t>ANTARCTIC FUR SEALS; STABLE-ISOTOPES; FORAGING SPECIALIZATION; TEMPORAL VARIATION; ECOLOGICAL CAUSES; SIZE DIMORPHISM; GROWTH-RATES; BASS STRAIT; NEW-ZEALAND; HABITAT USE</t>
  </si>
  <si>
    <t>While sexual segregation is expected in highly dimorphic species, the local environment is a major factor driving the degree of resource partitioning within a population. Sexual and individual niche segregation was investigated in the Australian fur seal (Arctocephalus pusillus doriferus), which is a benthic foraging species restricted to the shallow continental shelf region of south-eastern Australia. Tracking data and the isotopic values of plasma, red blood cells and whiskers were combined to document spatial and dietary niche segregation throughout the year. Tracking data indicated that, in winter, males and females overlapped in their foraging habitat. All individuals stayed within central Bass Strait, relatively close (&lt; 220 km) to the breeding colony. Accordingly, both genders exhibited similar plasma and red cell delta C-13 values. However, males exhibited greater delta C-13 intra-individual variation along the length of their whisker than females. This suggests that males exploited a greater diversity of foraging habitats throughout the year than their female counterparts, which are restricted in their foraging grounds by the need to regularly return to the breeding colony to suckle their pup. The degree of dietary sexual segregation was also surprisingly low, both sexes exhibiting a great overlap in their delta N-15 values. Yet, males displayed higher delta N-15 values than females, suggesting they fed upon a higher proportion of higher trophic level prey. Given that males and females exploit different resources (mainly foraging habitats), the degree of individual specialisation might differ between the sexes. Higher degrees of individual specialisation would be expected in males which exploit a greater range of resources. However, comparable levels of inter-individual variation in delta N-15 whisker values were found in the sampled males and females, and, surprisingly, all males exhibited similar seasonal and inter-annual variation in their delta C-13 whisker values, suggesting they all followed the same general dispersion pattern throughout the year.</t>
  </si>
  <si>
    <t>[Kernaleguen, Laetitia; Knox, Travis C.; Baylis, Alastair M. M.; Arnould, John P. Y.] Deakin Univ, Sch Life &amp; Environm Sci, Burwood, Vic, Australia; [Cherel, Yves] Univ La Rochelle, Ctr Etud Biol Chize, CNRS, UMR 7372, Villiers En Bois, France; [Baylis, Alastair M. M.] South Atlantic Environm Res Inst, FIQQ1ZZ, Stanley, Hong Kong, Peoples R China</t>
  </si>
  <si>
    <t>Deakin University; La Rochelle Universite; Centre National de la Recherche Scientifique (CNRS); CNRS - Institute of Ecology &amp; Environment (INEE)</t>
  </si>
  <si>
    <t>Kernaléguen, L (corresponding author), Deakin Univ, Sch Life &amp; Environm Sci, Burwood, Vic, Australia.</t>
  </si>
  <si>
    <t>lkernale@deakin.edu.au</t>
  </si>
  <si>
    <t>Baylis, Alastair/H-9471-2019</t>
  </si>
  <si>
    <t>Baylis, Alastair/0000-0002-5167-0472</t>
  </si>
  <si>
    <t>Winifred Violet Scott Charitable Trust; Holsworth Wildlife Research Endowment</t>
  </si>
  <si>
    <t>The research was financially supported by the Winifred Violet Scott Charitable Trust and the Holsworth Wildlife Research Endowment. The funders had no role in study design, data collection and analysis, decision to publish, or preparation of the manuscript.</t>
  </si>
  <si>
    <t>AUG 5</t>
  </si>
  <si>
    <t>e0133018</t>
  </si>
  <si>
    <t>10.1371/journal.pone.0133018</t>
  </si>
  <si>
    <t>CO3MH</t>
  </si>
  <si>
    <t>WOS:000359061400031</t>
  </si>
  <si>
    <t>Gerken, S; Watling, L</t>
  </si>
  <si>
    <t>Gerken, Sarah; Watling, Les</t>
  </si>
  <si>
    <t>Platycuma bamberconfabulor sp nov (Crustacea: Cumacea: Nannastacidae) from Antarctica, with a note on the gut of Platycuma</t>
  </si>
  <si>
    <t>Nannastacidae; Platycuma; Antarctic</t>
  </si>
  <si>
    <t>PERACARIDA</t>
  </si>
  <si>
    <t>Platycuma bamberconfabulor sp. nov. is based on a specimen from the Ross Sea. The species can be distinguished from the other species in the genus through the combination of a laterally expanded and somewhat dorsoventrally flattened carapace, anterior margin of the carapace excavate in dorsal view, uropod peduncles less than twice as long as pleonite 6, and subequal pleonites 4 and 5.</t>
  </si>
  <si>
    <t>[Gerken, Sarah] Univ Alaska Anchorage, Dept Biol Sci, Anchorage, AK 99508 USA; [Watling, Les] Univ Hawaii Manoa, Dept Biol, Honolulu, HI 96822 USA</t>
  </si>
  <si>
    <t>University of Alaska System; University of Alaska Anchorage; University of Hawaii System; University of Hawaii Manoa</t>
  </si>
  <si>
    <t>Gerken, S (corresponding author), Univ Alaska Anchorage, Dept Biol Sci, Anchorage, AK 99508 USA.</t>
  </si>
  <si>
    <t>gerken.uaa@gmail.com; watling@hawaii.edu</t>
  </si>
  <si>
    <t>10.11646/zootaxa.3995.1.13</t>
  </si>
  <si>
    <t>CO7SF</t>
  </si>
  <si>
    <t>WOS:000359361400011</t>
  </si>
  <si>
    <t>Arango, CP; Linse, K</t>
  </si>
  <si>
    <t>Arango, Claudia P.; Linse, Katrin</t>
  </si>
  <si>
    <t>New Sericosura (Pycnogonida: Ammotheidae) from deep-sea hydrothermal vents in the Southern Ocean</t>
  </si>
  <si>
    <t>Antarctica; sea spiders; East Scotia Ridge; chemosynthetic ecosystems; COI</t>
  </si>
  <si>
    <t>ARTHROPODA</t>
  </si>
  <si>
    <t>Three new species of Sericosura (Pycnogonida: Ammotheidae) are described from recently discovered hydrothermal vents in the East Scotia Ridge, Southern Ocean: Sericosura bamberi sp. nov., S. dimorpha sp. nov. and S. curva sp. nov. The eleven species known to date in the genus Sericosura are all inhabitants of chemosynthetic environments in different oceans around the world. Morphology and preliminary DNA data from the COI locus suggest the East Scotia Ridge pycnogonids have relatively close evolutionary affinities with species known from the East Pacific Rise and the Mid-Atlantic Ridge. This finding highlights the importance of Sericosura as a characteristic taxon of hydrothermal vents and the great potential of this genus for global scale ecological and evolutionary studies of hydrothermal vents fauna. The use of pycnogonid DNA data combined with recent models explaining biogeographic provinces along the mid-ocean ridge system should prove extremely useful to understanding the patterns of diversification of endemic fauna from chemosynthetic environments and from the deep-sea in general.</t>
  </si>
  <si>
    <t>[Arango, Claudia P.] Queensland Museum, Nat Environm Program, South Brisbane, Qld 4101, Australia; [Linse, Katrin] British Antarctic Survey, Cambridge CB3 0ET, England</t>
  </si>
  <si>
    <t>Queensland Museum; UK Research &amp; Innovation (UKRI); Natural Environment Research Council (NERC); NERC British Antarctic Survey</t>
  </si>
  <si>
    <t>Arango, CP (corresponding author), Queensland Museum, Nat Environm Program, POB 3300, South Brisbane, Qld 4101, Australia.</t>
  </si>
  <si>
    <t>claudia.arango@qm.qld.gov.au; kl@bas.ac.uk</t>
  </si>
  <si>
    <t>; /A-5531-2008</t>
  </si>
  <si>
    <t>Linse, Katrin/0000-0003-3477-3047; /0000-0003-1098-830X</t>
  </si>
  <si>
    <t>UK NERC in Consortium Grant [NE/DO1249X/1]; Census of Antarctic Marine Life (CAML); British Antarctic Survey; Australian Antarctic Science Grant [AA3010]; NERC [NE/D010470/2, bas0100036] Funding Source: UKRI; Natural Environment Research Council [bas0100036, NE/D010470/2] Funding Source: researchfish</t>
  </si>
  <si>
    <t>UK NERC in Consortium Grant; Census of Antarctic Marine Life (CAML); British Antarctic Survey; Australian Antarctic Science Grant; NERC(UK Research &amp; Innovation (UKRI)Natural Environment Research Council (NERC)); Natural Environment Research Council(UK Research &amp; Innovation (UKRI)Natural Environment Research Council (NERC))</t>
  </si>
  <si>
    <t>The authors are grateful to Paul Tyler as Principal Investigator of ChEsSo, to Rob Larter and Alex Rogers as PSOs of JR224 and JC42 and thank the crew of the RRS James Cook and staff of the UK National Marine Facilities at NOC for logistic and shipboard support and especially the pilots and technical teams of ROV Isis. The ChEsSo research programme was funded by the UK NERC in Consortium Grant (NE/DO1249X/1). Special thanks to David Staples for his efforts in the editorial role to produce this special issue and for his enormously helpful comments to improve the manuscript. Thanks also to the reviewers for comments on earlier versions. The corresponding author thanks the support from the Census of Antarctic Marine Life (CAML) and the British Antarctic Survey for access to the ChEsSo material. This study was financially supported by an Australian Antarctic Science Grant (AA3010) awarded to the corresponding author.</t>
  </si>
  <si>
    <t>250F Marua Road Mt Wellington, AUCKLAND, ST LUKES 1023, NEW ZEALAND</t>
  </si>
  <si>
    <t>10.11646/zootaxa.3995.1.5</t>
  </si>
  <si>
    <t>WOS:000359361400003</t>
  </si>
  <si>
    <t>O'Loughlin, PM; Mackenzie, M; Vandenspiegel, D; Griffiths, H</t>
  </si>
  <si>
    <t>O'Loughlin, P. Mark; Mackenzie, Melanie; Vandenspiegel, Didier; Griffiths, Huw</t>
  </si>
  <si>
    <t>New taeniogyrinid species of sea cucumber from the Weddell Sea (Echinodermata: Holothuroidea: Synaptida)</t>
  </si>
  <si>
    <t>Antarctica; Synaptida; Taeniogyrinae; Sigmodota; Taeniogyrus; magnibacula; new species</t>
  </si>
  <si>
    <t>ANTARCTICA</t>
  </si>
  <si>
    <t>The case put by Alexei Smirnov in 2012 is accepted and the order name Synaptida Cuenot is adopted in place of Apodida Brandt. Two new Synaptida species are described for the Weddell Sea in Antarctica with single author O'Loughlin: Sigmodota magdarogera sp. nov. and Taeniogyrus bamberi sp. nov.. A specimen of Sigmodota magnibacula (Massin &amp; Heterier) is described. A key is provided for the genera and species of Taeniogyrinae that occur south of the Antarctic Convergence.</t>
  </si>
  <si>
    <t>[O'Loughlin, P. Mark; Mackenzie, Melanie] Museum Victoria, Marine Biol Sect, Melbourne, Vic 3001, Australia; [Vandenspiegel, Didier] Musee Royal Afr Cent, Sect Invertebres Noninsects, B-3080 Tervuren, Belgium; [Griffiths, Huw] British Antarctic Survey, Cambridge CB3 0ET, England</t>
  </si>
  <si>
    <t>Museum Victoria; Royal Museum for Central Africa; UK Research &amp; Innovation (UKRI); Natural Environment Research Council (NERC); NERC British Antarctic Survey</t>
  </si>
  <si>
    <t>O'Loughlin, PM (corresponding author), Museum Victoria, Marine Biol Sect, GPO Box 666, Melbourne, Vic 3001, Australia.</t>
  </si>
  <si>
    <t>pmoloughlin@edmundrice.org; mmackenzie@museum.vic.gov.au; dvdspiegel@africamuseum.be; hjg@bas.ac.uk</t>
  </si>
  <si>
    <t>Griffiths, Huw J/D-4234-2009</t>
  </si>
  <si>
    <t>Griffiths, Huw J/0000-0003-1764-223X</t>
  </si>
  <si>
    <t>Museum Victoria; NERC [bas0100036] Funding Source: UKRI; Natural Environment Research Council [bas0100036] Funding Source: researchfish</t>
  </si>
  <si>
    <t>Museum Victoria; NERC(UK Research &amp; Innovation (UKRI)Natural Environment Research Council (NERC)); Natural Environment Research Council(UK Research &amp; Innovation (UKRI)Natural Environment Research Council (NERC))</t>
  </si>
  <si>
    <t>We are very grateful to Katrin Linse of BAS for extending the invitation to Melanie Mackenzie to join this cruise, and for providing the opportunity for our study of the holothuroid material collected. We acknowledge Museum Victoria for generously supporting this participation in the expedition and processing of specimens. We thank the captain, crew and JR275 scientific team of the RRS James Clark Ross. We acknowledge in particular Camille Moreau (Institut Universitaire Europeen de la Mer-Brest) for his efforts to capture live images of holothuroid specimens, Jennifer Jackson who conducted on-board tissue sampling, and the other benthic team members Chester Sands, Rachel Downey (BAS), and Adam Reed (University of Southhampton and BAS) for assistance with collection and processing of the specimens. We thank Ben Boonen for preparation of the figures for publication, and Andrew Cabrinovic for assistance with registration information for specimens to be lodged at NHMUK.</t>
  </si>
  <si>
    <t>10.11646/zootaxa.3995.1.23</t>
  </si>
  <si>
    <t>WOS:000359361400021</t>
  </si>
  <si>
    <t>Applegate, PJ; Keller, K</t>
  </si>
  <si>
    <t>Applegate, Patrick J.; Keller, Klaus</t>
  </si>
  <si>
    <t>How effective is albedo modification (solar radiation management geoengineering) in preventing sea-level rise from the Greenland Ice Sheet?</t>
  </si>
  <si>
    <t>albedo modification; geoengineering; solar radiation management; Greenland Ice Sheet; ice sheet modeling; ice sheet; glaciology</t>
  </si>
  <si>
    <t>RESOLUTION CLIMATE MODEL; MASS-LOSS; PROJECTIONS; INJECTIONS; SCENARIO</t>
  </si>
  <si>
    <t>Albedo modification (AM) is sometimes characterized as a potential means of avoiding climate threshold responses, including large-scale ice sheet mass loss. Previous work has investigated the effects of AM on total sea-level rise over the present century, as well as AM's ability to reduce long-term (&gt;&gt; 10(3) yr) contributions to sea-level rise from the Greenland Ice Sheet (GIS). These studies have broken new ground, but neglect important feedbacks in the GIS system, or are silent on AM's effectiveness over the short time scales that may be most relevant for decision-making (&lt; 10(3) yr). Here, we assess AM's ability to reduce GIS sea-level contributions over decades to centuries, using a simplified ice sheet model. We drive this model using a business-as-usual base temperature forcing scenario, as well as scenarios that reflect AM-induced temperature stabilization or temperature drawdown. Our model results suggest that (i) AM produces substantial near-term reductions in the rate of GIS-driven sea-level rise. However, (ii) sea-level rise contributions from the GIS continue after AM begins. These continued sea level rise contributions persist for decades to centuries after temperature stabilization and temperature drawdown begin, unless AM begins in the next few decades. Moreover, (iii) any regrowth of the GIS is delayed by decades or centuries after temperature drawdown begins, and is slow compared to pre-AM rates of mass loss. Combined with recent work that suggests AM would not prevent mass loss from the West Antarctic Ice Sheet, our results provide a nuanced picture of AM's possible effects on future sea-level rise.</t>
  </si>
  <si>
    <t>[Applegate, Patrick J.; Keller, Klaus] Penn State Univ, Earth &amp; Environm Sci Inst, University Pk, PA 16802 USA; [Keller, Klaus] Penn State Univ, Dept Geosci, University Pk, PA 16802 USA; [Keller, Klaus] Carnegie Mellon Univ, Dept Engn &amp; Publ Policy, Pittsburgh, PA 15289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</si>
  <si>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Carnegie Mellon University</t>
  </si>
  <si>
    <t>Applegate, PJ (corresponding author), Penn State Univ, Earth &amp; Environm Sci Inst, University Pk, PA 16802 USA.</t>
  </si>
  <si>
    <t>patrick.applegate@psu.edu</t>
  </si>
  <si>
    <t>Keller, Klaus/A-6742-2013</t>
  </si>
  <si>
    <t>US Department of Energy, Office of Science, Biological and Environmental Research Program, Integrated Assessment Program [DE-SC0005171]; National Science Foundation through the Network for Sustainable Climate Risk Mangement (SCRiM) under NSF [GEO-1240507]; Penn State Center for Climate Risk Management; Directorate For Geosciences [1240507] Funding Source: National Science Foundation</t>
  </si>
  <si>
    <t>US Department of Energy, Office of Science, Biological and Environmental Research Program, Integrated Assessment Program(United States Department of Energy (DOE)); National Science Foundation through the Network for Sustainable Climate Risk Mangement (SCRiM) under NSF; Penn State Center for Climate Risk Management; Directorate For Geosciences(National Science Foundation (NSF)NSF - Directorate for Geosciences (GEO))</t>
  </si>
  <si>
    <t>We thank Jacob Schewe for use of his CLIMBER-3 alpha model output and Ralf Greve for providing his ice sheet model, SICOPOLIS, freely on the Web (sicopolis.greveweb.net). Nina Kirchner, Philipp Hancke, Martin Jakobsson, and Bjorn Eriksson provided computing resources at Stockholm University, Sweden. Peter Irvine and four anonymous reviewers provided helpful comments on drafts of this paper. This work was supported by the US Department of Energy, Office of Science, Biological and Environmental Research Program, Integrated Assessment Program, through grant DE-SC0005171; the National Science Foundation through the Network for Sustainable Climate Risk Mangement (SCRiM) under NSF cooperative agreement GEO-1240507; and the Penn State Center for Climate Risk Management. Some figure colors were drawn from www.colorbrewer.org by Cynthia Brewer at Pennsylvania State University. Table S1 was produced with tablesgenerator.com. All opinions and errors are ours.</t>
  </si>
  <si>
    <t>IOP Publishing Ltd</t>
  </si>
  <si>
    <t>AUG</t>
  </si>
  <si>
    <t>10.1088/1748-9326/10/8/084018</t>
  </si>
  <si>
    <t>CZ3JD</t>
  </si>
  <si>
    <t>WOS:000366999400019</t>
  </si>
  <si>
    <t>Ris-Escalante, PD; Mansilla, A</t>
  </si>
  <si>
    <t>De Los Ris-Escalante, Patricio; Mansilla, Andres</t>
  </si>
  <si>
    <t>INLAND WATER CRUSTACEANS IN TWO CHILEAN PROTECTED AREAS: PARRILLAR LAKE AND MAGALLANES NATIONAL RESERVES, 53°S (CHILE)</t>
  </si>
  <si>
    <t>CRUSTACEANA</t>
  </si>
  <si>
    <t>[De Los Ris-Escalante, Patricio] Univ Catolica Temuco, Fac Recursos Nat, Escuela Ciencias Ambientales, Lab Limnol, Temuco, Chile; [De Los Ris-Escalante, Patricio] Univ Catolica Temuco, Nucleo Estudios Ambientales, Temuco, Chile; [Mansilla, Andres] Univ Magallanes, Dept Ciencias &amp; Recursos Nat, Punta Arenas, Chile; [Mansilla, Andres] Inst Ecol &amp; Biodivers, Santiago, Chile; [Mansilla, Andres] Univ Magallanes, Sub Antarctic Biocultural Conservat Program, Puerto Williams, Chile; [Mansilla, Andres] Univ N Texas, Denton, TX 76203 USA</t>
  </si>
  <si>
    <t>Universidad Catolica de Temuco; Universidad Catolica de Temuco; Universidad de Magallanes; Universidad de Magallanes; University of North Texas System; University of North Texas Denton</t>
  </si>
  <si>
    <t>Ris-Escalante, PD (corresponding author), Univ Catolica Temuco, Fac Recursos Nat, Escuela Ciencias Ambientales, Lab Limnol, Casilla 15-D, Temuco, Chile.</t>
  </si>
  <si>
    <t>prios@uct.cl</t>
  </si>
  <si>
    <t>De los Rios Escalante, Patricio R./E-2775-2014</t>
  </si>
  <si>
    <t>De los Rios Escalante, Patricio R./0000-0001-5056-7003; Mansilla, Andres/0000-0003-3505-7018</t>
  </si>
  <si>
    <t>projects MECESUP [UCT 0804]; Tides Foundation [TFR13-03011]; Environmental School of Sciences of the Catholic University of Temuco</t>
  </si>
  <si>
    <t>projects MECESUP; Tides Foundation; Environmental School of Sciences of the Catholic University of Temuco</t>
  </si>
  <si>
    <t>The present study was funded by the projects MECESUP UCT 0804, Tides Foundation TFR13-03011, and the Environmental School of Sciences of the Catholic University of Temuco. We thank M.I. for her valuable comments and suggestions.</t>
  </si>
  <si>
    <t>BRILL ACADEMIC PUBLISHERS</t>
  </si>
  <si>
    <t>LEIDEN</t>
  </si>
  <si>
    <t>PLANTIJNSTRAAT 2, P O BOX 9000, 2300 PA LEIDEN, NETHERLANDS</t>
  </si>
  <si>
    <t>0011-216X</t>
  </si>
  <si>
    <t>1568-5403</t>
  </si>
  <si>
    <t>Crustaceana</t>
  </si>
  <si>
    <t>10.1163/15685403-00003463</t>
  </si>
  <si>
    <t>CV2SK</t>
  </si>
  <si>
    <t>WOS:000364107300008</t>
  </si>
  <si>
    <t>Liu, L; Sletten, RS; Hagedorn, B; Hallet, B; Mckay, CP; Stone, JO</t>
  </si>
  <si>
    <t>Liu, Lu; Sletten, Ronald S.; Hagedorn, Birgit; Hallet, Bernard; Mckay, Christopher P.; Stone, John O.</t>
  </si>
  <si>
    <t>An enhanced model of the contemporary and long-term (200ka) sublimation of the massive subsurface ice in Beacon Valley, Antarctica</t>
  </si>
  <si>
    <t>MCMURDO DRY VALLEYS; SOUTHERN VICTORIA LAND; MIOCENE GLACIER ICE; GROUND ICE; WATER-VAPOR; STABILITY; PERMAFROST; MARS; REGION; SHEET</t>
  </si>
  <si>
    <t>A massive ice body buried under several decimeters of dry regolith in Beacon Valley, Antarctica, is believed to be more than 1 Ma old and perhaps over 8.1 Ma; however, vapor diffusion models suggest that subsurface ice in this region is not stable under current climate conditions. To better understand the controls on sublimation rates and stability of this massive ice, we have modeled vapor diffusion using 12 years of climate and soil temperature data from 1999 to 2011, including field measurements of episodic snow cover and snowmelt events that have not been represented in previous models of ground ice sublimation. The model is then extended to reconstruct the sublimation history over the last 200 ka using paleotemperatures estimated from ice core data from nearby Taylor Dome and a relationship between atmospheric temperature and humidity derived from our meteorological records. The model quantifies the impact of episodic snow events; they account for a nearly 30% reduction in the massive ice loss. The sublimation rate of ground ice averages 0.11 mm a(-1) between 1999 and 2011 in Beacon Valley. Parameterized with past environmental conditions and assuming the same regolith thickness, the modeled sublimation rate of ground ice in Beacon Valley averages 0.09 mm a(-1) for the last 200 ka, comparable to the long-term average rate estimated independently from various studies based on cosmogenic isotopes. This study provides a realistic estimate of the long-term sublimation history and supports the inference that the buried ice in Beacon Valley is older than 1 Ma.</t>
  </si>
  <si>
    <t>[Liu, Lu; Sletten, Ronald S.; Hallet, Bernard; Stone, John O.] Univ Washington, Dept Earth &amp; Space Sci, Seattle, WA 98195 USA; [Hagedorn, Birgit] Univ Alaska Anchorage, Environm &amp; Nat Resources Inst, Anchorage, AK USA; [Mckay, Christopher P.] NASA, Ames Res Ctr, Div Space Sci, Moffett Field, CA 94035 USA</t>
  </si>
  <si>
    <t>University of Washington; University of Washington Seattle; University of Alaska System; University of Alaska Anchorage; National Aeronautics &amp; Space Administration (NASA); NASA Ames Research Center</t>
  </si>
  <si>
    <t>Liu, L (corresponding author), Univ Washington, Dept Earth &amp; Space Sci, Seattle, WA 98195 USA.</t>
  </si>
  <si>
    <t>liul99@uw.edu</t>
  </si>
  <si>
    <t>McKay, Christopher/0000-0002-6243-1362; Liu, Lu/0000-0002-6101-7215</t>
  </si>
  <si>
    <t>National Science Foundation [0541054, 0636998, 1341680]; NASA Mars Science Laboratory via Malin Space Science Systems; Kenneth C. Robbins Graduate Fellowship; Joseph A. Endowed Vance Fellowship; Howard A. Coombs Scholarship</t>
  </si>
  <si>
    <t>National Science Foundation(National Science Foundation (NSF)); NASA Mars Science Laboratory via Malin Space Science Systems; Kenneth C. Robbins Graduate Fellowship; Joseph A. Endowed Vance Fellowship; Howard A. Coombs Scholarship</t>
  </si>
  <si>
    <t>This material is based upon work supported by the National Science Foundation under grants 0541054, 0636998, and 1341680 and NASA Mars Science Laboratory awarded via Malin Space Science Systems. Funding was also provided by Kenneth C. Robbins Graduate Fellowship, Joseph A. Endowed Vance Fellowship, and the Howard A. Coombs Scholarship. Data supporting this paper are available at http://gcmd.nasa.gov/r/d/[GCMD] UW_Dry_Valley_Datalogging or by contacting the corresponding author at liul99@uw.edu. We thank the Editors and reviewers for their comprehensive and insightful reviews. We are grateful to Antarctic Support Services, PHI, and our colleagues in Christchurch for superb logistical support in the Dry Valleys.</t>
  </si>
  <si>
    <t>10.1002/2014JF003415</t>
  </si>
  <si>
    <t>CU3YZ</t>
  </si>
  <si>
    <t>WOS:000363464000009</t>
  </si>
  <si>
    <t>McKnight, DM; Cozzetto, K; Cullis, JDS; Gooseff, MN; Jaros, C; Koch, JC; Lyons, WB; Neupauer, R; Wlostowski, A</t>
  </si>
  <si>
    <t>McKnight, Diane M.; Cozzetto, Karen; Cullis, James D. S.; Gooseff, Michael N.; Jaros, Christopher; Koch, Joshua C.; Lyons, W. Berry; Neupauer, Roseanna; Wlostowski, Adam</t>
  </si>
  <si>
    <t>Potential for real-time understanding of coupled hydrologic and biogeochemical processes in stream ecosystems: Future integration of telemetered data with process models for glacial meltwater streams</t>
  </si>
  <si>
    <t>WATER RESOURCES RESEARCH</t>
  </si>
  <si>
    <t>MCMURDO DRY VALLEYS; ACID-MINE DRAINAGE; SOLUTE TRANSPORT; WATER CHEMISTRY; DIDYMOSPHENIA; TERRESTRIAL; ANTARCTICA; PERIPHYTON; NETWORKS; COLORADO</t>
  </si>
  <si>
    <t>While continuous monitoring of streamflow and temperature has been common for some time, there is great potential to expand continuous monitoring to include water quality parameters such as nutrients, turbidity, oxygen, and dissolved organic material. In many systems, distinguishing between watershed and stream ecosystem controls can be challenging. The usefulness of such monitoring can be enhanced by the application of quantitative models to interpret observed patterns in real time. Examples are discussed primarily from the glacial meltwater streams of the McMurdo Dry Valleys, Antarctica. Although the Dry Valley landscape is barren of plants, many streams harbor thriving cyanobacterial mats. Whereas a daily cycle of streamflow is controlled by the surface energy balance on the glaciers and the temporal pattern of solar exposure, the daily signal for biogeochemical processes controlling water quality is generated along the stream. These features result in an excellent outdoor laboratory for investigating fundamental ecosystem process and the development and validation of process-based models. As part of the McMurdo Dry Valleys Long-Term Ecological Research project, we have conducted field experiments and developed coupled biogeochemical transport models for the role of hyporheic exchange in controlling weathering reactions, microbial nitrogen cycling, and stream temperature regulation. We have adapted modeling approaches from sediment transport to understand mobilization of stream biomass with increasing flows. These models help to elucidate the role of in-stream processes in systems where watershed processes also contribute to observed patterns, and may serve as a test case for applying real-time stream ecosystem models.</t>
  </si>
  <si>
    <t>[McKnight, Diane M.; Cozzetto, Karen; Gooseff, Michael N.; Jaros, Christopher; Neupauer, Roseanna; Wlostowski, Adam] Univ Colorado, Inst Arctic &amp; Alpine Res, Dept Civil Environm &amp; Architectural Engn, Boulder, CO 80309 USA; [Cullis, James D. S.] Aurecon Grp, Cape Town, South Africa; [Koch, Joshua C.] US Geol Survey, Alaska Sci Ctr, Anchorage, AK USA; [Lyons, W. Berry] Ohio State Univ, Sch Earth Sci, Columbus, OH 43210 USA</t>
  </si>
  <si>
    <t>University of Colorado System; University of Colorado Boulder; United States Department of the Interior; United States Geological Survey; University System of Ohio; Ohio State University</t>
  </si>
  <si>
    <t>McKnight, DM (corresponding author), Univ Colorado, Inst Arctic &amp; Alpine Res, Dept Civil Environm &amp; Architectural Engn, Boulder, CO 80309 USA.</t>
  </si>
  <si>
    <t>diane.mcknight@colorado.edu</t>
  </si>
  <si>
    <t>Neupauer, Roseanna/P-9119-2019; Gooseff, Michael N/N-6087-2015</t>
  </si>
  <si>
    <t>Gooseff, Michael N/0000-0003-4322-8315; Koch, Joshua/0000-0001-7180-6982; NEUPAUER, ROSEANNA/0000-0002-4918-810X</t>
  </si>
  <si>
    <t>National Science Foundation through the McMurdo LTER [NSF 1115245]; Boulder Creek Critical Zone Observatory [NSF 0724960]; Office of Polar Programs (OPP); Directorate For Geosciences [1115245] Funding Source: National Science Foundation</t>
  </si>
  <si>
    <t>National Science Foundation through the McMurdo LTER; Boulder Creek Critical Zone Observatory; Office of Polar Programs (OPP); Directorate For Geosciences(National Science Foundation (NSF)NSF - Directorate for Geosciences (GEO))</t>
  </si>
  <si>
    <t>We gratefully acknowledge Kenneth Bencala and Robert Runkel for their insightful comments and advice in the design and analysis of this research. We also acknowledge helpful reviews of this paper by Audrey Sawyer and two anonymous reviewers. Funding for this research was provided by the National Science Foundation through the McMurdo LTER (NSF 1115245). Additional funding support for the lead author was provided by the Boulder Creek Critical Zone Observatory (NSF 0724960). Essential logistic support was provided by the U.S. Antarctic Program, Lake Hoare camp manager Rae Spain, and the pilots, staff, and crew of PHI helicopters Inc. The data presented are available from the MCMLTER database (mcmlter.org). Any use of trade, firm, or product names is for descriptive purposes only and does not imply endorsement by the U.S. Government.</t>
  </si>
  <si>
    <t>0043-1397</t>
  </si>
  <si>
    <t>1944-7973</t>
  </si>
  <si>
    <t>WATER RESOUR RES</t>
  </si>
  <si>
    <t>Water Resour. Res.</t>
  </si>
  <si>
    <t>10.1002/2015WR017618</t>
  </si>
  <si>
    <t>Environmental Sciences; Limnology; Water Resources</t>
  </si>
  <si>
    <t>Environmental Sciences &amp; Ecology; Marine &amp; Freshwater Biology; Water Resources</t>
  </si>
  <si>
    <t>CU3CZ</t>
  </si>
  <si>
    <t>WOS:000363402800045</t>
  </si>
  <si>
    <t>Srinivas, TNR; Kumar, PA; Tank, M; Sunil, B; Poorna, M; Zareena, B; Shivaji, S</t>
  </si>
  <si>
    <t>Srinivas, T. N. R.; Kumar, P. Anil; Tank, M.; Sunil, B.; Poorna, Manasa; Zareena, Begum; Shivaji, S.</t>
  </si>
  <si>
    <t>Aquipuribacter nitratireducens sp nov., isolated from a soil sample of a mud volcano</t>
  </si>
  <si>
    <t>GEN. NOV.</t>
  </si>
  <si>
    <t>A novel Gram-stain-positive, coccoid, non-motile bacterium, designated strain AMV4(T), was isolated from a soil sample collected from a mud volcano located in the Andaman Islands, India. The colony was pale orange. Strain AMV4(T) was positive for oxidase, aesculinase, lysine decarboxylase and ornithine decarboxylase activities and negative for amylase, catalase, cellulase, protease, urease and lipase activities. 16S rRNA gene sequence analysis indicated that strain AMV4(T) was a member of the order Actinomycetales and was closely related to Aquipuribacter hungaricus with a sequence similarity of 97.13 % (pairwise alignment). Phylogenetic analyses showed that strain AMV4(T) clustered with Aquipuribacter hungaricus and was distantly related to the other genera of the family Intrasporangiaceae. DNA-DNA hybridization between strains AMV4(T) and Aquipuribacter hungaricus IV-75(T) showed a relatedness of 28 %. The predominant cellular fatty acids were iso-C-15 : 0 (6.9 %), anteiso-C-15 : 0 (25.3 %), C-16 : 0 (12.9 %), anteiso- C-16 : 0 (5.6 %), C-18 : 1 omega 9C (19.8 %) and C-18 : 3 omega 0619, 12c (9.1 %). The diagnostic diamino acid in the cell-wall peptidoglycan of strain AMV4(T) was meso-diaminopimelic acid. Strain AMV4(T) contained MK-10(H-4) as the predominant respiratory quinone. The polar lipids consisted of phosphatidylglycerol, one unidentified glycolipid, two unidentified phospholipids and five unidentified lipids. The DNA G+C content of strain AMV4(T) was 74.3 mol%. Based on data from this taxonomic study using a polyphasic approach, it is proposed that strain AMV4(T) represents a novel species of the genus Aquipuribacter, with the suggested name Aquipuribacter nitratireducens sp. nov. The type strain is AMV4(T) (=CCUG 58430(T)=DSM 22863(T)=NBRC 107137(T)).</t>
  </si>
  <si>
    <t>[Srinivas, T. N. R.; Kumar, P. Anil; Sunil, B.; Poorna, Manasa; Zareena, Begum; Shivaji, S.] Ctr Cellular &amp; Mol Biol, Hyderabad 500007, Andhra Pradesh, India; [Tank, M.] IFM GEOMAR, Leibniz Inst Meereswissensch, Marine Mikrobiol, D-24105 Kiel, Germany</t>
  </si>
  <si>
    <t>Council of Scientific &amp; Industrial Research (CSIR) - India; CSIR - Centre for Cellular &amp; Molecular Biology (CCMB); Helmholtz Association; GEOMAR Helmholtz Center for Ocean Research Kiel</t>
  </si>
  <si>
    <t>Shivaji, S (corresponding author), Ctr Cellular &amp; Mol Biol, Uppal Rd, Hyderabad 500007, Andhra Pradesh, India.</t>
  </si>
  <si>
    <t>shivas@ccmb.res.in</t>
  </si>
  <si>
    <t>TANUKU, SRINIVAS N R/F-1029-2013</t>
  </si>
  <si>
    <t>Tank, Marcus/0000-0002-5087-6540; shivaji, sisinthy/0000-0003-0376-4658; Bhamidimarri, Poorna Manasa/0000-0002-7418-0492</t>
  </si>
  <si>
    <t>National Centre for Antarctic and Ocean Research, Goa; CSIR Network Project on Exploitation of India's rich microbial diversity [NWP0006]</t>
  </si>
  <si>
    <t>National Centre for Antarctic and Ocean Research, Goa; CSIR Network Project on Exploitation of India's rich microbial diversity</t>
  </si>
  <si>
    <t>S. S. is thankful to National Centre for Antarctic and Ocean Research, Goa and the CSIR Network Project on Exploitation of India's rich microbial diversity (NWP0006) for funding. We would also like to thank S. Madhu for his involvement in the initial stages of the work and Dr E. M. Toth, Eotvos Lorand University, Hungary for providing the type strain for comparative characterization.</t>
  </si>
  <si>
    <t>14-16 MEREDITH ST, LONDON, ENGLAND</t>
  </si>
  <si>
    <t>10.1099/ijs.0.000269</t>
  </si>
  <si>
    <t>CS9BT</t>
  </si>
  <si>
    <t>WOS:000362384800008</t>
  </si>
  <si>
    <t>Vargas-Hernandez, JM; Wijffels, S; Meyers, G; Holbrook, NJ</t>
  </si>
  <si>
    <t>Vargas-Hernandez, J. Mauro; Wijffels, Susan; Meyers, Gary; Holbrook, Neil J.</t>
  </si>
  <si>
    <t>Slow westward movement of salinity anomalies across the tropical South Indian Ocean</t>
  </si>
  <si>
    <t>INDONESIAN THROUGHFLOW; SEA-LEVEL; CLIMATE VARIABILITY; PACIFIC-OCEAN; INDO-PACIFIC; PATHWAYS; EXCHANGE; WATER; SODA; DYNAMICS</t>
  </si>
  <si>
    <t>Decadal salinity variability is an important characteristic of the ocean. It characterizes differences in evaporative and precipitation fluxes at the surface, and in the subsurface it contributes to steric sea level change and freshwater/salt transports. In this paper, we identify and describe westward moving and decadally varying salinity anomalies within the thermocline of the tropical South Indian Ocean (SIO) based on ocean state estimates from the Simple Ocean Data Assimilation version 2.2.4 (SODA). This signature in the salinity anomalies is expressed at the depth of 208C isotherm (D20). A two-dimensional radon transform quantifies the westward speeds as being between 0.4 and 1.7 cm s(-1). These speeds are slower than those of first baroclinic-mode Rossby waves or mean advection speeds of the background flow in the same regions. The decadal salinity anomaly originates in the subtropical eastern SIO (similar to 39% of the variance explained) and merges with remote anomalies from the western tropical Pacific Ocean (WTPO) via the Indonesian Seas (similar to 11% of the variance explained). The eastern SIO displays both decadal (similar to 10-15 years) and interdecadal (similar to 15-30 years) variability influenced by the WTPO, whereas the decadal variability in the western SIO seems to be more influenced by signals originating in the subtropical eastern SIO. We conclude that these salinity anomalies are consistent with signatures of nonlinear baroclinic disturbances as explained in the recent literature, and possible interaction of higher order baroclinic-mode Rossby waves with the mean flow.</t>
  </si>
  <si>
    <t>[Vargas-Hernandez, J. Mauro; Meyers, Gary; Holbrook, Neil J.] Univ Tasmania, Inst Marine &amp; Antarctic Studies, Hobart, Tas, Australia; [Vargas-Hernandez, J. Mauro; Wijffels, Susan; Meyers, Gary] CSIRO Oceans &amp; Atmosphere Flagship, Hobart, Tas, Australia; [Vargas-Hernandez, J. Mauro] Univ Nacl, Lab Oceanog &amp; Manejo Costero LAOCOS, Heredia, Costa Rica; [Wijffels, Susan] Ctr Australian Weather &amp; Climate Res, Hobart, Tas, Australia; [Holbrook, Neil J.] ARC Ctr Excellence Climate Syst Sci, Hobart, Tas, Australia</t>
  </si>
  <si>
    <t>University of Tasmania; Commonwealth Scientific &amp; Industrial Research Organisation (CSIRO); Universidad Nacional Costa Rica; Commonwealth Scientific &amp; Industrial Research Organisation (CSIRO); ARC Centre of Excellence for Climate System Science</t>
  </si>
  <si>
    <t>Vargas-Hernandez, JM (corresponding author), Univ Tasmania, Inst Marine &amp; Antarctic Studies, Hobart, Tas, Australia.</t>
  </si>
  <si>
    <t>jose.vargas.hernandez@una.cr</t>
  </si>
  <si>
    <t>Wijffels, Susan E/I-8215-2012; Holbrook, Neil/M-7544-2013</t>
  </si>
  <si>
    <t>Holbrook, Neil/0000-0002-3523-6254; Vargas-Hernandez, Jose Mauro/0000-0002-7014-7054; Wijffels, Susan/0000-0002-4717-0811</t>
  </si>
  <si>
    <t>QMS PhD Scholarship; Universidad Nacional of Costa Rica; CSIRO Wealth from Oceans Flagship Scholarship</t>
  </si>
  <si>
    <t>This work was conducted as part of the Jose Mauro Vargas Hernandez PhD in Quantitative Marine Sciences (QMS) Ph.D. Program, a joint initiative between the University of Tasmania and CSIRO. This research was partially supported by grants from the QMS PhD Scholarship, Postgraduate Studies Scholarship from Universidad Nacional of Costa Rica and CSIRO Wealth from Oceans Flagship Scholarship. SODA 2.2.4 data are provided by SODA/TAMU research group, Texas A&amp;M University, available at the web site http://soda.tamu.edu/. Vertical profiles of potential temperature in degrees Celcius (degrees C), salinity in pratical salinity units (PSU) and depth in metres (m) at two locations from CARS were provided by Dr. Jeff Dunn from CSIRO Marine and Atmospheric Research (also available at www.cmar.csiro.au/cars). The IPO index was obtained from the calculations of Chris Folland, UK Met Office Hadley Centre at http://www.iges.org/c20c/IPO_v2.doc. This paper makes a contribution to the goals of the Australian Research Council Centre of Excellence for Climate System Science and the Australian Climate Change Science Program.</t>
  </si>
  <si>
    <t>10.1002/2015JC010933</t>
  </si>
  <si>
    <t>CT2SI</t>
  </si>
  <si>
    <t>WOS:000362653600009</t>
  </si>
  <si>
    <t>Oosthuizen, WC; Bester, MN; Altwegg, R; McIntyre, T; de Bruyn, PJN</t>
  </si>
  <si>
    <t>Oosthuizen, W. Chris; Bester, Marthan N.; Altwegg, Res; McIntyre, Trevor; de Bruyn, P. J. Nico</t>
  </si>
  <si>
    <t>Decomposing the variance in southern elephant seal weaning mass: partitioning environmental signals and maternal effects</t>
  </si>
  <si>
    <t>ECOSPHERE</t>
  </si>
  <si>
    <t>body mass; environmental variability; food availability; Marion Island; maternal effects; Mirounga leonina; population; prey abundance; process variance; Southern Ocean; temporal variation; top predator</t>
  </si>
  <si>
    <t>MIROUNGA-LEONINA; CLIMATE-CHANGE; JUVENILE SOUTHERN; POPULATION REGULATION; STABLE-ISOTOPES; TOP PREDATOR; EL-NINO; LA-NINA; SURVIVAL; TRENDS</t>
  </si>
  <si>
    <t>Predator populations are likely to respond to bottom-up processes, but there remains limited understanding of how wide-ranging marine predators respond to environmentally driven temporal variation in food availability. Widespread declines of several Southern Ocean predators, including southern elephant seals Mirounga leonina, have been attributed to decreases in food availability following environmental changes. We used linear mixed models to examine temporal process variance in weaning mass (a key fitness component) of southern elephant seals at Marion Island over a 27-year period (19862013). We quantified the contribution of within-and between-year covariates to the total phenotypic variance in weaning mass and determined whether the observed reversal of population decline was associated with a continued increase in weaning mass, suggesting improvement in per capita food availability to adult females. Weaning mass initially increased rapidly with maternal age, but reached an asymptote when females were nine years old. Longitudinal data examining between-individual maternal differences suggested latent, age-independent maternal influences on weaning mass. Between-year differences accounted for only 6% of the total phenotypic variance in weaning mass. We found no evidence for a systematic trend in weaning mass, but model predicted weaning mass was 8.70 kg (95% CI = 2.14-14.73) lower during the 1980s, suggesting that food limitation may have been most severe during these years when the population was declining. Model support for a population size effect was entirely driven by the low weaning mass and comparatively high (but declining) population size from 1986 to 1988; subsequent variation in population size had no detectable influence on weaning mass. Remotely sensed chlorophyll-a concentration within the seals' foraging distribution explained 45% of the between-year variation (1998-2013, n = 9) in weaning mass, with higher weaning mass in years of positive chlorophyll-a anomalies. Environmental variation associated with variability in the Southern Annular Mode poorly predicted temporal variation in weaning mass. Our long-term data on elephant seal weaning mass provides a perspective on variation in food availability in a pelagic environment which is poorly known. Examining the long-term regionally specific effects of environmental variability aids our understanding of how these predators interact with their environment.</t>
  </si>
  <si>
    <t>[Oosthuizen, W. Chris; Bester, Marthan N.; McIntyre, Trevor; de Bruyn, P. J. Nico] Univ Pretoria, Dept Zool &amp; Entomol, Mammal Res Inst, ZA-0028 Hatfield, South Africa; [Oosthuizen, W. Chris; Altwegg, Res] Univ Cape Town, Dept Stat Sci, Ctr Stat Ecol Environm &amp; Conservat, ZA-7701 Rondebosch, South Africa; [Altwegg, Res] Univ Cape Town, African Climate &amp; Dev Initiat, ZA-7701 Rondebosch, South Africa</t>
  </si>
  <si>
    <t>University of Pretoria; University of Cape Town; University of Cape Town</t>
  </si>
  <si>
    <t>Oosthuizen, WC (corresponding author), Univ Pretoria, Dept Zool &amp; Entomol, Mammal Res Inst, Private Bag X20, ZA-0028 Hatfield, South Africa.</t>
  </si>
  <si>
    <t>wcoosthuizen@zoology.up.ac.za</t>
  </si>
  <si>
    <t>Oosthuizen, W. Chris/I-2947-2016; Bester, Marthán N/E-5387-2010; McIntyre, Trevor/E-6846-2010; de Bruyn, P. J. Nico/E-4176-2010</t>
  </si>
  <si>
    <t>Oosthuizen, W. Chris/0000-0003-2905-6297; McIntyre, Trevor/0000-0001-8395-7550; de Bruyn, P. J. Nico/0000-0002-9114-9569</t>
  </si>
  <si>
    <t>South African Department of Science and Technology through the National Research Foundation</t>
  </si>
  <si>
    <t>We thank the many individuals who have collected long-term demographic data on marine mammals at Marion Island. Ian Wilkinson is specially thanked for his endeavors during the 1986-1988 field seasons. The research benefitted from logistical support provided by the South African Department of Environmental Affairs within the South African National Antarctic Programme. The South African Department of Science and Technology provided funding through the National Research Foundation.</t>
  </si>
  <si>
    <t>2150-8925</t>
  </si>
  <si>
    <t>Ecosphere</t>
  </si>
  <si>
    <t>10.1890/ES14-00508.1</t>
  </si>
  <si>
    <t>CS5KY</t>
  </si>
  <si>
    <t>WOS:000362118100001</t>
  </si>
  <si>
    <t>Posch, JL; Engebretson, MJ; Olson, CN; Thaller, SA; Breneman, AW; Wygant, JR; Boardsen, SA; Kletzing, CA; Smith, CW; Reeves, GD</t>
  </si>
  <si>
    <t>Posch, J. L.; Engebretson, M. J.; Olson, C. N.; Thaller, S. A.; Breneman, A. W.; Wygant, J. R.; Boardsen, S. A.; Kletzing, C. A.; Smith, C. W.; Reeves, G. D.</t>
  </si>
  <si>
    <t>Low-harmonic magnetosonic waves observed by the Van Allen Probes</t>
  </si>
  <si>
    <t>magnetosonic waves; equatorial noise; waves in plasmas; inner magnetosphere</t>
  </si>
  <si>
    <t>EQUATORIAL NOISE; ULF WAVES; MAGNETOSPHERE; EXCITATION; PULSATIONS; PROTON</t>
  </si>
  <si>
    <t>Purely compressional electromagnetic waves (fast magnetosonic waves), generated at multiple harmonics of the local proton gyrofrequency, have been observed by various types of satellite instruments (fluxgate and search coil magnetometers and electric field sensors), but most recent studies have used data from search coil sensors, and many have been restricted to high harmonics. We report here on a survey of low-harmonic waves, based on electric and magnetic field data from the Electric Fields and Waves double probe and Electric and Magnetic Field Instrument Suite and Integrated Science fluxgate magnetometer instruments, respectively, on the Van Allen Probes spacecraft during its first full precession through all local times, from 1 October 2012 to 13 July 2014. These waves were observed both inside and outside the plasmapause (PP), at L shells from 2.4 to similar to 6 (the spacecraft apogee), and in regions with plasma number densities ranging from 10 to &gt;1000cm(-3). Consistent with earlier studies, wave occurrence was sharply peaked near the magnetic equator. Waves appeared at all local times but were more common from noon to dusk, and often occurred within 3h after substorm injections. Outside the PP occurrence maximized broadly across noon, and inside the PP occurrence maximized in the dusk sector, in an extended plasmasphere. We confirm recent ray-tracing studies showing wave refraction and/or reflection at PP-like boundaries. Comparison with waveform receiver data indicates that in some cases these low-harmonic magnetosonic wave events occurred independently of higher-harmonic waves; this indicates the importance of including this population in future studies of radiation belt dynamics.</t>
  </si>
  <si>
    <t>[Posch, J. L.; Engebretson, M. J.; Olson, C. N.] Augsburg Coll, Dept Phys, Minneapolis, MN 55454 USA; [Thaller, S. A.; Breneman, A. W.; Wygant, J. R.] Univ Minnesota, Sch Phys &amp; Astron, Minneapolis, MN 55455 USA; [Boardsen, S. A.] Univ Maryland, Goddard Planetary Heliophys Inst, Baltimore, MD 21201 USA; [Boardsen, S. A.] NASA, Goddard Space Flight Ctr, Heliophys Sci Div, Greenbelt, MD 20771 USA; [Kletzing, C. A.] Univ Iowa, Dept Phys &amp; Astron, Iowa City, IA 52242 USA; [Smith, C. W.] Univ New Hampshire, Ctr Space Sci, Durham, NH 03824 USA; [Reeves, G. D.] Los Alamos Natl Lab, Space Sci &amp; Applicat Grp, Los Alamos, NM USA</t>
  </si>
  <si>
    <t>Augsburg University; University of Minnesota System; University of Minnesota Twin Cities; University System of Maryland; University of Maryland Baltimore; National Aeronautics &amp; Space Administration (NASA); NASA Goddard Space Flight Center; University of Iowa; University System Of New Hampshire; University of New Hampshire; United States Department of Energy (DOE); Los Alamos National Laboratory</t>
  </si>
  <si>
    <t>Posch, JL (corresponding author), Augsburg Coll, Dept Phys, Minneapolis, MN 55454 USA.</t>
  </si>
  <si>
    <t>posch@augsburg.edu</t>
  </si>
  <si>
    <t>Reeves, Geoffrey/E-8101-2011</t>
  </si>
  <si>
    <t>Reeves, Geoffrey/0000-0002-7985-8098; Kletzing, Craig/0000-0002-4136-3348</t>
  </si>
  <si>
    <t>NSF [AGS-1202267, PLR-1341493]; NASA [NAS5-01072]; Directorate For Geosciences; Div Atmospheric &amp; Geospace Sciences [1202267] Funding Source: National Science Foundation; Directorate For Geosciences; Office of Polar Programs (OPP) [1341493] Funding Source: National Science Foundation</t>
  </si>
  <si>
    <t>NSF(National Science Foundation (NSF)); NASA(National Aeronautics &amp; Space Administration (NASA)); Directorate For Geosciences; Div Atmospheric &amp; Geospace Sciences(National Science Foundation (NSF)NSF - Directorate for Geosciences (GEO)); Directorate For Geosciences; Office of Polar Programs (OPP)(National Science Foundation (NSF)NSF - Directorate for Geosciences (GEO))</t>
  </si>
  <si>
    <t>We thank both referees for suggestions that greatly improved this manuscript. We thank Augsburg undergraduates Joseph Perrin and Sadie Tetrick for their help in identifying wave events, and Eun-Hwa Kim and Jay Johnson of Princeton University, Richard Horne of the British Antarctic Survey, and Brian Anderson of JHU/APL for their helpful discussions. We acknowledge the use of NASA/GSFC's Space Physics Data Facility's OMNIWeb and CDAWeb data. The EMFISIS data from the Van Allen Probes is available at http://emfisis.physics.uiowa.edu/. The Van Allen Probes EFW data is available at: http://www.space.umn.edu/missions/rbspefw-home-university-of-minnesota/. Research at Augsburg College was supported by NSF grants AGS-1202267 and PLR-1341493, and research at the University of Minnesota, University of Iowa, University of New Hampshire, and Los Alamos National Laboratory was supported by NASA prime contract NAS5-01072 to the Johns Hopkins University Applied Physics Laboratory</t>
  </si>
  <si>
    <t>10.1002/2015JA021179</t>
  </si>
  <si>
    <t>CS5NP</t>
  </si>
  <si>
    <t>WOS:000362125300015</t>
  </si>
  <si>
    <t>Leyton, A; Urrutia, H; Vidal, JM; de la Fuente, M; Alarcón, M; Aroca, G; González-Rocha, G; Sossa, K</t>
  </si>
  <si>
    <t>Leyton, Arely; Urrutia, Homero; Miguel Vidal, Jose; de la Fuente, Mery; Alarcon, Manuel; Aroca, German; Gonzalez-Rocha, Gerardo; Sossa, Katherine</t>
  </si>
  <si>
    <t>Inhibitory activity of Antarctic bacteria Pseudomonas sp M19B on the biofilm formation of Flavobacterium psychrophilum 19749</t>
  </si>
  <si>
    <t>REVISTA DE BIOLOGIA MARINA Y OCEANOGRAFIA</t>
  </si>
  <si>
    <t>Flavobacterium psychrophilum; biofilms; antarctic bacteria; inhibition</t>
  </si>
  <si>
    <t>FISH; RESISTANCE</t>
  </si>
  <si>
    <t>Flavobacterium psyhrophilum affects farmed salmon and trout worldwide and is the etiological agent of bacterial cold water disease. The treatment of this disease is made with antibiotics. The emergence of resistant strains and its ability to form biofilms have increased the resistance to antibiotics. Considering the diverse bioactivity of Antarctic bacteria, we evaluated the inhibitory effect of compounds secreted by Antarctic bacterial strains on the biofilm formation of F. psychrophilum 19749. 26.9% of the Antarctic bacterial isolates inhibited strongly the biofilm, the greatest effect was shown by M19B. Proteins (48-56 kDa) secreted by M19B may be related to the inhibition of the biofilm formation of F. psychrophilum 19749.</t>
  </si>
  <si>
    <t>[Leyton, Arely; Urrutia, Homero; Miguel Vidal, Jose; Alarcon, Manuel; Sossa, Katherine] Univ Concepcion, Ctr Biotecnol, Lab Biopeliculas &amp; Microbiol Ambiental, Concepcion, Chile; [Sossa, Katherine] Univ Concepcion, Fac Ciencias Forestales, Concepcion, Chile; [Aroca, German] Univ Valparaiso, Fac Ingn Bioquim, Valparaiso, Chile; [Gonzalez-Rocha, Gerardo] Univ Concepcion, Lab Invest Agentes Antibacterianos, Dept Microbiol, Fac Ciencias Biol, Concepcion, Chile; [de la Fuente, Mery] Univ Catolica Santisima Concepcion, Lab Genom &amp; Biotecnol Aplicada, Dept Ingn Ambiental &amp; Recursos Nat, Fac Ingn, Concepcion, Chile; [de la Fuente, Mery] Univ San Sebastian, Fac Ciencia, Dept Ciencias Biol &amp; Quim, Concepcion, Chile</t>
  </si>
  <si>
    <t>Universidad de Concepcion; Universidad de Concepcion; Universidad de Valparaiso; Universidad de Concepcion; Universidad Catolica de la Santisima Concepcion; Universidad San Sebastian</t>
  </si>
  <si>
    <t>Leyton, A (corresponding author), Univ Concepcion, Ctr Biotecnol, Lab Biopeliculas &amp; Microbiol Ambiental, Barrio Univ S-N, Concepcion, Chile.</t>
  </si>
  <si>
    <t>ksossa@udec.cl</t>
  </si>
  <si>
    <t>Aroca, German/ABG-6714-2020; Gonzalez-Rocha, Gerardo/AAP-1793-2021; Sossa, Katherine/AAH-5515-2021; Gonzalez, Gerardo/KHE-5265-2024</t>
  </si>
  <si>
    <t>Aroca, German/0000-0003-1376-7940; Gonzalez-Rocha, Gerardo/0000-0003-2351-1236; Sossa, Katherine/0000-0002-3890-086X; Alarcon-Vivero, Manuel/0000-0002-8585-2514; de la Fuente, Mery/0000-0003-4038-1197</t>
  </si>
  <si>
    <t>UNIV VALPARAISO</t>
  </si>
  <si>
    <t>FACULTAD CIENCIAS MAR RECURSOS NATURALES, CASILLA 5080 - RENACA, VINA DEL MAR, 00000, CHILE</t>
  </si>
  <si>
    <t>0717-3326</t>
  </si>
  <si>
    <t>0718-1957</t>
  </si>
  <si>
    <t>REV BIOL MAR OCEANOG</t>
  </si>
  <si>
    <t>Rev. Biol. Mar. Oceanogr.</t>
  </si>
  <si>
    <t>10.4067/S0718-19572015000300016</t>
  </si>
  <si>
    <t>CR8SK</t>
  </si>
  <si>
    <t>WOS:000361624000016</t>
  </si>
  <si>
    <t>Ogunjobi, O; Sivakumar, V; Stephenson, JAE; Sivla, WT</t>
  </si>
  <si>
    <t>Ogunjobi, Olakunle; Sivakumar, Venkataraman; Stephenson, Judy Ann Elizabeth; Sivla, William Tafon</t>
  </si>
  <si>
    <t>Evidence of Polar Mesosphere Summer Echoes Observed by SuperDARN SANAE HF Radar in Antarctica</t>
  </si>
  <si>
    <t>TERRESTRIAL ATMOSPHERIC AND OCEANIC SCIENCES</t>
  </si>
  <si>
    <t>PMSE; SANAE IV; SuperDARN radar; Neutral winds; MLT Temperatures</t>
  </si>
  <si>
    <t>NETWORK SUPERDARN; VHF RADAR; PMSE; DYNAMICS; NORTHERN; WINDS; ABSORPTION; CLOUDS; MF</t>
  </si>
  <si>
    <t>We report on the polar mesosphere summer echoes (PMSE) occurrence probability over SANAE (South African National Antarctic Expedition) IV, for the first time. A matching coincidence method is described and implemented for PMSE extraction from SuperDARN (Super Dual Auroral Radar Network) HF radar. Several SuperDARN-PMSE characteristics are studied during the summer period from years 2005 - 2007. The seasonal and interannual SuperDARN-PMSE variations in relation to the mesospheric neutral winds are studied and presented in this paper. The occurrence probability of SuperDARN-PMSE on the day-to-day scale show, predominantly, diurnal variation, with a broader peak between 12 - 14 LT and distinct minimum of 22 LT. The SuperDARN-PMSE occurrence probability rate is high in the summer solstice. Seasonal variations show a connection between the SuperDARN-PMSE occurrence probability rate and mesospheric temperature from SABER (Sounding of the Atmosphere using Broadband Emission Radiometry). The seasonal trend for both meridional and zonal winds is very stable year-to-year. Analysis of the neutral wind variations indicates the importance of pole-to-pole circulations in SuperDARN-PMSE generation.</t>
  </si>
  <si>
    <t>[Ogunjobi, Olakunle; Sivakumar, Venkataraman; Stephenson, Judy Ann Elizabeth] Univ KwaZulu Natal, Sch Chem &amp; Phys, Durban, South Africa; [Sivla, William Tafon] Benue State Univ, Dept Phys, Makurdi, Nigeria</t>
  </si>
  <si>
    <t>University of Kwazulu Natal; Benue State University</t>
  </si>
  <si>
    <t>Ogunjobi, O (corresponding author), Univ KwaZulu Natal, Sch Chem &amp; Phys, Durban, South Africa.</t>
  </si>
  <si>
    <t>olakunle.ukzn@gmail.com</t>
  </si>
  <si>
    <t>Sivakumar, V/B-4570-2009; Stephenson, Judy A.E./G-6066-2017</t>
  </si>
  <si>
    <t>Sivakumar, V/0000-0003-2462-681X; Ogunjobi, Olakunle/0000-0002-0065-0594</t>
  </si>
  <si>
    <t>South African National Antarctic Program (SANAP); SANAE HF radar project through National Research Foundation (NRF) [93068]</t>
  </si>
  <si>
    <t>South African National Antarctic Program (SANAP); SANAE HF radar project through National Research Foundation (NRF)</t>
  </si>
  <si>
    <t>The authors express thanks for the support of South African National Antarctic Program (SANAP) and logistics of South African National Space Agency (SANSA) in providing SANAE IV riometer data. SANAP, SANSA, and HE radar group, University of KwaZulu-Natal support the SANAE IV HF radar. The SuperDARN radar wind data is provided by British Antarctic Survey, UK, at http://psddb.nerc-bas.ac.uk. And the authors also express thanks to the three TAOs Anonymous Reviewers for their valuable comments and suggestions. The SANAE HF radar project is supported through the National Research Foundation (NRF) project under the grand id: 93068.</t>
  </si>
  <si>
    <t>CHINESE GEOSCIENCE UNION</t>
  </si>
  <si>
    <t>TAIPEI</t>
  </si>
  <si>
    <t>PO BOX 23-59, TAIPEI 10764, TAIWAN</t>
  </si>
  <si>
    <t>1017-0839</t>
  </si>
  <si>
    <t>2311-7680</t>
  </si>
  <si>
    <t>TERR ATMOS OCEAN SCI</t>
  </si>
  <si>
    <t>Terr. Atmos. Ocean. Sci.</t>
  </si>
  <si>
    <t>10.3319/TAO.2015.03.06.01(AA)</t>
  </si>
  <si>
    <t>Geosciences, Multidisciplinary; Meteorology &amp; Atmospheric Sciences; Oceanography</t>
  </si>
  <si>
    <t>Geology; Meteorology &amp; Atmospheric Sciences; Oceanography</t>
  </si>
  <si>
    <t>CR1JP</t>
  </si>
  <si>
    <t>WOS:000361081300007</t>
  </si>
  <si>
    <t>Goto, SG; Lee, RE ; Denlinger, DL</t>
  </si>
  <si>
    <t>Goto, Shin G.; Lee, Richard E., Jr.; Denlinger, David L.</t>
  </si>
  <si>
    <t>Aquaporins in the Antarctic Midge, an Extremophile that Relies on Dehydration for Cold Survival</t>
  </si>
  <si>
    <t>BIOLOGICAL BULLETIN</t>
  </si>
  <si>
    <t>WATER CHANNEL; FUNCTIONAL-CHARACTERIZATION; FREEZE TOLERANCE; CRYOPROTECTIVE DEHYDRATION; OVERWINTERING STRATEGIES; GENE-EXPRESSION; DESICCATION; MOSQUITO; IDENTIFICATION; REHYDRATION</t>
  </si>
  <si>
    <t>The terrestrial midge Belgica antarctica relies extensively on dehydration to survive the low temperatures and desiccation stress that prevail in its Antarctic habitat. The loss of body water is thus a critical adaptive mechanism employed at the onset of winter to prevent injury from internal ice formation; a rapid mechanism for rehydration is equally essential when summer returns and the larva resumes the brief active phase of its life. This important role for water movement suggests a critical role for aquaporins (AQPs). Recent completion of the genome project on this species revealed the presence of AQPs in B. antarctica representing the DRIP, PRIP, BIB, RPIP, and LHIP families. Treatment with mercuric chloride to block AQPs also blocks water loss, thereby decreasing cell survival at low temperatures. Antibodies directed against mammalian or Drosophila AQPs suggest a wide tissue distribution of AQPs in the midge and changes in protein abundance in response to dehydration, rehydration, and freezing. Thus far, functional studies have been completed only for PRIP1. It appears to be a water-specific AQP, but expression levels are not altered by dehydration or rehydration. Functional assays remain to be completed for the additional AQPs.</t>
  </si>
  <si>
    <t>[Goto, Shin G.] Osaka City Univ, Grad Sch Sci, Osaka 558, Japan; [Lee, Richard E., Jr.] Miami Univ, Dept Biol, Oxford, OH 45056 USA; [Denlinger, David L.] Ohio State Univ, Dept Entomol &amp; Evolut, Columbus, OH 43210 USA; [Denlinger, David L.] Ohio State Univ, Dept Ecol, Columbus, OH 43210 USA; [Denlinger, David L.] Ohio State Univ, Dept Organismal Biol, Columbus, OH 43210 USA</t>
  </si>
  <si>
    <t>Osaka Metropolitan University; University System of Ohio; Miami University; University System of Ohio; Ohio State University; University System of Ohio; Ohio State University; University System of Ohio; Ohio State University</t>
  </si>
  <si>
    <t>Goto, SG (corresponding author), Osaka City Univ, Grad Sch Sci, Osaka 558, Japan.</t>
  </si>
  <si>
    <t>shingoto@sci.osaka-cu.ac.jp</t>
  </si>
  <si>
    <t>Goto, Shin G/K-2614-2015</t>
  </si>
  <si>
    <t>NSF [NSF PLR 1341385, NSF PLR 1341393]; Directorate For Geosciences; Office of Polar Programs (OPP) [1341385, 1341393] Funding Source: National Science Foundation</t>
  </si>
  <si>
    <t>This work was funded by NSF grants (NSF PLR 1341385 to REL, and NSF PLR 1341393 to DLD).</t>
  </si>
  <si>
    <t>UNIV CHICAGO PRESS</t>
  </si>
  <si>
    <t>CHICAGO</t>
  </si>
  <si>
    <t>1427 E 60TH ST, CHICAGO, IL 60637-2954 USA</t>
  </si>
  <si>
    <t>0006-3185</t>
  </si>
  <si>
    <t>1939-8697</t>
  </si>
  <si>
    <t>BIOL BULL-US</t>
  </si>
  <si>
    <t>Biol. Bull.</t>
  </si>
  <si>
    <t>10.1086/BBLv229n1p47</t>
  </si>
  <si>
    <t>Biology; Marine &amp; Freshwater Biology</t>
  </si>
  <si>
    <t>Life Sciences &amp; Biomedicine - Other Topics; Marine &amp; Freshwater Biology</t>
  </si>
  <si>
    <t>CQ4HA</t>
  </si>
  <si>
    <t>WOS:000360564100005</t>
  </si>
  <si>
    <t>Van De Vijver, B; Cox, EJ</t>
  </si>
  <si>
    <t>Van De Vijver, Bart; Cox, Eileen J.</t>
  </si>
  <si>
    <t>Fallacia emmae sp nov., (Bacillariophyta) a new soil-inhabiting diatom species from the sub-Antarctic Region</t>
  </si>
  <si>
    <t>CRYPTOGAMIE ALGOLOGIE</t>
  </si>
  <si>
    <t>sub-Antarctica; Fallacia; Germainiella; taxonomy; new species</t>
  </si>
  <si>
    <t>LA-POSSESSION CROZET; FRESH-WATER; GENUS; REVISION; ECOLOGY; ILE</t>
  </si>
  <si>
    <t>During a survey of the diatom flora of some caves on Ile de la Possession, the main island of the Crozet archipelago, a small, unusual naviculoid taxon was observed, initially identified as Fallacia lenzii. The new taxon is described as Fallacia emmae but it shows features of two related genera: Fallacia and Germainiella. Thorough morphological research revealed details that, on the one hand, contradicted its placement in Fallacia, such as the relatively low number of poroids on the conopeum, the absence of external canal apertures beside the raphe slit (Fallacia-feature), and striae that are composed of one slit-like areola (Germainiella-feature). The morphology and taxonomy of the new taxon are discussed and questions are raised about the validity of genera recently split off from the genus Navicula on the basis of one, or occasionally two, morphological features.</t>
  </si>
  <si>
    <t>[Van De Vijver, Bart] Bot Garden Meise, Dept Bryophyta &amp; Thallophyta, B-1860 Meise, Belgium; [Van De Vijver, Bart] Univ Antwerp, Dept Biol, ECOBE, B-2610 Antwerp, Belgium; [Cox, Eileen J.] Nat Hist Museum, London SW7 5BD, England</t>
  </si>
  <si>
    <t>University of Antwerp; Natural History Museum London</t>
  </si>
  <si>
    <t>Van De Vijver, B (corresponding author), Bot Garden Meise, Dept Bryophyta &amp; Thallophyta, Nieuwelaan 38, B-1860 Meise, Belgium.</t>
  </si>
  <si>
    <t>vandevijver@br.fgov.be</t>
  </si>
  <si>
    <t>French Polar Institute [136]; FWO project [G.0533.07]; BELSPO project CCAMBIO; EU Synthesys grant</t>
  </si>
  <si>
    <t>French Polar Institute; FWO project(FWO); BELSPO project CCAMBIO; EU Synthesys grant</t>
  </si>
  <si>
    <t>The authors wish to thank Drs. Pieter Ledeganck and Prof. Dr. E. Vidal for their help during the sampling campaign. Sampling on Crozet has been made possible thanks to the logistic and financial support of the French Polar Institute-Paul-Emile Victor in the framework of the terrestrial program 136 (Ir. Marc Lebouvier &amp; Dr. Yves Frenot). Part of this research was funded within the FWO project G.0533.07. Dr. Alex Ball and the staff of the EMMA laboratory at the Natural History Museum are thanked for their help with the scanning electron microscopy. This study was supported by the BELSPO project CCAMBIO and an EU Synthesys grant to BVDV to visit the National History Museum in London, UK. Mrs. Amelie Barthes is thanked for the sample of Germainiella and Mrs. A. Jarlman is thanked for the sample of Fallacia subhamulata.</t>
  </si>
  <si>
    <t>ADAC-CRYPTOGAMIE</t>
  </si>
  <si>
    <t>12 RUE DE BUFFON, 75005 PARIS, FRANCE</t>
  </si>
  <si>
    <t>0181-1568</t>
  </si>
  <si>
    <t>1776-0984</t>
  </si>
  <si>
    <t>CRYPTOGAMIE ALGOL</t>
  </si>
  <si>
    <t>Cryptogam. Algol.</t>
  </si>
  <si>
    <t>10.7872/crya/v36.iss3.2015.245</t>
  </si>
  <si>
    <t>CQ4LX</t>
  </si>
  <si>
    <t>WOS:000360577500002</t>
  </si>
  <si>
    <t>Lozhkin, AV; Anderson, PM; Minyuk, PS; Nedorubova, EY; Goryachev, NA</t>
  </si>
  <si>
    <t>Lozhkin, A. V.; Anderson, P. M.; Minyuk, P. S.; Nedorubova, E. Yu.; Goryachev, N. A.</t>
  </si>
  <si>
    <t>The Late Pleistocene climatic optimum in the eastern Arctic region: Evidence from El'gygytgyn Lake</t>
  </si>
  <si>
    <t>MIDDLE PLEISTOCENE; VEGETATION</t>
  </si>
  <si>
    <t>The palynological investigations of sediments of the crater of El'gygytgyn Lake (67A degrees 30' N, 172A degrees 05' E), which provided a continuous record of interglacial and glacial events in Polar Chukotka, revealed significant climate warming corresponding to Marine Isotope Stage 31 (MIS 31) lasting from 1.062 to 1.081Ma ago. Its upper limit is placed within the Jaramillo paleomagnetic episode (0.99-1.07 Ma) registered in the sedimentary section of the lake. During MIS 31, the vegetation community was dominated by Betula-Alnus forests with subordinate Larix trees. These forests included also coniferous (Picea, Pinus) and broad-leaved trees and shrubs (Quercus, Carpinus, Corylus). The interglacial of MIS 31 was characterized by the warmest climate for the entire Quaternary Period. The warming episode established in the continuous record of the section of El'gygytgyn Lake implies relations between climatic events in the Arctic and Antarctic regions.</t>
  </si>
  <si>
    <t>[Lozhkin, A. V.; Minyuk, P. S.; Nedorubova, E. Yu.; Goryachev, N. A.] Russian Acad Sci, Northeast Interdisciplinary Sci Res Inst, Far East Branch, Magadan, Russia; [Anderson, P. M.] Univ Washington, Quaternary Res Ctr, Seattle, WA 98195 USA</t>
  </si>
  <si>
    <t>Russian Academy of Sciences; University of Washington; University of Washington Seattle</t>
  </si>
  <si>
    <t>Lozhkin, AV (corresponding author), Russian Acad Sci, Northeast Interdisciplinary Sci Res Inst, Far East Branch, Magadan, Russia.</t>
  </si>
  <si>
    <t>lozhkin@neisri.ru</t>
  </si>
  <si>
    <t>Goryachev, Nikolay A/V-8431-2017; Nedorubova, Ekaterina/S-8102-2017</t>
  </si>
  <si>
    <t>Nedorubova, Ekaterina/0000-0003-3245-7809</t>
  </si>
  <si>
    <t>Far East Branch of the Russian Academy of Sciences [15-I-2-067]; Russian Foundation for Basic Research [15-05-06420, 14-05-00573]; National Science Foundation of the United States</t>
  </si>
  <si>
    <t>Far East Branch of the Russian Academy of Sciences(Russian Academy of Sciences); Russian Foundation for Basic Research(Russian Foundation for Basic Research (RFBR)Spanish Government); National Science Foundation of the United States(National Science Foundation (NSF))</t>
  </si>
  <si>
    <t>This work was supported by the Far East Branch of the Russian Academy of Sciences (project no. 15-I-2-067), the Russian Foundation for Basic Research (project nos. 15-05-06420, 14-05-00573), and the National Science Foundation of the United States.</t>
  </si>
  <si>
    <t>10.1134/S1028334X15080048</t>
  </si>
  <si>
    <t>CQ4DJ</t>
  </si>
  <si>
    <t>WOS:000360554200011</t>
  </si>
  <si>
    <t>Royer, JY; Chateau, R; Dziak, RP; Bohnenstiehl, DR</t>
  </si>
  <si>
    <t>Royer, J. -Y.; Chateau, R.; Dziak, R. P.; Bohnenstiehl, D. R.</t>
  </si>
  <si>
    <t>Seafloor seismicity, Antarctic ice-sounds, cetacean vocalizations and long-term ambient sound in the Indian Ocean basin</t>
  </si>
  <si>
    <t>Hydrogeophysics; Acoustic properties; Mid-ocean ridge processes; Indian Ocean</t>
  </si>
  <si>
    <t>MID-ATLANTIC RIDGE; ST PAUL HOTSPOT; HYDROACOUSTIC SIGNALS; HISTORICAL SEISMICITY; SPREADING-CENTER; AMSTERDAM; TIME; EARTHQUAKE; ICEBERGS; SLOW</t>
  </si>
  <si>
    <t>This paper presents the results from the Deflo-hydroacoustic experiment in the Southern Indian Ocean using three autonomous underwater hydrophones, complemented by two permanent hydroacoustic stations. The array monitored for 14 months, from November 2006 to December 2007, a 3000 x 3000 km wide area, encompassing large segments of the three Indian spreading ridges that meet at the Indian Triple Junction. A catalogue of 11 105 acoustic events is derived from the recorded data, of which 55 per cent are located from three hydrophones, 38 per cent from 4, 6 per cent from five and less than 1 per cent by six hydrophones. From a comparison with land-based seismic catalogues, the smallest detected earthquakes are m(b) 2.6 in size, the range of recorded magnitudes is about twice that of land-based networks and the number of detected events is 5-16 times larger. Seismicity patterns vary between the three spreading ridges, with activity mainly focused on transform faults along the fast spreading Southeast Indian Ridge and more evenly distributed along spreading segments and transforms on the slow spreading Central and ultra-slow spreading Southwest Indian ridges; the Central Indian Ridge is the most active of the three with an average of 1.9 events/100 km/month. Along the Sunda Trench, acoustic events mostly radiate from the inner wall of the trench and show a 200-km-long seismic gap between 2 degrees S and the Equator. The array also detected more than 3600 cryogenic events, with different seasonal trends observed for events from the Antarctic margin, compared to those from drifting icebergs at lower (up to 50 degrees S) latitudes. Vocalizations of five species and subspecies of large baleen whales were also observed and exhibit clear seasonal variability. On the three autonomous hydrophones, whale vocalizations dominate sound levels in the 20-30 and 100 Hz frequency bands, whereas earthquakes and ice tremor are a dominant source of ambient sound at frequencies &lt; 20 Hz.</t>
  </si>
  <si>
    <t>[Royer, J. -Y.; Chateau, R.] CNRS, Brest, France; [Royer, J. -Y.; Chateau, R.] Univ Brest, Lab Domaines Ocean, Brest, France; [Dziak, R. P.] Oregon State Univ, CIMRS, Pacific Marine Environm Lab, NOAA, Newport, OR USA; [Bohnenstiehl, D. R.] N Carolina State Univ, Dept Marine Earth &amp; Atmospher Sci, Raleigh, NC 27695 USA</t>
  </si>
  <si>
    <t>Centre National de la Recherche Scientifique (CNRS); Universite de Bretagne Occidentale; Universite de Bretagne Occidentale; Oregon State University; National Oceanic Atmospheric Admin (NOAA) - USA; North Carolina State University</t>
  </si>
  <si>
    <t>Royer, JY (corresponding author), CNRS, Brest, France.</t>
  </si>
  <si>
    <t>jean-yves.royer@univ-brest.fr</t>
  </si>
  <si>
    <t>Royer, Jean-Yves/B-4312-2010; Dziak, Robert/AAC-6107-2020</t>
  </si>
  <si>
    <t>Royer, Jean-Yves/0000-0002-7653-7715;</t>
  </si>
  <si>
    <t>French Polar Institute (IPEV) [VT94-MD157, VT95A-MD165]; INSU-CNRS; CEA; NOAA Ocean Exploration and Research Program [VT95B-OP2008/1]; French Government; NOAA OER; Region Bretagne; French Government.; Dziak</t>
  </si>
  <si>
    <t>French Polar Institute (IPEV); INSU-CNRS(Centre National de la Recherche Scientifique (CNRS)); CEA(French Atomic Energy Commission); NOAA Ocean Exploration and Research Program(National Oceanic Atmospheric Admin (NOAA) - USA); French Government; NOAA OER(National Oceanic Atmospheric Admin (NOAA) - USA); Region Bretagne(Region Bretagne); French Government.; Dziak</t>
  </si>
  <si>
    <t>We thank the captains and crew of the R/V Marion Dufresne for the successful deployments and recoveries of the hydrophones of the DEFLO-Hydro project. The French Polar Institute (IPEV) funded the ship-time for the deployment and recovery cruises (cruises VT94-MD157 and VT95A-MD165, resp.); INSU-CNRS, CEA and NOAA Ocean Exploration and Research Program contributed to the funding of extra days of ship-time for the recovery of the last instrument (cruise VT95B-OP2008/1). The mooring lines were acquired with grants from Region Bretagne and INSU-CNRS. NOAA/PMEL Acoustics Program provided the hydrophone instruments. We thank Haru Matsumoto and Andy Lau at PMEL for preparing and shipping the instruments and for providing the Seas software. The French participation on the project was supported by INSU-CNRS. RC was supported by a PhD fellowship from the French Government. NOAA OER also provided research support for Dziak and Bohnenstiehl. We thank the Preparatory Commission for the Comprehensive Nuclear-Test Ban Treaty Organization for providing access to the IMS data; the Commission is not responsible for the views expressed by the authors. Figures were made with the Generic Mapping Tool (GMT; Wessel &amp; Smith 1998). This paper is PMEL contribution number 4217.</t>
  </si>
  <si>
    <t>10.1093/gji/ggv178</t>
  </si>
  <si>
    <t>CQ5DX</t>
  </si>
  <si>
    <t>WOS:000360624600005</t>
  </si>
  <si>
    <t>Nakada, M; Okuno, J; Lambeck, K; Purcell, A</t>
  </si>
  <si>
    <t>Nakada, Masao; Okuno, Jun'ichi; Lambeck, Kurt; Purcell, Anthony</t>
  </si>
  <si>
    <t>Viscosity structure of Earth's mantle inferred from rotational variations due to GIA process and recent melting events</t>
  </si>
  <si>
    <t>Earth rotation variations; Dynamics of lithosphere and mantle; Rheology: mantle</t>
  </si>
  <si>
    <t>TRUE POLAR WANDER; SEA-LEVEL CHANGE; GLACIAL-ISOSTATIC-ADJUSTMENT; LATE PLEISTOCENE; MASS-BALANCE; ICE; DEGLACIATION; STABILITY; PERTURBATIONS; CONVECTION</t>
  </si>
  <si>
    <t>We examine the geodetically derived rotational variations for the rate of change of degree-two harmonics of Earth's geopotential, (J) over dot(2), and true polar wander, combining a recent melting model of glaciers and the Greenland and Antarctic ice sheets taken from the IPCC 2013 Report (AR5) with two representative GIA ice models describing the last deglaciation, ICE5G and the ANU model developed at the Australian National University. Geodetically derived observations of (J) over dot(2) are characterized by temporal changes of -(3.7 +/- 0.1) x 10(-11) yr(-1) for the period 1976-1990 and -(0.3 +/- 0.1) x 10(-11) yr(-1) after similar to 2000. The AR5 results make it possible to evaluate the recent melting of the major ice sheets and glaciers for three periods, 1900-1990, 1991-2001 and after 2002. The observed (J) over dot(2) and the component of (J) over dot(2) due to recent melting for different periods indicate a long-term change in (J) over dot(2)-attributed to the Earth's response to the last glacial cycle-of -(6.0-6.5) x 10(-11) yr(-1), significantly different from the values adopted to infer the viscosity structure of the mantle in most previous studies. This is a main conclusion of this study. We next compare this estimate with the values of (J) over dot(2) predicted by GIA ice models to infer the viscosity structure of the mantle, and consequently obtain two permissible solutions for the lower mantle viscosity (eta(lm)), similar to 10(22) and (5-10) x 10(22) Pa s, for both adopted ice models. These two solutions are largely insensitive to the lithospheric thickness and upper mantle viscosity as indicated by previous studies and relatively insensitive to the viscosity structure of the D '' layer. The ESL contributions from the Antarctic ice sheet since the last glacial maximum (LGM) for ICE5G and ANU are about 20 and 30 m, respectively, but glaciological reconstructions of the Antarctic LGM ice sheet have suggested that its ESL contribution may have been less than similar to 10 m. The GIA-induced (J) over dot(2) for GIA ice models with an Antarctic ESL component of similar to 10 m suggests two permissible lower mantle viscosity solutions of eta(lm) similar to 2 x 10(22) and similar to 5 x 10(22) Pa s or one solution with (2-5) x 10(22) Pa s. These results suggest that the effective lower mantle viscosity is larger than similar to 10(22) Pa s regardless of the uncertainties for an Antarctic ESL component. We also examine the polar wander due to recent melting and GIA processes, suggesting that the observed polar wander may be significantly attributed to convection motions in the mantle and/or another cause, particularly for permissible lower mantle viscosity solution of (5-10) x 10(22) Pa s.</t>
  </si>
  <si>
    <t>[Nakada, Masao] Kyushu Univ, Dept Earth &amp; Planetary Sci, Fac Sci, Fukuoka 8128581, Japan; [Okuno, Jun'ichi] Natl Inst Polar Res, Tachikawa, Tokyo 1908518, Japan; [Lambeck, Kurt; Purcell, Anthony] Australian Natl Univ, Res Sch Earth Sci, Canberra, ACT 0200, Australia</t>
  </si>
  <si>
    <t>Kyushu University; Research Organization of Information &amp; Systems (ROIS); National Institute of Polar Research (NIPR) - Japan; Australian National University</t>
  </si>
  <si>
    <t>Nakada, M (corresponding author), Kyushu Univ, Dept Earth &amp; Planetary Sci, Fac Sci, Fukuoka 8128581, Japan.</t>
  </si>
  <si>
    <t>mnakada@geo.kyushu-u.ac.jp</t>
  </si>
  <si>
    <t>Purcell, Anthony/0000-0001-5289-3902</t>
  </si>
  <si>
    <t>Japanese Ministry of Education, Science and Culture [25400455]; International Balzan Foundation; Australian Research Council's DP grant; Grants-in-Aid for Scientific Research [25400455] Funding Source: KAKEN</t>
  </si>
  <si>
    <t>Japanese Ministry of Education, Science and Culture(Ministry of Education, Culture, Sports, Science and Technology, Japan (MEXT)); International Balzan Foundation; Australian Research Council's DP grant(Australian Research Council); Grants-in-Aid for Scientific Research(Ministry of Education, Culture, Sports, Science and Technology, Japan (MEXT)Japan Society for the Promotion of ScienceGrants-in-Aid for Scientific Research (KAKENHI))</t>
  </si>
  <si>
    <t>We thank D.A. Yuen, J.X. Mitrovica and the editor (K. Heki) for their constructive comments. These comments were useful in improving the manuscript. This work was partly supported by the Japanese Ministry of Education, Science and Culture (Grand-in-Aid for Scientific Research No. 25400455). KL and AP acknowledge financial support from both the International Balzan Foundation and an Australian Research Council's DP grant.</t>
  </si>
  <si>
    <t>10.1093/gji/ggv198</t>
  </si>
  <si>
    <t>WOS:000360624600021</t>
  </si>
  <si>
    <t>Brummelhaus, J; Valiati, VH; Petry, MV</t>
  </si>
  <si>
    <t>Brummelhaus, Jaqueline; Valiati, Victor Hugo; Petry, Maria Virginia</t>
  </si>
  <si>
    <t>Morphometric variation in chinstrap penguins: molecular sexing and discriminant functions in the South Shetland Islands, Antarctica</t>
  </si>
  <si>
    <t>CHD gene; genetic sexing; morphological sexing; Pygoscelis antarcticus; sexual dimorphism</t>
  </si>
  <si>
    <t>SEXUAL SIZE DIMORPHISM; PYGOSCELIS-ANTARCTICA; MORPHOLOGICAL MEASUREMENTS; BIRDS; IDENTIFICATION</t>
  </si>
  <si>
    <t>Chinstrap penguins (Pygoscelis antarcticus) show little sexual dimorphism and sexing by direct observation can be difficult. Through molecular techniques, male and female adults were identified at Stinker Point, Elephant Island, South Shetland Islands, in the 2011-12 and 2012-13 breeding seasons. In the assessment of sexual dimorphism using morphological characteristics, males were 6.0-9.4% larger than females. From the most significant morphological measurements, a discriminant function was formulated that classified 80.6% of the birds correctly. In addition, our data on bill length and depth were compared with those in the literature to evaluate sexual dimorphism between different breeding locations and to test the performance of the discriminant function. There were no differences in sexual dimorphism between breeding locations. However, the discriminant function should be used with caution because some penguins may be misclassified. Therefore, when there is doubt about the accuracy of morphometric approaches, application of molecular sexing techniques is recommended.</t>
  </si>
  <si>
    <t>[Brummelhaus, Jaqueline; Petry, Maria Virginia] Univ Vale Rio dos Sinos, Grad Program Biol, Lab Ornithol &amp; Marine Anim, Ctr Hlth Sci, BR-93022000 Sao Leopoldo, RS, Brazil; [Brummelhaus, Jaqueline; Valiati, Victor Hugo] Univ Vale Rio dos Sinos, Grad Program Biol, Mol Biol Lab, Ctr Hlth Sci, BR-93022000 Sao Leopoldo, RS, Brazil</t>
  </si>
  <si>
    <t>Universidade do Vale do Rio dos Sinos (Unisinos); Universidade do Vale do Rio dos Sinos (Unisinos)</t>
  </si>
  <si>
    <t>Brummelhaus, J (corresponding author), Univ Vale Rio dos Sinos, Grad Program Biol, Lab Ornithol &amp; Marine Anim, Ctr Hlth Sci, Av Unisinos 950,POB 275, BR-93022000 Sao Leopoldo, RS, Brazil.</t>
  </si>
  <si>
    <t>jaquebrummelhaus@gmail.com</t>
  </si>
  <si>
    <t>Valiati, Victor Hugo/I-4785-2012; Petry, Maria Virginia/AAG-5333-2021; Valiati, Victor Hugo/AAE-1878-2019; petry, maria/K-8410-2013</t>
  </si>
  <si>
    <t>petry, maria/0000-0002-7870-7394; Valiati, Victor Hugo/0000-0002-4467-4547</t>
  </si>
  <si>
    <t>INCT-APA (Instituto Nacional de Ciencia e Tecnologia Antartico de Pesquisas Ambientais), (CNPq) [574018/2008-5, FAPERJ E-26/170.023/2008]; Ministerio do Meio Ambiente, Ministerio da Ciencia, Tecnologia e Inovacao; Secretaria da Comissao Interministerial para os Recursos do Mar (SeCIRM); Coordenacao de Aperfeicoamento de Pessoal de Nivel Superior (CAPES)</t>
  </si>
  <si>
    <t>INCT-APA (Instituto Nacional de Ciencia e Tecnologia Antartico de Pesquisas Ambientais), (CNPq)(Conselho Nacional de Desenvolvimento Cientifico e Tecnologico (CNPQ)); Ministerio do Meio Ambiente, Ministerio da Ciencia, Tecnologia e Inovacao; Secretaria da Comissao Interministerial para os Recursos do Mar (SeCIRM); Coordenacao de Aperfeicoamento de Pessoal de Nivel Superior (CAPES)(Coordenacao de Aperfeicoamento de Pessoal de Nivel Superior (CAPES))</t>
  </si>
  <si>
    <t>The Brazilian data were made possible through financial projects like INCT-APA (Instituto Nacional de Ciencia e Tecnologia Antartico de Pesquisas Ambientais), (CNPq Process No. 574018/2008-5, FAPERJ E-26/170.023/2008) and were supported by Ministerio do Meio Ambiente, Ministerio da Ciencia, Tecnologia e Inovacao and Secretaria da Comissao Interministerial para os Recursos do Mar (SeCIRM) and Coordenacao de Aperfeicoamento de Pessoal de Nivel Superior (CAPES). The authors are grateful to Roberta da Cruz Piuco (UNISINOS) who conducted all morphological measures in the field activities, and laboratory operators Igor Radames de Oliveira and Guilherme Pinto Cauduro (UNISINOS) for the technical support provided. The authors are also grateful to Dr Juliano Morales de Oliveira (UNISINOS) for his helpful suggestions and discussions. The authors also extend thanks to the reviewers for their valuable comments.</t>
  </si>
  <si>
    <t>10.1017/S0954102014000820</t>
  </si>
  <si>
    <t>CP9GG</t>
  </si>
  <si>
    <t>WOS:000360201200002</t>
  </si>
  <si>
    <t>Hanchet, S; Sainsbury, K; Butterworth, D; Darby, C; Bizikov, V; Godo, OR; Ichii, T; Kock, KH; Abellán, LL; Vacchi, M</t>
  </si>
  <si>
    <t>Hanchet, Stuart; Sainsbury, Keith; Butterworth, Doug; Darby, Chris; Bizikov, Viacheslav; Godo, Olav Rune; Ichii, Taro; Kock, Karl-Hermann; Lopez Abellan, Luis; Vacchi, Marino</t>
  </si>
  <si>
    <t>CCAMLR's precautionary approach to management focusing on Ross Sea toothfish fishery</t>
  </si>
  <si>
    <t>Antarctic toothfish; CCAMLR; ecosystem; managing uncertainty; reference points; stock assessment</t>
  </si>
  <si>
    <t>ANTARCTIC TOOTHFISH; DISSOSTICHUS-MAWSONI; IMPLEMENTATION; MODEL</t>
  </si>
  <si>
    <t>Several recent papers have criticized the scientific robustness of the fisheries management system used by the Commission for the Conservation of Antarctic Marine Living Resources (CCAMLR), including that for Ross Sea toothfish. Here we present a response from the wider CCAMLR community to address concerns and to correct some apparent misconceptions about how CCAMLR acts to promote conservation whilst allowing safe exploitation in all of its fisheries. A key aspect of CCAMLR's approach is its adaptive feedback nature; regular monitoring and analysis allows for adjustments to be made, as necessary, to provide a robust management system despite the statistical uncertainties inherent in any single assessment. Within the Ross Sea, application of CCAMLR's precautionary approach has allowed the toothfish fishery to develop in a steady fashion with an associated accumulation of data and greater scientific understanding. Regular stock assessments of the fishery have been carried out since 2005, and the 2013 stock assessment estimated current spawning stock biomass to be at 75% of the pre-exploitation level. There will always be additional uncertainties which need to be addressed, but where information is lacking the CCAMLR approach to management ensures exploitation rates are at a level commensurate with a precautionary approach.</t>
  </si>
  <si>
    <t>[Hanchet, Stuart] Natl Inst Water &amp; Atmospher Res NIWA, Nelson, New Zealand; [Sainsbury, Keith] Univ Tasmania, Inst Marine &amp; Antarctic Studies, Hobart, Tas 7004, Australia; [Butterworth, Doug] Univ Cape Town, Dept Math &amp; Appl Math, ZA-7701 Rondebosch, South Africa; [Darby, Chris] Cefas, Fisheries Lab, Lowestoft NR33 7SS, Suffolk, England; [Bizikov, Viacheslav] Russian Fed Res Inst Fisheries &amp; Oceanog VNIRO, Moscow 107140, Russia; [Godo, Olav Rune] IMR, N-5817 Bergen, Norway; [Ichii, Taro] Natl Res Inst Far Seas Fisheries, Kanazawa Ku, Yokohama, Kanagawa 2368648, Japan; [Kock, Karl-Hermann] Sea Fisheries Res Inst, Fed Res Inst Rural Areas Forestry &amp; Fisheries, D-22767 Hamburg, Germany; [Lopez Abellan, Luis] Spanish Inst Oceanog, Santa Cruz De Tenerife 38180, Canary Islands, Spain; [Vacchi, Marino] Inst Marine Sci ISMAR CNR, I-16149 Genoa, Italy</t>
  </si>
  <si>
    <t>University of Tasmania; University of Cape Town; Centre for Environment Fisheries &amp; Aquaculture Science; Research lnstitute of Fisheries &amp; Oceanography; Institute of Marine Research - Norway; Japan Fisheries Research &amp; Education Agency (FRA); Spanish Institute of Oceanography; Consiglio Nazionale delle Ricerche (CNR); Istituto di Scienze Marine (ISMAR-CNR)</t>
  </si>
  <si>
    <t>Hanchet, S (corresponding author), Natl Inst Water &amp; Atmospher Res NIWA, POB 893, Nelson, New Zealand.</t>
  </si>
  <si>
    <t>Godo, Olav Rune/0000-0001-8826-8068</t>
  </si>
  <si>
    <t>10.1017/S095410201400087X</t>
  </si>
  <si>
    <t>WOS:000360201200003</t>
  </si>
  <si>
    <t>Kohler, TJ; Chatfield, E; Gooseff, MN; Barrett, JE; Mcknight, DM</t>
  </si>
  <si>
    <t>Kohler, Tyler J.; Chatfield, Ethan; Gooseff, Michael N.; Barrett, John E.; Mcknight, Diane M.</t>
  </si>
  <si>
    <t>Recovery of Antarctic stream epilithon from simulated scouring events</t>
  </si>
  <si>
    <t>algae; climate change; cyanobacteria; ecology; flow; McMurdo Dry Valleys; polar desert</t>
  </si>
  <si>
    <t>MCMURDO DRY VALLEYS; JAMES-ROSS-ISLAND; MELTWATER STREAMS; TAYLOR VALLEY; ECOSYSTEMS; SUCCESSION; DIATOMS; CARBON</t>
  </si>
  <si>
    <t>Microbial mats are common in polar streams and often dominate benthic biomass. Climate change may be enhancing the variability of stream flows in the Antarctic, but so far studies investigating mat responses to disturbance have been limited in this region. Mat regrowth was evaluated following disturbance by experimentally scouring rocks from an ephemeral McMurdo Dry Valley stream over two summers (2001-02 and 2012-13). Mats were sampled at the beginning and resampled at the end of the flow season. In 2012-13, mats were additionally resampled mid-season along with previously undisturbed controls. In 2001-02 rocks regained 47% of chlorophyll a and 40% of ash-free dry mass by the end of the summer, while in 2012-13 rocks regrew 18% and 27%, respectively. Mat stoichiometry differed between summers, and reflected differences in biomass and discharge. Oscillatoria spp. were greatest on scoured rocks and Phormidium spp. on undisturbed rocks. Small diatoms Humidophila and Fistulifera spp. increased throughout the summer in all mats, with the latter more abundant in scoured communities. Collectively, these data suggest that mats are variable intra-annually, responsive to hydrology and require multiple summers to regrow initial biomass once lost. These results will aid the interpretation of long-term data, as well as inform Antarctic Specially Managed Area protocols.</t>
  </si>
  <si>
    <t>[Kohler, Tyler J.; Chatfield, Ethan; Mcknight, Diane M.] Univ Colorado, Inst Arctic &amp; Alpine Res, Boulder, CO 80303 USA; [Gooseff, Michael N.] Colorado State Univ, Dept Civil &amp; Environm Engn, Ft Collins, CO 80523 USA; [Barrett, John E.] Virginia Polytech Inst &amp; State Univ, Dept Biol Sci, Blacksburg, VA 24061 USA</t>
  </si>
  <si>
    <t>University of Colorado System; University of Colorado Boulder; Colorado State University; Virginia Polytechnic Institute &amp; State University</t>
  </si>
  <si>
    <t>Kohler, TJ (corresponding author), Univ Colorado, Inst Arctic &amp; Alpine Res, 1560 30th St, Boulder, CO 80303 USA.</t>
  </si>
  <si>
    <t>tyler.j.kohler@gmail.com</t>
  </si>
  <si>
    <t>Gooseff, Michael N/N-6087-2015; Kohler, Tyler J/I-5472-2016; Kohler, Tyler Joe/IUO-5352-2023; Barrett, John E/D-5851-2016</t>
  </si>
  <si>
    <t>Gooseff, Michael N/0000-0003-4322-8315; Kohler, Tyler Joe/0000-0001-5137-4844;</t>
  </si>
  <si>
    <t>MCM LTER [OPP-9813061, OPP-1115245]; National Science Foundation Antarctic Organisms and Ecosystems Program Award [0839020]; Directorate For Geosciences; Division Of Ocean Sciences [0839020] Funding Source: National Science Foundation; Directorate For Geosciences; Office of Polar Programs (OPP) [1115245] Funding Source: National Science Foundation</t>
  </si>
  <si>
    <t>MCM LTER; National Science Foundation Antarctic Organisms and Ecosystems Program Award(National Science Foundation (NSF)NSF - Directorate for Geosciences (GEO)); Directorate For Geosciences; Division Of Ocean Sciences(National Science Foundation (NSF)NSF - Directorate for Geosciences (GEO)); Directorate For Geosciences; Office of Polar Programs (OPP)(National Science Foundation (NSF)NSF - Directorate for Geosciences (GEO))</t>
  </si>
  <si>
    <t>We thank Chris Jaros, Lee Turner, Justin Joslin, Kathy Welch, Kalina Manoylov, Sara Post, Jack Sheets, Ken Doggett, Jenny Erwin, Holly Shuss, Holly Hughes, Hanna Ding, Steve Juggins, Lee Stanish, Steven Crisp and Katerina Kopalova for field and laboratory assistance. This manuscript was substantially improved from comments made by the editor and two anonymous reviewers. Funding was provided by the MCM LTER (OPP-9813061, OPP-1115245) and National Science Foundation Antarctic Organisms and Ecosystems Program Award #0839020.</t>
  </si>
  <si>
    <t>10.1017/S0954102015000024</t>
  </si>
  <si>
    <t>WOS:000360201200004</t>
  </si>
  <si>
    <t>Colabuono, FI; Taniguchi, S; Petry, MV; Montone, RC</t>
  </si>
  <si>
    <t>Colabuono, Fernanda I.; Taniguchi, Satie; Petry, Maria V.; Montone, Rosalinda C.</t>
  </si>
  <si>
    <t>Organochlorine contaminants and polybrominated diphenyl ethers in eggs and embryos of Antarctic birds</t>
  </si>
  <si>
    <t>Antarctica; organic pollutants; seabirds; South Shetland Islands</t>
  </si>
  <si>
    <t>SOUTH SHETLAND ISLANDS; KING GEORGE ISLAND; MACRONECTES-GIGANTEUS; TISSUE DISTRIBUTION; MATERNAL TRANSFER; FLAME RETARDANTS; BROWN SKUAS; FOOD; INCUBATION; PESTICIDES</t>
  </si>
  <si>
    <t>Organochlorine contaminants (OCs) and polybrominated diphenyl ethers (PBDEs) were investigated in the eggs of five bird species from the South Shetland Islands. Additionally, OCs and PBDEs were also analysed in embryos of two species. The concentration ranges in eggs were (ng g(-1) wet weight) 2.11 to 541 for polychlorinated biphenyls (PCBs), &lt; 0.25 to 0.88 for PBDEs, 2.45 to 405 for p, p'-DDE and 1.50 to 603 for mirex. The PCBs were predominant in the eggs of Macronectes giganteus, Catharacta antarctica and Larus dominicanus, whereas hexachlorobenzene (HCB) was the major compound found in the eggs of Pygoscelis antarcticus and Sterna vittata. The PBDE congeners were detected only in the eggs of C. antarctica (PBDE 47 and 153) and S. vittata (PBDE 47). There were differences in OC concentrations of up to two orders of magnitude between M. giganteus embryos which were related to the development stage and OC concentrations in the respective eggs. Trophic ecology and post-breeding dispersal exerted an influence on contaminant patterns. Comparisons with data from the literature indicate an increase in the concentrations of some OCs over recent years.</t>
  </si>
  <si>
    <t>[Colabuono, Fernanda I.; Taniguchi, Satie; Montone, Rosalinda C.] Univ Sao Paulo, Inst Oceanog, Lab Quim Organ Marinha, BR-05508120 Sao Paulo, Brazil; [Petry, Maria V.] Univ Vale Rio dos Sinos, Lab Ornitol &amp; Anim Marinhos, BR-93022000 Sao Leopoldo, RS, Brazil</t>
  </si>
  <si>
    <t>Universidade de Sao Paulo; Universidade do Vale do Rio dos Sinos (Unisinos)</t>
  </si>
  <si>
    <t>Colabuono, FI (corresponding author), Univ Sao Paulo, Inst Oceanog, Lab Quim Organ Marinha, Pca Oceanog 191, BR-05508120 Sao Paulo, Brazil.</t>
  </si>
  <si>
    <t>ficolabuono@gmail.com</t>
  </si>
  <si>
    <t>Petry, Maria Virginia/AAG-5333-2021; Taniguchi, Satie/D-2552-2013; Colabuono, Fernanda Imperatrice/B-7197-2012; petry, maria/K-8410-2013; Montone, Rosalinda/J-9110-2012</t>
  </si>
  <si>
    <t>petry, maria/0000-0002-7870-7394; Montone, Rosalinda/0000-0002-9586-1000</t>
  </si>
  <si>
    <t>Fundacao de Amparo a Pesquisa do Estado de Sao Paulo (FAPESP); Conselho Nacional de Desenvolvimento Cientifico e Tecnologico (CNPq)</t>
  </si>
  <si>
    <t>Fundacao de Amparo a Pesquisa do Estado de Sao Paulo (FAPESP)(Fundacao de Amparo a Pesquisa do Estado de Sao Paulo (FAPESP)); Conselho Nacional de Desenvolvimento Cientifico e Tecnologico (CNPq)(Conselho Nacional de Desenvolvimento Cientifico e Tecnologico (CNPQ))</t>
  </si>
  <si>
    <t>The authors are thankful to the team at UNISINOS, to the Brazilian Antarctic Program (PROANTAR) and to the National Science and Technology Institute on Antarctic Environmental Research (INCT-APA). We also thank the Fundacao de Amparo a Pesquisa do Estado de Sao Paulo (FAPESP) and the Conselho Nacional de Desenvolvimento Cientifico e Tecnologico (CNPq) for the financial support. The authors would also like to thank the reviewers for their valuable comments.</t>
  </si>
  <si>
    <t>10.1017/S0954102014000807</t>
  </si>
  <si>
    <t>WOS:000360201200005</t>
  </si>
  <si>
    <t>Jara-Carrasco, S; González, M; González-Acuña, D; Chiang, G; Celis, J; Espejo, W; Mattatall, P; Barra, R</t>
  </si>
  <si>
    <t>Jara-Carrasco, S.; Gonzalez, M.; Gonzalez-Acuna, D.; Chiang, G.; Celis, J.; Espejo, W.; Mattatall, P.; Barra, R.</t>
  </si>
  <si>
    <t>Potential immunohaematological effects of persistent organic pollutants on chinstrap penguin</t>
  </si>
  <si>
    <t>Antarctic Peninsula; cytological alterations; leukocyte; Pygoscelis antarctica; relative condition factor; South Shetland Islands</t>
  </si>
  <si>
    <t>PYGOSCELIS-PAPUA; ORGANOCHLORINE POLLUTANTS; ANTARCTIC PENINSULA; IMMUNE FUNCTION; GLAUCOUS GULLS; TRACE-METALS; ISLANDS; HETEROPHIL; LOCATIONS; STRESS</t>
  </si>
  <si>
    <t>It has been demonstrated that persistent organic pollutants (POPs) can affect the immune system of mammals and birds. In this study, the concentration of different POPs and leukocytes in blood samples from three chinstrap penguin (Pygoscelis antarctica) populations was analysed in order to assess the impact on haematological parameters. Using blood sample smears, basophils, eosinophils, heterophils, lymphocytes and monocytes were quantified. Mature and immature red blood cells were counted and cell alterations in both white and red blood cells were analysed. At the same time, whole blood was analysed for POPs. The results showed that contaminants, such as dichlorodiphenyltrichloroethane and its metabolites (Sigma DDT), as well as polychlorinated biphenyls (Sigma PCB), had significant correlations to eosinophils, lymphocytes and heterophils. This indicates possible immunohaematological alterations derived from exposure to such contaminants. Cytological alterations were also observed, such as cytotoxic granules, toxic heterophils, and atypical and granulated lymphocytes, which would demonstrate that these seabirds are being exposed to stress agents that could be producing some alterations at a leukocytary cellular level.</t>
  </si>
  <si>
    <t>[Jara-Carrasco, S.; Espejo, W.; Mattatall, P.; Barra, R.] Univ Concepcion, Fac Environm Sci, Dept Aquat Syst, Concepcion 4070386, Chile; [Jara-Carrasco, S.; Espejo, W.; Mattatall, P.; Barra, R.] Univ Concepcion, EULA Chile Ctr, Concepcion 4070386, Chile; [Gonzalez, M.; Mattatall, P.] Univ Concepcion, Fac Pharm, Dept Biochem, Concepcion 4070386, Chile; [Gonzalez-Acuna, D.; Celis, J.] Univ Concepcion, Fac Vet Sci, Dept Anim Sci, Chillan, Chile; [Chiang, G.] Melimoyu Ecosyst Res Inst, Santiago 7640392, Chile</t>
  </si>
  <si>
    <t>Universidad de Concepcion; Universidad de Concepcion; Universidad de Concepcion; Universidad de Concepcion</t>
  </si>
  <si>
    <t>Jara-Carrasco, S (corresponding author), Univ Concepcion, Fac Environm Sci, Dept Aquat Syst, Barrio Univ S-N,Box 160C, Concepcion 4070386, Chile.</t>
  </si>
  <si>
    <t>soljara@udec.cl</t>
  </si>
  <si>
    <t>Espejo, Winfred/AAO-7150-2020; Barra, Ricardo O./A-5543-2009; Chiang, Gustavo/ABA-9349-2020; CELIS, JOSE/AAP-6048-2021</t>
  </si>
  <si>
    <t>Barra, Ricardo O./0000-0002-1567-7722; Espejo, Winfred/0000-0002-3753-2006; CELIS, JOSE E./0000-0002-2458-1239; Chiang, Gustavo/0000-0003-4504-355X</t>
  </si>
  <si>
    <t>INACH [T 18-09, T 12-13, T 31-11]</t>
  </si>
  <si>
    <t>INACH</t>
  </si>
  <si>
    <t>Many thanks to INACH for financing the projects T 18-09 (R. Barra), T 12-13 (D. Gonzalez-Acuna) and T 31-11 (G. Chiang), as well as providing the chance to do research on Antarctic birds. Ms Solange Jara-Carrasco is a CONICYT grant holder for doctorate candidates. This paper is part of the Solange Jara-Carrasco PhD thesis supervised by R. Barra. Thanks to a scholarship doctoral thesis Support 2012, Folio 24121098 of CONICYT. Thanks to the research group of Dr Gonzalez-Acuna for obtaining samples. The suggestions of two anonymous referees were of great help in improving the previous version of this paper. Permits to access ASPA 149 and 171 were issued by the Chilean Government.</t>
  </si>
  <si>
    <t>10.1017/S0954102015000012</t>
  </si>
  <si>
    <t>WOS:000360201200007</t>
  </si>
  <si>
    <t>Scotto, C</t>
  </si>
  <si>
    <t>Scotto, Carlo</t>
  </si>
  <si>
    <t>Triple splitting and z-rays in polar ionograms</t>
  </si>
  <si>
    <t>ionosonde; ionosphere; radio propagation</t>
  </si>
  <si>
    <t>IONOSPHERE</t>
  </si>
  <si>
    <t>The theory of propagation in a direction almost parallel to the Earth's magnetic field is reviewed, calculating the group refractive index of the ordinary ray in the presence of electron-neutral collisions. An electron density profile is estimated from the ordinary trace and is used to compute the z-ray trace. It is shown that this reconstruction can help to identify the rare cases of z-rays from among the numerous cases of duplicate ordinary traces, due to reflection from two different directions.</t>
  </si>
  <si>
    <t>Ist Nazl Geofis &amp; Vulcanol, Rome, Italy</t>
  </si>
  <si>
    <t>Istituto Nazionale Geofisica e Vulcanologia (INGV)</t>
  </si>
  <si>
    <t>Scotto, C (corresponding author), Ist Nazl Geofis &amp; Vulcanol, Via Vigna Murata 605, Rome, Italy.</t>
  </si>
  <si>
    <t>carlo.scotto@ingv.it</t>
  </si>
  <si>
    <t>Italian National Program for Research in Antarctica (PNRA)</t>
  </si>
  <si>
    <t>Italian National Program for Research in Antarctica (PNRA)(Ministry of Education, Universities and Research (MIUR))</t>
  </si>
  <si>
    <t>This work is in the frame of AUSPICIO (AUtomatic Scaling of Polar Ionograms and Cooperative Ionospheric Observations), an international cooperation project funded by the Italian National Program for Research in Antarctica (PNRA). The author would like to thank the reviewers and editor for their valuable comments.</t>
  </si>
  <si>
    <t>10.1017/S095410201400090X</t>
  </si>
  <si>
    <t>WOS:000360201200008</t>
  </si>
  <si>
    <t>Haid, V; Timmermann, R; Ebner, L; Heinemann, G</t>
  </si>
  <si>
    <t>Haid, Verena; Timmermann, Ralph; Ebner, Lars; Heinemann, Gunther</t>
  </si>
  <si>
    <t>Atmospheric forcing of coastal polynyas in the south-western Weddell Sea</t>
  </si>
  <si>
    <t>atmosphere/sea ice/ocean interaction; ENSO/SOI; High Salinity Shelf Water; sea ice production; sensitivity; wind field</t>
  </si>
  <si>
    <t>ANTARCTIC PENINSULA; OCEAN HYDROGRAPHY; ICE; MODEL; PARAMETERIZATION; CIRCULATION</t>
  </si>
  <si>
    <t>The development of coastal polynyas, areas of enhanced heat flux and sea ice production strongly depend on atmospheric conditions. In Antarctica, measurements are scarce and models are essential for the investigation of polynyas. A robust quantification of polynya exchange processes in simulations relies on a realistic representation of atmospheric conditions in the forcing dataset. The sensitivity of simulated coastal polynyas in the south-western Weddell Sea to the atmospheric forcing is investigated with the Finite-Element Sea ice-Ocean Model (FESOM) using daily NCEP/NCAR reanalysis data (NCEP), 6 hourly Global Model Europe (GME) data and two different hourly datasets from the high-resolution Consortium for Small-Scale Modelling (COSMO) model. Results are compared for April to August in 2007-09. The two coarse-scale datasets often produce the extremes of the data range, while the finer-scale forcings yield results closer to the median. The GME experiment features the strongest winds and, therefore, the greatest polynya activity, especially over the eastern continental shelf. This results in higher volume and export of High Salinity Shelf Water than in the NCEP and COSMO runs. The largest discrepancies between simulations occur for 2008, probably due to differing representations of the ENSO pattern at high southern latitudes. The results suggest that the large-scale wind field is of primary importance for polynya development.</t>
  </si>
  <si>
    <t>[Haid, Verena; Timmermann, Ralph] Alfred Wegener Inst, Climate Dynam, D-27570 Bremerhaven, Germany; [Haid, Verena] Ctr Euromediterraneo Cambiamenti Climat Ocean Mod, I-40127 Bologna, Italy; [Ebner, Lars; Heinemann, Gunther] Univ Trier, Dept Environm Meteorol, D-54286 Trier, Germany</t>
  </si>
  <si>
    <t>Helmholtz Association; Alfred Wegener Institute, Helmholtz Centre for Polar &amp; Marine Research; Universitat Trier</t>
  </si>
  <si>
    <t>Haid, V (corresponding author), Alfred Wegener Inst, Climate Dynam, Bussestr 24, D-27570 Bremerhaven, Germany.</t>
  </si>
  <si>
    <t>v.haid@web.de</t>
  </si>
  <si>
    <t>Heinemann, Gunther/0000-0002-4831-9016</t>
  </si>
  <si>
    <t>Deutsche Forschungsgemeinschaft [SPP 1158, Ti 296/5, He 2740/10]</t>
  </si>
  <si>
    <t>Deutsche Forschungsgemeinschaft(German Research Foundation (DFG))</t>
  </si>
  <si>
    <t>This study was supported by Deutsche Forschungsgemeinschaft in the framework of the priority programme SPP 1158 'Antarctic Research with comparative investigations in Arctic ice areas' under grant numbers Ti 296/5 and He 2740/10. The authors wish to thank DWD for providing the COSMO model and GME data and the DKRZ (Hamburg) for providing computing time. The NCEP/NCAR reanalysis data was obtained from NOAA Climate Diagnostics Center, Boulder, CO, USA via the website http://www.cdc.noaa.gov. The AMSR-E data was obtained from Zentrum fur Marine und Atmospharische Wissenschaften, Hamburg, Germany via the website ftp://ftpprojects.zmav.de/seaice/. We thank Alexandra Weiss and an anonymous reviewer for their helpful comments.</t>
  </si>
  <si>
    <t>10.1017/S0954102014000893</t>
  </si>
  <si>
    <t>WOS:000360201200009</t>
  </si>
  <si>
    <t>Oza, SR</t>
  </si>
  <si>
    <t>Oza, Sandip Rashmikant</t>
  </si>
  <si>
    <t>Spatial-temporal patterns of surface melting observed over Antarctic ice shelves using scatterometer data</t>
  </si>
  <si>
    <t>Amery Ice Shelf; melting index; OSCAT; QuikSCAT; rift propagation</t>
  </si>
  <si>
    <t>RIFT PROPAGATION; EAST ANTARCTICA; SNOWMELT</t>
  </si>
  <si>
    <t>Ice shelves fringing Antarctica are sensitive indicators of climate change due to the direct interface with the atmosphere and ocean. Meltwater induced by atmospheric warming percolates from the surface into hydrofractures and affects shelf stability. Surface melting reduces the microwave backscattering; thus backscatter data is useful in melt monitoring. The Ku-band scatterometer derived melting index (MI) was utilized to assess the decadal (2000-10) variability observed over Antarctic ice shelves. The low intensity melting observed over large ice shelves and high intensity melting observed over the Larsen, Amery, West and Shackleton ice shelves are discussed. Acorrelation of around 93% was observed between MI variation and rift propagation over Amery Ice Shelf. The El Nino and the Southern Oscillation (ENSO) correlation with MI was also investigated. The paper highlights that scatterometer derived information has the potential to assess meltwater production and rift propagation.</t>
  </si>
  <si>
    <t>Space Applicat Ctr ISRO, Ahmadabad 380015, Gujarat, India</t>
  </si>
  <si>
    <t>Oza, SR (corresponding author), Space Applicat Ctr ISRO, Ahmadabad 380015, Gujarat, India.</t>
  </si>
  <si>
    <t>Space Applications Centre, Indian Space Research Organisation</t>
  </si>
  <si>
    <t>This work was carried out under projects funded by Space Applications Centre, Indian Space Research Organisation. The author is grateful to Dr R.R. Navalgund and Mr A.S. Kiran Kumar for their kind guidance provided to take up the polar science activities. Valuable suggestions received from Dr J.S. Parihar and Dr P.K. Pal are appreciatively acknowledged. Critical review and kind advice received from Dr Raj Kumar is deeply acknowledged. The author thankfully acknowledges the comments received from Dr M.P. Oza to improve the manuscript and to Mr D.A. Maroo for reproduction of figures in journal format. Thanks go to the comments and suggestions from two anonymous reviewers that prompted revisions that have led to a clearer presentation of the results of analysis and discussion. The valuable suggestions and encouragement during the revision process received from Dr L. Padman, journal Editor, are gratefully acknowledged. Efforts made by the editorial team to improve the manuscript are sincerely acknowledged.</t>
  </si>
  <si>
    <t>10.1017/S0954102014000832</t>
  </si>
  <si>
    <t>WOS:000360201200010</t>
  </si>
  <si>
    <t>Mckay, CP</t>
  </si>
  <si>
    <t>Mckay, Christopher P.</t>
  </si>
  <si>
    <t>Testing the Doran summer climate rules in Upper Wright Valley, Antarctica</t>
  </si>
  <si>
    <t>Antarctica; climate; Doran climate rules; Dry Valleys; lapse rate</t>
  </si>
  <si>
    <t>MCMURDO DRY VALLEYS; CRYPTOENDOLITHIC MICROBIAL ENVIRONMENT; ROSS DESERT; LAKE HOARE</t>
  </si>
  <si>
    <t>Based on data from low elevation lake sites, previous studies have suggested three quantitative relationships related to summer (December, January and February) air temperatures in the Dry Valleys of Antarctica: i) decrease with altitude at the dry lapse rate of 9.8 degrees C km(-1), ii) increase with distance from the coast at a rate of 0.09 degrees C km(-1), and iii) degree-days above freezing during the summer months is logarithmically proportional to the maximum summer air temperature. Here, we tested the first two of these rules at high elevation sites in Upper Wright Valley. Direct measurements confirmed that the summer lapse rate followed the dry lapse rate. For the three furthest stations, Tyrol Valley, Mount Fleming and Horseshoe Crater, the average difference between the measurements and the predicted summer monthly averages are -2.1 +/- 1.4 degrees C, -0.5 +/- 1.0 degrees C and -0.4 +/- 0.9 degrees C, respectively. By contrast, at Linnaeus Terrace (54 km from the coast) the monthly average is warmer than predicted by several degrees: +4.3 +/- 1.3 degrees C. The inland temperature gradient at these high elevation sites may result from sunlight effects rather than coastal wind as previously shown for the lower valleys. The warm conditions observed c. 50 km from the coast may reflect a zone affected by both sunlight and coastal wind.</t>
  </si>
  <si>
    <t>NASA, Ames Res Ctr, Div Space Sci, Moffett Field, CA 94035 USA</t>
  </si>
  <si>
    <t>National Aeronautics &amp; Space Administration (NASA); NASA Ames Research Center</t>
  </si>
  <si>
    <t>Mckay, CP (corresponding author), NASA, Ames Res Ctr, Div Space Sci, Moffett Field, CA 94035 USA.</t>
  </si>
  <si>
    <t>chris.mckay@nasa.gov</t>
  </si>
  <si>
    <t>McKay, Christopher/0000-0002-6243-1362</t>
  </si>
  <si>
    <t>US National Science Foundation grant [OPP 91-18730]</t>
  </si>
  <si>
    <t>US National Science Foundation grant(National Science Foundation (NSF))</t>
  </si>
  <si>
    <t>This paper is dedicated to the late E.I. Friedmann who recruited me to the study of the Antarctic Dry Valleys. The data in Upper Wright Valley were collected as part of a project supported by the US National Science Foundation grant OPP 91-18730 to E.I. Friedmann. E.I. Friedmann, A.Y. Druk and H. Sun assisted in the deployment and retrieval of the stations in the field. I thank Kaj Williams for useful discussions on this topic and the reviewers for rapid and useful reviews.</t>
  </si>
  <si>
    <t>10.1017/S095410201500005X</t>
  </si>
  <si>
    <t>WOS:000360201200011</t>
  </si>
  <si>
    <t>Polashenski, C; Perovich, DK; Frey, KE; Cooper, LW; Logvinova, CI; Dadic, R; Light, B; Kelly, HP; Trusel, LD; Webster, M</t>
  </si>
  <si>
    <t>Polashenski, Chris; Perovich, Donald K.; Frey, Karen E.; Cooper, Lee W.; Logvinova, Christie I.; Dadic, Ruzica; Light, Bonnie; Kelly, Holly P.; Trusel, Luke D.; Webster, Melinda</t>
  </si>
  <si>
    <t>Physical and morphological properties of sea ice in the Chukchi and Beaufort Seas during the 2010 and 2011 NASA ICESCAPE missions</t>
  </si>
  <si>
    <t>Sea ice properties; In situ measurements; Arctic zone</t>
  </si>
  <si>
    <t>THICKNESS MEASUREMENTS; SUMMER; CIRCULATION; RATES; VARIABILITY; GROWTH; MELT</t>
  </si>
  <si>
    <t>Physical and morphological properties of sea ice in the Chukchi and western Beaufort seas were measured during the 2010 and 2011 June July ICESCAPE (Impacts of Climate on the Eco-Systems and Chemistry of the Arctic Pacific Environment) missions aboard the USCGC Healy. Observations of ice conditions, including ice thicknesses, types, and concentrations of primary, secondary, and tertiary categories were reported at 2-h intervals while the ship was in transit using the Antarctic Sea ice Processes and Climate (ASPeCt) protocol. On-ice surveys of ice thickness, melt-pond depth, and ice properties (including profiles of internal temperature, salinity, and isotopic composition) were conducted at 21 total ice stations (12 in 2010 and 9 in 2011). Comparison to historical ship-based observations confirms a multi-decadal transition from a multiyear to thinner, first year -dominated seasonal sea-ice pack in the region, with much earlier ice retreat than in past decades. The ice encountered was predominantly ( &gt; 98%) first year, with un-deformed ice thicknesses ranging from 0.73 to 1.2 m. Pond coverage was extensive, averaging 29% in 2010 and 19% in 2011, resulting in considerable light absorption in the ice and transmission of light to the ocean. Enhanced melting near the ice edge is consistent with transport of Pacific-origin heat and/or ice-albedo feedbacks. Sediment entrainment was visible in 7.5% and 10.9% of the ice in 2010 and 2011, respectively. Overall, the results indicate a regime shift in the characteristics of the ice cover has occurred in the region over recent decades, with substantive implications for thermodynamic forcing, light availability in the upper ocean, and biological and biogeochemical processes in the ice and water column beneath. The results presented have applications for the interpretation of optical and biological measurements in the Chukchi Sea and serve as record of ice conditions for assessing long-term change. Published by Elsevier Ltd.</t>
  </si>
  <si>
    <t>[Polashenski, Chris; Perovich, Donald K.] ERDC CRREL, Hanover, NH 03755 USA; [Polashenski, Chris; Perovich, Donald K.] Dartmouth Coll, Hanover, NH 03755 USA; [Frey, Karen E.; Logvinova, Christie I.; Trusel, Luke D.] Clark Univ, Worcester, MA 01610 USA; [Cooper, Lee W.; Kelly, Holly P.] Univ Maryland, Ctr Environm Sci, Baltimore, MD USA; [Dadic, Ruzica] Univ Wellington, Wellington, New Zealand; [Light, Bonnie; Webster, Melinda] Univ Washington, Seattle, WA 98195 USA</t>
  </si>
  <si>
    <t>United States Department of Defense; United States Army; U.S. Army Corps of Engineers; U.S. Army Engineer Research &amp; Development Center (ERDC); Cold Regions Research &amp; Engineering Laboratory (CRREL); Dartmouth College; Clark University; University System of Maryland; University of Maryland Center for Environmental Science; University of Maryland Baltimore; Victoria University Wellington; University of Washington; University of Washington Seattle</t>
  </si>
  <si>
    <t>Polashenski, C (corresponding author), ERDC CRREL, Hanover, NH 03755 USA.</t>
  </si>
  <si>
    <t>Cooper, Lee W./E-5251-2012; Trusel, Luke D/E-2578-2013; Dadic, Ruzica/O-4458-2019</t>
  </si>
  <si>
    <t>Cooper, Lee W./0000-0001-7734-8388; Dadic, Ruzica/0000-0003-1303-1896; Trusel, Luke/0000-0002-7792-6173; Webster, Melinda/0000-0002-5976-9485</t>
  </si>
  <si>
    <t>NASA Impacts of Climate change on the EcoSystems and Chemistry of the Arctic Pacific Environment (ICESCAPE) project; NASA Cryospheric Sciences Program [NNX10AH71G, NNH10A017IE]; NASA Ocean Biology and Biogeochemistry Program</t>
  </si>
  <si>
    <t>NASA Impacts of Climate change on the EcoSystems and Chemistry of the Arctic Pacific Environment (ICESCAPE) project; NASA Cryospheric Sciences Program(National Aeronautics &amp; Space Administration (NASA)); NASA Ocean Biology and Biogeochemistry Program(National Aeronautics &amp; Space Administration (NASA))</t>
  </si>
  <si>
    <t>This research was supported by the NASA Impacts of Climate change on the EcoSystems and Chemistry of the Arctic Pacific Environment (ICESCAPE) project with support from the NASA Cryospheric Sciences Program (Grant #NNX10AH71G to K. Frey, L.W. Cooper, and J.M. Grebmeier and Grant #NNH10A017IE to D. Perovich and B. Light) and the NASA Ocean Biology and Biogeochemistry Program. The field component of this research would not have been possible without the tremendous support from the commanding officer, marine science technicians, crew, and officers of USCGC Healy on the HLY1001 and HLY 1101 missions to the Chukchi and Beaufort seas in June-July 2010 and 2011. We acknowledge and appreciate comments by two anonymous reviewers which helped to improve this manuscript.</t>
  </si>
  <si>
    <t>10.1016/j.dsr2.2015.04.006</t>
  </si>
  <si>
    <t>CP9ZV</t>
  </si>
  <si>
    <t>WOS:000360255300002</t>
  </si>
  <si>
    <t>Sabu, P; George, JV; Anilkumar, N; Chacko, R; Valsala, V; Achuthankutty, CT</t>
  </si>
  <si>
    <t>Sabu, P.; George, Jenson V.; Anilkumar, N.; Chacko, Racheal; Valsala, Vinu; Achuthankutty, C. T.</t>
  </si>
  <si>
    <t>Observations of watermass modification by mesoscale eddies in the subtropical frontal region of the Indian ocean sector of southern ocean</t>
  </si>
  <si>
    <t>Eddies; Watermass; Potential vorticity; Subtropical Front; Southern Ocean</t>
  </si>
  <si>
    <t>ANTARCTIC CIRCUMPOLAR CURRENT; POTENTIAL VORTICITY; NORTH PACIFIC; SURFACE-WATER; MODE WATER; VARIABILITY; TRANSPORT; MASSES; LOCATION; AFRICA</t>
  </si>
  <si>
    <t>Two eddies, one cyclonic and the other anticyclonic, in the subtropical frontal region (STF) of the Indian Ocean sector of Southern Ocean (SO) and their role on the watermass modification are described here using the hydrographic data collected during the austral summer (February) of 2012 and 2013 and also by using Argo profiles sampled during the austral summer from 2004 to 2012. The cyclonic eddy transports cold, fresh and deeper Antarctic Intermediate Water (AAIW) to much shallower depths, but the anticyclonic eddy pushes the warm, more saline Subtropical Surface Water (STSW) to deeper depths. Significant changes in the properties of watermasses (in terms of temperature and salinity), viz. STSW (colder by similar to 1 degrees C and less saline by similar to 1 psu) and Subtropical Mode Water (STMW; temperature decreased by similar to 0.5 degrees C and salinity by similar to 0.7 psu), were noticeable in the centre of cyclonic eddy. On the other hand, no such changes were found in the STMW properties in the anticyclonic eddy region. The observed changes in the properties of watermasses were confirmed with the Argo profiles sampled from the cyclonic and anticyclonic eddy regions of the STF. A striking feature observed both in the cyclonic eddy and the anticyclonic eddy was the freshening of AAIW, and this is consistently evident both in the cruise-based observations as well as in the Argo profiles. It is hypothesized that the freshening in the AAIW at a given depth in the cyclonic eddy is due to shoaling of the pycnocline, causing further intrusion of fresh saline water from deeper depths whereas the corresponding freshening in the anticyclonic eddy is due to the conservation of potential vorticity. (C) 2015 Elsevier Ltd. All rights reserved.</t>
  </si>
  <si>
    <t>[Sabu, P.; George, Jenson V.; Anilkumar, N.; Chacko, Racheal; Achuthankutty, C. T.] Minist Earth Sci, Natl Ctr Antarctic &amp; Ocean Res, Headland Sada, Goa, India; [Valsala, Vinu] Indian Inst Trop Meteorol, Pashan, India</t>
  </si>
  <si>
    <t>Ministry of Earth Sciences (MoES) - India; National Centre for Polar and Ocean Research (NCPOR); Ministry of Earth Sciences (MoES) - India; Indian Institute of Tropical Meteorology (IITM)</t>
  </si>
  <si>
    <t>Sabu, P (corresponding author), Minist Earth Sci, Natl Ctr Antarctic &amp; Ocean Res, Headland Sada, Goa, India.</t>
  </si>
  <si>
    <t>sabu@ncaor.gov.in</t>
  </si>
  <si>
    <t>George, Jenson/GXH-1342-2022; Valsala, Vinu/V-8414-2019</t>
  </si>
  <si>
    <t>Chacko, Racheal/0000-0002-0205-776X</t>
  </si>
  <si>
    <t>This work was supported by the Ministry of Earth Sciences, Government of India. We are thankful to the Director of National Centre for Antarctic and Ocean Research (NCAOR) for constant support and encouragement. Help rendered by cruise participants and the NCAOR staff for the implementation and successful completion of this study is acknowledged. We acknowledge INCOIS, Hyderabad for providing the real time quality controlled Argo data (Version 2.0). We are thankful to the anonymous reviewers for their valuable suggestions which helped to improve the scientific content of the manuscript. This is NCAOR contribution no. 11/2015.</t>
  </si>
  <si>
    <t>10.1016/j.dsr2.2015.04.010</t>
  </si>
  <si>
    <t>CP9ZW</t>
  </si>
  <si>
    <t>WOS:000360255400003</t>
  </si>
  <si>
    <t>Anilkumar, N; Chacko, R; Sabu, P; George, JV</t>
  </si>
  <si>
    <t>Anilkumar, N.; Chacko, Racheal; Sabu, P.; George, Jenson V.</t>
  </si>
  <si>
    <t>Freshening of Antarctic Bottom Water in the Indian Ocean sector of Southern Ocean</t>
  </si>
  <si>
    <t>Salinity; Freshening; Antarctic Bottom Water; Southern Ocean; SAM</t>
  </si>
  <si>
    <t>WEDDELL SEA; ICE-SHELF; ANNULAR MODE; CIRCULATION; DEEP; GYRE; STRATIFICATION; MASSES; FLOW</t>
  </si>
  <si>
    <t>Recent observations reveal a rapid reduction in salinity and density of Antarctic Bottom Water (AABW) in the Indian Ocean sector of Southern Ocean. Previous studies have shown fast freshening of AABW since 1995, but an increased rate of freshening from 2006 to 2010 was exhibited in the present study by both ECMWF (ORAS4) reanalysis data as well as in-situ data. During the same period the degrees of change observed in the AABW were more predominant in the in-situ data, becoming warmer (similar to 0.05 degrees C), fresher (similar to 0.01) and lighter (similar to 0.01 kg m(-3)). Between 2006 and 2010 the height of fresh water added per unit area for 500 m thickness (4000-4500 m) was 2.2 cm per annum (cm a(-1)). The AABW observed in the present study could have originated from Weddell Sea or Cape Darnley polynya. The decadal changes indicate an enhanced sea-ice formation, due to increased positive phases of Southern Annular Mode (SAM), which may have led to the increase in fresh water input, resulting in freshening of AABW. (C) 2015 Elsevier Ltd. All rights reserved.</t>
  </si>
  <si>
    <t>[Anilkumar, N.; Chacko, Racheal; Sabu, P.; George, Jenson V.] Natl Ctr Antarctic &amp; Ocean Res, Vasco Da Gama 403804, Goa, India</t>
  </si>
  <si>
    <t>Ministry of Earth Sciences (MoES) - India; National Centre for Polar and Ocean Research (NCPOR)</t>
  </si>
  <si>
    <t>Chacko, R (corresponding author), Natl Ctr Antarctic &amp; Ocean Res, Vasco Da Gama 403804, Goa, India.</t>
  </si>
  <si>
    <t>racheal@ncaor.gov.in</t>
  </si>
  <si>
    <t>George, Jenson/GXH-1342-2022</t>
  </si>
  <si>
    <t>The authors are thankful to Ministry of Earth Sciences, Government of India for all support provided to implement this programme. They are thankful to Director, NCAOR for his constant support and encouragement. The suggestions given by Dr. C. T. Achuthankutty are acknowledged. Help rendered in the implementation and completion of this study by all SO group members of NCAOR and all cruise participants is acknowledged. This is NCAOR contribution no 07/ 2015</t>
  </si>
  <si>
    <t>10.1016/j.dsr2.2015.03.009</t>
  </si>
  <si>
    <t>WOS:000360255400004</t>
  </si>
  <si>
    <t>Tiwari, M; Nagoji, SS; David, TD; Anilkumar, N; Rajan, S</t>
  </si>
  <si>
    <t>Tiwari, Manish; Nagoji, Siddhesh S.; David, Divya T.; Anilkumar, N.; Rajan, S.</t>
  </si>
  <si>
    <t>Oxygen isotope distribution at shallow to intermediate depths across different fronts of the Southern Ocean: Signatures of a warm-core eddy</t>
  </si>
  <si>
    <t>Oxygen isotopes; Salinity; Temperature; Intermediate water masses; Eddy; Southern Ocean</t>
  </si>
  <si>
    <t>ANTARCTIC CIRCUMPOLAR CURRENT; INDIAN SECTOR; DATA SET; WATER; BRAZIL; HEAT; VARIABILITY; CIRCULATION; EDDIES; FLUX</t>
  </si>
  <si>
    <t>Southern Ocean, an important component of the earth's climate system, is changing in response to the anthropogenic climate change. To understand better the dynamics of the Southern Ocean, we documented oxygen isotopic variability and its relation to salinity, especially at intermediate depths (to 1000 m) across different fronts, at six stations in the Southern Ocean. Signatures of a warm-core eddy extended from 40 to 44 degrees S and 56 to 59.5 degrees E. It consisted of Subtropical Surface Water (STSW). Other water masses identified were the Antarctic Surface Water (AASW), Antarctic Intermediate Water (AAIW), and Upper Circumpolar Deep Water (UCDW) based on the salinity, temperature and oxygen isotopic ratios. The slope of the oxygen isotope-salinity relationship indicates that the water in the warm-core eddy was derived from a region dominated by evaporation/precipitation while the water surrounding the eddy came from a region dominated by melting/freezing. The shoaling of AAIW up to water depth of 500 m was observed along the transect. These new oxygen isotope data, especially from the intermediate depths, will also help fill existing gaps in the global seawater oxygen isotope dataset (C) 2015 Elsevier Ltd. All rights reserved.</t>
  </si>
  <si>
    <t>[Tiwari, Manish; Nagoji, Siddhesh S.; David, Divya T.; Anilkumar, N.; Rajan, S.] Natl Ctr Antarctic &amp; Ocean Res, Vasco Da Gama 403804, Goa, India</t>
  </si>
  <si>
    <t>Tiwari, Manish/0000-0003-3143-1658; Nagoji, Siddhesh/0000-0002-9533-3339; David T, Divya/0000-0002-8385-839X</t>
  </si>
  <si>
    <t>Ministry of Earth Sciences under the project Past Climate and Oceanic Variability (NCAOR) [12/2015]; ISRO-GBP</t>
  </si>
  <si>
    <t>Ministry of Earth Sciences under the project Past Climate and Oceanic Variability (NCAOR); ISRO-GBP</t>
  </si>
  <si>
    <t>We are grateful to the Secretary, Ministry of Earth Sciences for the encouragement and support under the project Past Climate and Oceanic Variability (NCAOR Contribution no. 12/2015). MT &amp; SSN thanks ISRO-GBP for the support. We take this opportunity to thank Dr. C.T. Achuthankutty for improving the manuscript and the colleagues on-board and the crew of the ORV SagarNidhi for help during sample collection.</t>
  </si>
  <si>
    <t>10.1016/j.dsr2.2015.04.022</t>
  </si>
  <si>
    <t>WOS:000360255400005</t>
  </si>
  <si>
    <t>Prasanna, K; Ghost, P; Kumar, NA</t>
  </si>
  <si>
    <t>Prasanna, K.; Ghost, Prosenjit; Kumar, N. Anil</t>
  </si>
  <si>
    <t>Stable isotopic signature of Southern Ocean deep water CO2 ventilation</t>
  </si>
  <si>
    <t>Southern Ocean; CO2; Deep water ventilation; DIC; delta C-13</t>
  </si>
  <si>
    <t>INDIAN-OCEAN; ATMOSPHERIC CO2; CARBON-DIOXIDE; SURFACE WATERS; ATLANTIC-OCEAN; DELTA-C-13; SUMMER; AIR; FRACTIONATION; TEMPERATURE</t>
  </si>
  <si>
    <t>The link between atmospheric CO2 level and ventilation state of the deep ocean is poorly understood due to the lack of coherent observations on the partitioning of carbon between atmosphere and ocean. In this Southern Ocean study, we have classified the Southern Ocean into different zones based on its hydrological features and have binned the variability in latitudinal air-CO2 concentration and its isotopic ratios. Together with air-CO2, we analysed the surface water for the isotopic ratios in dissolved inorganic carbon (DIC). Using the binary mixing approach on the isotopic ratio of atmospheric CO2 and its concentration, we identified the delta C-13 value of source CO2. The isotopic composition of source CO2 was around -9.22 +/- 0.26 parts per thousand for the year 2011 and 2012, while a composition of -13.49 +/- 4.07 parts per thousand was registered for the year 2013. We used the delta C-13 of DIC to predict the CO2 composition in air under equilibrium and compared our estimates with actual observations. We suggest that the degeneration of the DIC in presence of warm water in the region was the factor responsible for adding the CO2 to the atmosphere above. The place of observation coincides with the zone of high wind speed which promotes the process of CO2 exsolution from sea water. (C) 2015 Elsevier Ltd. All rights reserved.</t>
  </si>
  <si>
    <t>[Prasanna, K.; Ghost, Prosenjit] Indian Inst Sci, Ctr Earth Sci CEaS, Bangalore 560012, Karnataka, India; [Ghost, Prosenjit] Indian Inst Sci, Div Ctr Climate Change, Bangalore 560012, Karnataka, India; [Kumar, N. Anil] Natl Ctr Antarctic &amp; Ocean Res, Headland Soda 403804, Goa, India</t>
  </si>
  <si>
    <t>Indian Institute of Science (IISC) - Bangalore; Indian Institute of Science (IISC) - Bangalore; Ministry of Earth Sciences (MoES) - India; National Centre for Polar and Ocean Research (NCPOR)</t>
  </si>
  <si>
    <t>Ghost, P (corresponding author), Indian Inst Sci, Ctr Earth Sci CEaS, Bangalore 560012, Karnataka, India.</t>
  </si>
  <si>
    <t>pghosh@ceas.iisc.ernet.in</t>
  </si>
  <si>
    <t>Naidu, Prasanna/T-4975-2019</t>
  </si>
  <si>
    <t>Ghosh, Prosenjit/0000-0001-7828-577X; Naidu, Prasanna/0000-0001-5162-3900</t>
  </si>
  <si>
    <t>Ministry of Earth Science, Government of India; Divecha Centre for Climate Change, Bangalore</t>
  </si>
  <si>
    <t>We thank all the anonymous reviewers for their valuable inputs. We thank Dr. Sagarika Roy and Mrs. Meera Rao for editorial inputs to the manuscript. We thank the Ministry of Earth Science, Government of India for providing financial support for the Indian Scientific Expedition to the Indian Ocean sector of the Southern Ocean, under which the present work was carried out. We also thank the Director, NCAOR, Goa, and Divecha Centre for Climate Change, Bangalore, for providing the necessary facilities and support. We also thank all the scientific team, Captain, officers and crew on-board ORV Sagar Nidhi for all their support.</t>
  </si>
  <si>
    <t>10.1016/j.dsr2.2015.04.009</t>
  </si>
  <si>
    <t>WOS:000360255400006</t>
  </si>
  <si>
    <t>Soares, MA; Bhaskar, PV; Naik, RK; Dessai, D; George, J; Tiwari, M; Anilkumar, N</t>
  </si>
  <si>
    <t>Soares, Melena A.; Bhaskar, Parli V.; Naik, Ravidas K.; Dessai, Deepti; George, Jenson; Tiwari, Manish; Anilkumar, N.</t>
  </si>
  <si>
    <t>Latitudinal δ13C and δ15N variations in particulate organic matter (POM) in surface waters from the Indian ocean sector of Southern Ocean and the Tropical Indian Ocean in 2012</t>
  </si>
  <si>
    <t>Carbon isotope; Nitrogen isotope; Particulate organic matter; Southern Ocean; Indian Ocean</t>
  </si>
  <si>
    <t>CARBON ISOTOPIC FRACTIONATION; MARINE PLANKTON; PHYTOPLANKTON BIOMASS; SEASONAL VARIABILITY; PIGMENT PATTERNS; ATLANTIC-OCEAN; GROWTH-RATE; FOOD-WEB; NITROGEN; C-13</t>
  </si>
  <si>
    <t>Surface water samples were collected onboard ORV Sagar Nidhi from 11 stations in the Tropical Indian Ocean (TIO) and 9 stations in the Indian Ocean sector of Southern Ocean (IOSO) (between 3 degrees N and 53 degrees S) during the austral summer 2012 to understand delta C-13 and delta N-15 signatures of particulate organic matter (POM) in the two different oceanic regimes. Organic carbon and nitrogen concentrations (%C and %N) and delta C-13 and delta N-15 values (delta C-13((POM)) and delta N-15((POM))) of POM were analysed along with a suite of supporting oceanographic parameters. Overall, large-scale variations in %C, %N, delta(CO(POM))-C-13 and delta N-15((POM)) values were observed in surface waters, which may be influenced by physical and biological processes. The delta C-13((POM)) values ranged from -26.82 parts per thousand to -21.40 parts per thousand and were higher in the subtropical waters (40-43 degrees S), with an increase of approximately 3%0. delta N-15((POM)) values varied over a wide range, from -5.09 parts per thousand to -4.09 parts per thousand, with higher delta N-15((POM)) in the nitrate-depleted subtropical waters. delta C-13((POM)) had a significant relation with temperature and an inverse relation with total CO2 (tCO(2)) beyond 40 degrees S. The elemental C:N ratio ranged from 4.4 to 10.8 in the tropical waters, with higher ratios in equatorial waters (1 degrees N-3 degrees S). The biological community structure and diverse biological processes influence the spatial variations of delta C-13((POM)) and delta N-15((POM)) values in the study area. The selective enrichment of carbon of POM in tropical surface waters may be due to the dominance of picoplankton and associated biological processes. Beyond 40 degrees S, a combination of physical factors including SST, eddies along with the changing biological community, especially the dominance of dinoflagellates in the subtropical front and diatoms in the polar front appears to control the latitudinal variability of POM characteristics. (C) 2015 Elsevier Ltd. All rights reserved.</t>
  </si>
  <si>
    <t>[Soares, Melena A.; Bhaskar, Parli V.; Naik, Ravidas K.; Dessai, Deepti; George, Jenson; Tiwari, Manish; Anilkumar, N.] Earth Sci Syst Org, Natl Ctr Antarctic &amp; Ocean Res, Vasco Da Gama 403804, Goa, India</t>
  </si>
  <si>
    <t>Bhaskar, PV (corresponding author), Earth Sci Syst Org, Natl Ctr Antarctic &amp; Ocean Res, Vasco Da Gama 403804, Goa, India.</t>
  </si>
  <si>
    <t>bhaskar@ncaor.gov.in</t>
  </si>
  <si>
    <t>George, Jenson/GXH-1342-2022; Parli, Bhaskar/Y-4916-2019</t>
  </si>
  <si>
    <t>Parli, Bhaskar/0000-0002-0654-7520; Tiwari, Manish/0000-0003-3143-1658</t>
  </si>
  <si>
    <t>Ministry of Earth Sciences; ISRO-GBP</t>
  </si>
  <si>
    <t>The authors would like to acknowledge Director, NCAOR for his continued support of the Indian Southern Ocean Program. The authors sincerely acknowledge Dr. C.T. Achuthankutty, expedition leader of ISOE-2012, for his support and leadership during the expedition. We also express our sincere thanks to the Ministry of Earth Sciences for funding this program. The authors also acknowledge Mr. Siddesh Nagoji, for carrying out IRMS analysis in at NCAOR. Manish Tiwari thanks ISRO-GBP for financial support. Our sincere acknowledgement to Capt. S. Williams and his crew onboard ORV Sagar Nidhi for ensuring proper sampling under Southern Ocean conditions. This is NCAOR's contribution number 23/2015.</t>
  </si>
  <si>
    <t>10.1016/j.dsr2.2015.06.009</t>
  </si>
  <si>
    <t>WOS:000360255400007</t>
  </si>
  <si>
    <t>Jain, A; Meena, RM; Naik, RK; Gomes, J; Bandekar, M; Bhat, M; Mesquita, A; Ramaiah, N</t>
  </si>
  <si>
    <t>Jain, Anand; Meena, Ram Murti; Naik, Ravidas K.; Gomes, Jasmine; Bandekar, Mandar; Bhat, Mithila; Mesquita, Analia; Ramaiah, Nagappa</t>
  </si>
  <si>
    <t>Response of polar front phytoplankton and bacterial community to micronutrient amendments</t>
  </si>
  <si>
    <t>Southern ocean; Polar front; Micronutrients; Microcosm; Phytoplankton; HPLC; Bacterial community; DGGE</t>
  </si>
  <si>
    <t>IRON FERTILIZATION EXPERIMENT; DISSOLVED ORGANIC-CARBON; SOUTHERN-OCEAN; TRACE-METALS; ENRICHMENT EXPERIMENT; MARINE-PHYTOPLANKTON; ZINC ENRICHMENTS; SILICIC-ACID; GROWTH-RATES; COBALT</t>
  </si>
  <si>
    <t>In a shipboard microcosm experiment we manipulated cobalt (Co), copper (Cu), iron (Fe), and Fe+Co availability in surface water samples collected during austral summer of 2013 from a Polar front (PF) location in the Indian Sector of Southern Ocean, to examine the responses of phytoplankton as well as bacterial community (BC) to these micronutrient amendments. Total chlorophyll a (Chl a) concentration increased significantly (P &lt; 0.01) in all micronutrient-enriched microcosms (MEM), with the incubation period unlike in the control microcosms (CM). Bacterial abundance in Co, Fe and Fe+Co-enriched microcosms increased 1.5 fold within 5 days of incubation, unlike in other microcosms. Despite significant increase in Chl a, the DGGE banding pattern reflects minor differences in the BC. However, there were significant differences in relative abundance (i.e band intensity) of two most responsive phylotypes identified as Rhodospirillales and Rosebacter sp of Alphaproteobacteria group between MEM and CM. Strong correlation was not discernable between Chl a concentration and bacterial abundance as well as BC structure. Apparently autotrophic processes in this region are not only limited by the availability of Fe, but also Co and Cu. (C) 2015 Elsevier Ltd. All rights reserved.</t>
  </si>
  <si>
    <t>[Jain, Anand; Meena, Ram Murti; Gomes, Jasmine; Bandekar, Mandar; Ramaiah, Nagappa] Div Biol Oceanog, Microbial Ecol Lab, Panaji 403004, Goa, India; [Bhat, Mithila; Mesquita, Analia] CSIR Natl Inst Oceanog, Chemcial Oceanog Div, Panaji 403004, Goa, India; [Naik, Ravidas K.] Natl Ctr Antarctic Ocean Res, Southern Ocean Grp, Vasco Da Gama, Goa, India; [Jain, Anand] Natl Ctr Antarctic Ocean Res, Arctic Grp, Vasco Da Gama, Goa, India</t>
  </si>
  <si>
    <t>Council of Scientific &amp; Industrial Research (CSIR) - India; CSIR - National Institute of Oceanography (NIO); Ministry of Earth Sciences (MoES) - India; National Centre for Polar and Ocean Research (NCPOR); Ministry of Earth Sciences (MoES) - India; National Centre for Polar and Ocean Research (NCPOR)</t>
  </si>
  <si>
    <t>Ramaiah, N (corresponding author), CSIR Natl Inst Oceanog, Div Biol Oceanog, Panaji 403004, Goa, India.</t>
  </si>
  <si>
    <t>ramaiah@nio.org</t>
  </si>
  <si>
    <t>Bandekar, Mandar/HPG-9211-2023; Ramaiah, Nagappa/AAV-3530-2021; NAIK, KARAMTOT KRISHNA/JBS-6669-2023</t>
  </si>
  <si>
    <t>NAIK, KARAMTOT KRISHNA/0000-0003-0165-2695; Bandekar, Mandar/0000-0003-0880-4911; jain, anand/0000-0002-2935-5441</t>
  </si>
  <si>
    <t>CSIR [PSC0206]</t>
  </si>
  <si>
    <t>CSIR(Council of Scientific &amp; Industrial Research (CSIR) - India)</t>
  </si>
  <si>
    <t>The authors thank Director Dr. SWA Naqvi, CSIR-NIO for support and encouragement. We thank CSIR funded project PSC0206 for the financial support. We appreciate Dr. Rajdeep Roy for his helpful discussion on phytoplankton pigment data. We acknowledge Dr. Basha Shaik (Senior Scientist CSIR-CSMCRI, Bhavnagar) for getting our DOC and DIC samples analyzed. We are grateful to Dr. Anil Kumar (Chief Scientist, SOE-2013 and Coordinator-Indian expedition to Southern Ocean) for his exceptional onboard support for conducting microcosm experiment, despite unfavorable weather conditions. We appreciate Dr. C.T. Achuthankutty (Visiting Scientist, NCAOR) for extending his support and encouragement during manuscript preparation. This is NIO contribution number 5707.</t>
  </si>
  <si>
    <t>10.1016/j.dsr2.2015.01.009</t>
  </si>
  <si>
    <t>WOS:000360255400008</t>
  </si>
  <si>
    <t>Ramaiah, N; Jain, A; Meena, RM; Naik, RK; Verma, R; Bhat, M; Mesquita, A; Nadkarni, A; D'Souza, SE; Ahmed, T; Bandekar, M; Gomes, J</t>
  </si>
  <si>
    <t>Ramaiah, Nagappa; Jain, Anand; Meena, Ram Murti; Naik, Ravidas K.; Verma, Rishendra; Bhat, Mithila; Mesquita, Analia; Nadkarni, Akshita; D'Souza, Stecy Elvira; Ahmed, Tufail; Bandekar, Mandar; Gomes, Jasmine</t>
  </si>
  <si>
    <t>Response of bacteria and phytoplankton from a subtropical front location Southern Ocean to micronutrient amendments ex-situ</t>
  </si>
  <si>
    <t>Southern Ocean; Subtropical front; Micronutrients; Bacterial community; Microcosm; DGGE</t>
  </si>
  <si>
    <t>DISSOLVED ORGANIC-MATTER; CARBON-DIOXIDE; PHYLOGENETIC DIVERSITY; MICROBIAL COMMUNITY; INDIAN-OCEAN; MARINE-PHYTOPLANKTON; CLASS FLAVOBACTERIA; IRON FERTILIZATION; DIATOM DETRITUS; SURFACE-WATER</t>
  </si>
  <si>
    <t>The effects of micronutrient amendments such as cobalt (Co), copper (Cu), iron (Fe) and their mixture (Co+Cu+Fe) on bacterial abundance, phytoplankton, bacterial community (BC) composition were examined at a subtropical front (STF) location in the Indian Sector of the Southern Ocean (ISSO) during the austral summer of 2012. From the 15-day on-board experiment it became evident that there was no significant increase in total chlorophyll a concentration or phytoplankton cell numbers in micronutrient enriched microcosms (MEM) compared to the control microcosms (CM) with no added micronutrients. Highest bacterial abundance was observed in the Fe-enriched microcosm within 5 days of incubation unlike in other microcosms. Interestingly, significant differences in the BC composition were observed between MEM and CM. In that an increase of similar to 10 unique phylotypes affiliated with Psychrobacter sp, Prothlorococcus sp, Burkholderia sp, Cytophaga-flavobactria cluster, Roseobacter sp, Bacillus sp and Vibrio sp was observed in the MEM. The phylotypes associated with Cyanobacteria preferentially responded to the Co and Fe additions, whereas the members of the Cytophaga-Flavobacteria cluster responded to the Cu, Fe and mixture amendments. Our results are useful to discern that availability of micronutrients, in particular of Fe, affects the bacterial abundance as well as BC composition, but not the phytoplankton growth/chlorophyll a concentration in the STF location. In addition, micronutrient amendments ex-situ appears to lead to predominance of only a few bacterial phylotypes. This shift in bacterial community composition might be due to preferential and/or versatile utilization of exogenously added micronutrients. Phylogenetic diversity of culturable bacterial populations from this sampling location was also assessed using 99 pure bacterial cultures. For this, a select set of biochemical characteristics was examined and numerical profiling was done before subjecting to 16S rRNA sequencing based identification. This effort yielded close to 20 clusters, and representative isolates from each cluster were subjected to molecular taxonomic analyses using 16S rRNA marker gene. From this analysis, similar to 90% of bacterial isolates were found to be affiliated with Firmicutes and similar to 10% to Gammaproteobacteria suggesting preponderance of only a few phylotypes in the deep chlorophyll maximum zone of this STF location. (C) 2015 Elsevier Ltd. All rights reserved.</t>
  </si>
  <si>
    <t>[Ramaiah, Nagappa; Jain, Anand; Meena, Ram Murti; Verma, Rishendra; Nadkarni, Akshita; D'Souza, Stecy Elvira; Ahmed, Tufail; Bandekar, Mandar; Gomes, Jasmine] Div Biol Oceanog, Microbial Ecol Lab, Panaji 403004, Goa, India; [Bhat, Mithila; Mesquita, Analia] CSIR Natl Inst Oceanog, Chemcial Oceanog Div, Panaji 403004, Goa, India; [Naik, Ravidas K.] Southern Ocean Grp, Vasco Da Gama, Goa, India; [Jain, Anand] Natl Ctr Antarctic Ocean Res, Arctic Grp, Vasco Da Gama, Goa, India</t>
  </si>
  <si>
    <t>Council of Scientific &amp; Industrial Research (CSIR) - India; CSIR - National Institute of Oceanography (NIO); Ministry of Earth Sciences (MoES) - India; National Centre for Polar and Ocean Research (NCPOR)</t>
  </si>
  <si>
    <t>Ramaiah, N (corresponding author), CSIR Natl Inst Oceanog, Microbial Ecol Lab, Panaji 403004, Goa, India.</t>
  </si>
  <si>
    <t>Ramaiah, Nagappa/AAV-3530-2021; Bandekar, Mandar/HPG-9211-2023; NAIK, KARAMTOT KRISHNA/JBS-6669-2023</t>
  </si>
  <si>
    <t>NAIK, KARAMTOT KRISHNA/0000-0003-0165-2695; jain, anand/0000-0002-2935-5441; Bandekar, Mandar/0000-0003-0880-4911</t>
  </si>
  <si>
    <t>We thank Director CSIR-NIO for the support and encouragement. Financial support from CSIR funded project PSC0206 is gratefully acknowledged. We thank, Chief Scientist of SOE-2012 Dr. C.T. Achuthankutty for his excellent onboard support. We appreciate Dr. Anil Kumar (Coordinator-Indian expedition to Southern Ocean) for the logistic-support. We also thank Dr. Basha Shaik (Senior Scientist, CSIR-CSMCRI, Bhavnagar) for analyzing DOC samples. Excellent and very detailed review advisories by two anonymous experts did help immensely in improving this manuscript. This is NIO contribution number 5731.</t>
  </si>
  <si>
    <t>10.1016/j.dsr2.2015.03.013</t>
  </si>
  <si>
    <t>WOS:000360255400009</t>
  </si>
  <si>
    <t>Naik, RK; George, JV; Soares, MA; Devi, A; Anilkumar, N; Roy, R; Bhaskar, PV; Murukesh, N; Achuthankutty, CT</t>
  </si>
  <si>
    <t>Naik, Ravidas Krishna; George, Jenson V.; Soares, Melena A.; Devi, Asha; Anilkumar, N.; Roy, Rajdeep; Bhaskar, P. V.; Murukesh, Nuncio; Achuthankutty, C. T.</t>
  </si>
  <si>
    <t>Phytoplankton community structure at the juncture of the Agulhas Return Front and Subtropical Front in the Indian Ocean sector of Southern Ocean: Bottom-up and top-down control</t>
  </si>
  <si>
    <t>Phytoplankton; Heterotrophic dinoflagellates; Ciliates; Southern Ocean; Bottom-up; Top-down</t>
  </si>
  <si>
    <t>PIGMENT PATTERNS; CHEMTAX ANALYSIS; GROWTH DYNAMICS; SIZE SELECTION; FEEDING RATES; GRAZING RATES; CILIOPHORA; PREDATION; STOCKS</t>
  </si>
  <si>
    <t>The juncture of the Agulhas Return Front (ARF) and Subtropical Front (STF) in the Indian Ocean sector of Southern Ocean (SO) is characterized by high mesoscale turbulence, which results in sporadic, short lived phytoplankton proliferation. The biota, mainly the phytoplankton community from such a complex hydrodynamic region and its response to the mesoscale turbulence, are areas of interest for investigation. Hence, during the sixth Indian expedition to SO, a two-day time series was occupied at the ARF and STF merged region (40 degrees S 58 degrees 30'E) from 13 to 15 January, 2012. The vertical profiles of phytoplankton (based on pigment indices) indicated variation in the percentage contribution of phytoplankton functional groups (Micro, Nano and Pico). Though the overall community structure was dominated by nanoplankton, as exhibited by pigment indices and CHEMTAX analysis, drastic shifts in the community were observed at 120 m depth at six hourly intervals. The oscillation between Flagellates (nanoplankton) to prokaryotes (picoplankton) and then to diatoms (microplankton) at this depth in three consecutive observations coincided with the significant variations in phosphate and nitrate concentrations, along with increase in abundance of the grazer community (dilates and heterotrophic dinoflagellates). From the present study, it is evident that the flagellate group is the ideal one to survive in such a complex regime. However, the observed small interval oscillation in the phytoplankton community could be a coupled effect of bottom-up (vertical advection that alters the nutrient flux), and top-down (increased abundance of microzooplankton) factors. (C) 2015 Published by Elsevier Ltd.</t>
  </si>
  <si>
    <t>[Naik, Ravidas Krishna; George, Jenson V.; Soares, Melena A.; Anilkumar, N.; Bhaskar, P. V.; Murukesh, Nuncio; Achuthankutty, C. T.] Natl Ctr Antarctic &amp; Ocean Res, Vasco Da Gama 403804, Goa, India; [Devi, Asha] Ctr Marine Living Resources &amp; Ecol, Kochi 682037, Kerala, India; [Roy, Rajdeep] CSIR Natl Inst Oceanog, Vasco Da Gama 403004, Goa, India</t>
  </si>
  <si>
    <t>Ministry of Earth Sciences (MoES) - India; National Centre for Polar and Ocean Research (NCPOR); Ministry of Earth Sciences (MoES) - India; Centre for Marine Living Resources &amp; Ecology (CMLRE); Council of Scientific &amp; Industrial Research (CSIR) - India; CSIR - National Institute of Oceanography (NIO)</t>
  </si>
  <si>
    <t>Naik, RK (corresponding author), Natl Ctr Antarctic &amp; Ocean Res, Vasco Da Gama 403804, Goa, India.</t>
  </si>
  <si>
    <t>ravi@ncaor.gov.in</t>
  </si>
  <si>
    <t>Roy, Rajdeep/G-7790-2011; NAIK, KARAMTOT KRISHNA/JBS-6669-2023; George, Jenson/GXH-1342-2022; Parli, Bhaskar/D-3652-2019</t>
  </si>
  <si>
    <t>NAIK, KARAMTOT KRISHNA/0000-0003-0165-2695; Parli, Bhaskar/0000-0002-0654-7520; ashadevi, cr/0000-0002-0885-0590; roy, rajdeep/0000-0001-5509-257X</t>
  </si>
  <si>
    <t>Ministry of Earth Sciences (MoES)</t>
  </si>
  <si>
    <t>We are grateful to Dr. S. Rajan, Director of the National Centre for Antarctic and Ocean Research (NCAOR) and Shri Rasik Ravindra, former Director, NCAOR, for their support and encouragement. We are thankful to Dr. V.V.S.S. Sarma and his students for their support in HPLC analysis. J. G. would like to thank Dr. Marcus Dengler, IFM-GEOMAR, for his valuable help in the processing of microprofiler data. We thank our colleagues in the Southern Ocean Group and all cruise participants for their help at various stages of the work. We acknowledge the funding support received from the Ministry of Earth Sciences (MoES) under the Southern Ocean Programme. RKN also acknowledges NF-POGO for providing training in HPLC pigment analysis. This is the NCAOR Contribution no. 04/2015.</t>
  </si>
  <si>
    <t>10.1016/j.dsr2.2015.01.002</t>
  </si>
  <si>
    <t>WOS:000360255400011</t>
  </si>
  <si>
    <t>Tripathya, SC; Pavithran, S; Sabu, P; Pillai, HUK; Dessai, DRG; Anilkurnar, N</t>
  </si>
  <si>
    <t>Tripathya, S. C.; Pavithran, S.; Sabu, P.; Pillai, H. U. K.; Dessai, D. R. G.; Anilkurnar, N.</t>
  </si>
  <si>
    <t>Deep chlorophyll maximum and primary productivity in Indian Ocean sector of the Southern Ocean: Case study in the Subtropical and Polar Front during austral summer 2011</t>
  </si>
  <si>
    <t>Primary productivity; Deep chlorophyll maximum; Shade flora; Southern Ocean</t>
  </si>
  <si>
    <t>ANTARCTIC CIRCUMPOLAR CURRENT; DISSOLVED IRON CONCENTRATIONS; ATMOSPHERIC CARBON-DIOXIDE; EASTERN ATLANTIC SECTOR; ZONE SOUTH; PHYTOPLANKTON PIGMENTS; COMMUNITY STRUCTURE; SEASONAL EVOLUTION; PACIFIC SECTOR; DRAKE PASSAGE</t>
  </si>
  <si>
    <t>To understand the implications of deep chlorophyll maximum (DCM) on primary productivity (PP), 3-hourly observations (over 72 h) were carried out at the Polar Front (PF) and the Subtropical Front (STF) of the Indian Ocean sector of Southern Ocean during the austral summer (February) 2011. Pronounced vertical variations in hydrographic parameters (temperature, salinity, density, dissolved oxygen) were observed between the fronts, whereas temporal (diurnal) variations of these parameters within the fronts were minimal during the study period. At the PF, a well-defined temperature minimum layer (TML), which is the winter residue of Antarctic Surface Water (AASW), was observed between 50 and 320 to. The DCM observed at the PF (similar to 75 m) was more prominent than that at the STF and coincided with the upper boundary of the TML The elevated chlorophyll a (Chi a) concentration in DCM is believed to result from the proliferation of the low-light adapted phytoplankton (shade flora). Due to the presence of a strong DCM the average column-integrated Chl a was nearly two times higher at the PF than at the STF yielding similar to 1.4 times higher column integrated PP (IPP) at the PF (211 mg C m(-2) d(-1)) compared to the STF (152 mg C m(-2) d(-1)). Higher Chl a and productivity at the PF was attributed to the dominance of diatoms as indicated from diagnostic pigment analysis by high performance liquid chromatography (HPLC). Owing to their higher sinking rate, the diatoms with sequestered CO2, would generate substantial export production/flux, thereby making the PF region as a sink for atmospheric CO2. (C) 2015 Elsevier Ltd. All rights reserved.</t>
  </si>
  <si>
    <t>[Tripathya, S. C.; Pavithran, S.; Sabu, P.; Dessai, D. R. G.; Anilkurnar, N.] Earth Syst Sci Org, Natl Ctr Antarctic &amp; Ocean Res, Minist Earth Sci, Vasco Da Gama 403804, Goa, India; [Pillai, H. U. K.] Earth Syst Sci Org, Ctr Marine Living Resources &amp; Ecol, Minist Earth Sci, Kochi 682037, Kerala, India</t>
  </si>
  <si>
    <t>Earth System Science Organization (ESSO); Ministry of Earth Sciences (MoES) - India; National Centre for Polar and Ocean Research (NCPOR); Ministry of Earth Sciences (MoES) - India; Centre for Marine Living Resources &amp; Ecology (CMLRE); Earth System Science Organization (ESSO)</t>
  </si>
  <si>
    <t>Tripathya, SC (corresponding author), Earth Syst Sci Org, Natl Ctr Antarctic &amp; Ocean Res, Minist Earth Sci, Vasco Da Gama 403804, Goa, India.</t>
  </si>
  <si>
    <t>sarat@ncaor.gov.in</t>
  </si>
  <si>
    <t>Tripathy, Dr. Sarat Chandra/0000-0002-2437-8660</t>
  </si>
  <si>
    <t>Financial assistance by Ministry of Earth Sciences, Government of India is deeply acknowledged. We thank the Director, NCAOR for his continuous encouragement and support. And also thank the captain, officers and all crew members onboard ORV-Sagar Nidhi for their extended assistance during the cruise. The help rendered from NCAOR staff for completion of this study is acknowledged, and valuable suggestions from Dr. C.T. Achuthankutty are appreciated. ASCAT data was obtained from apdrc, University of Hawaii. We are grateful to the two anonymous reviewers, whose comments led to substantial improvement of this manuscript. This is NCAOR contribution number 01/2015.</t>
  </si>
  <si>
    <t>10.1016/j.dsr2.2015.01.004</t>
  </si>
  <si>
    <t>WOS:000360255400012</t>
  </si>
  <si>
    <t>Shetye, SS; Mohan, R; Patil, S; Jena, B; Chacko, R; George, JV; Noronha, S; Singh, N; Priya, L; Sudhakar, M</t>
  </si>
  <si>
    <t>Shetye, Suhas S.; Mohan, Rahul; Patil, Shramik; Jena, Babula; Chacko, Racheal; George, Jenson V.; Noronha, Sharon; Singh, Neelu; Priya, Lakshmi; Sudhakar, Maruthadu</t>
  </si>
  <si>
    <t>Oceanic pCO2 in the Indian sector of the Southern Ocean during the austral summer-winter transition phase</t>
  </si>
  <si>
    <t>Southern Ocean; Fronts; Primary production; Redfield ratio</t>
  </si>
  <si>
    <t>CARBON-DIOXIDE; NORTH-ATLANTIC; ROSS SEA; PHYTOPLANKTON; VARIABILITY; SEAWATER; NITROGEN; ANTARCTICA; DYNAMICS; SILICON</t>
  </si>
  <si>
    <t>Biogeochemical processes in the Southern Ocean (SO) play a significant role in regulating the global climate. The physical and biological processes controlling pCO(2) in the surface mixed layer at the Indian sector of SO were observed, and changes during the transition period from summer to early winter (January, February and March) were compared. An existing, one-dimensional model describing the mixed-layer carbon cycle was used to determine the relative contributions of biological activity, mixing, thermal and air-sea fluxes on pCO(2). A breakdown of the controls shows that the pCO(2) distributions are dominated by biological processes during January and February, whereas mixing and thermal effects contributed equally during March. Biological processes accounting for pCO(2) decrease reached a maximum value of 108 mu atm during January. Our results are categorized according to distinct hydrographic regions such as oceanic fronts Sub-tropical front (STF), Sub-Antarctic front (SAF), Polar front (PF) and Antarctic zone (AZ). pCO(2) varied among these three studied months, the mean pCO(2) increasing from 286 mu atm in January to 337 mu atm in March, whereas an opposite trend was observed with dissolved oxygen (O-2). The satellite-derived Primary Production (PP) decreased from January to March and also from the STF towards the SAF, PF and AZ. The observed differences in PP and pCO(2) during the three months showed the total diatom count ranging from 0.49 x 10(3) cells/l in March to 3.2 x 10(3) cells/l in January. Our study indicates that the drawdown in sea-surface pCO(2) from March to January could be attributed to the light availability, shallow Mixed layer depth (MLD), high PP, nutrient availability, and low upwelling velocity. Eddies play an important role in regulating pCO(2) that require further studies to quantify their percentage contribution in pCO(2) rise/drawdown. (C) 2015 Elsevier Ltd. All rights reserved.</t>
  </si>
  <si>
    <t>[Shetye, Suhas S.; Priya, Lakshmi] Natl Inst Oceanog, Panaji 403004, Goa, India; [Shetye, Suhas S.; Mohan, Rahul; Patil, Shramik; Jena, Babula; Chacko, Racheal; George, Jenson V.; Noronha, Sharon; Singh, Neelu] Natl Ctr Antarctic &amp; Ocean Res, Headland Sada 403804, Goa, India; [Sudhakar, Maruthadu] Minist Earth Sci, New Delhi 110003, India</t>
  </si>
  <si>
    <t>Council of Scientific &amp; Industrial Research (CSIR) - India; CSIR - National Institute of Oceanography (NIO); Ministry of Earth Sciences (MoES) - India; National Centre for Polar and Ocean Research (NCPOR); Ministry of Earth Sciences (MoES) - India</t>
  </si>
  <si>
    <t>Shetye, SS (corresponding author), Natl Inst Oceanog, Panaji 403004, Goa, India.</t>
  </si>
  <si>
    <t>suhasshetye@gmail.com</t>
  </si>
  <si>
    <t>George, Jenson/GXH-1342-2022; Singh, Neelu/F-4628-2019</t>
  </si>
  <si>
    <t>Singh, Neelu/0000-0002-9428-6980; Patil, Shramik/0000-0001-8937-1403; Chacko, Racheal/0000-0002-0205-776X</t>
  </si>
  <si>
    <t>Ministry of Earth Sciences, Govt. of India</t>
  </si>
  <si>
    <t>The authors thank the anonymous reviewers for providing useful suggestions in improving the scientific content of the manuscript. They thank the Ministry of Earth Sciences, Govt. of India for funding the Southern Ocean Expedition. They gratefully acknowledge the help rendered by Dr. C.T. Achuthankutty in improving the presentation and quality of the manuscript. They wish to thank Dr. N. Anilkumar and Dr. Shailesh Pednekar, Chief Scientists of the Indian Southern Ocean Expeditions and, Dr. Rajesh Asthana, the Chief Scientist of Indian Antarctic Expedition for providing all the support and the numerous personnel aboard the R/V Academic Boris Petrov, ORV Sagar Nidhi and Ivan Papanin for assisting in sample collection. This is NCAOR contribution no. 20/2015.</t>
  </si>
  <si>
    <t>10.1016/j.dsr2.2015.05.017</t>
  </si>
  <si>
    <t>WOS:000360255400013</t>
  </si>
  <si>
    <t>Corbett, PA; King, CK; Mondon, JA</t>
  </si>
  <si>
    <t>Corbett, Patricia A.; King, Catherine K.; Mondon, Julie A.</t>
  </si>
  <si>
    <t>Application of a quantitative histological health index for Antarctic rock cod (Trematomus bernacchii) from Davis Station, East Antarctica</t>
  </si>
  <si>
    <t>Histological health index; Wastewater; Sewage; Biomarker; Gill; Liver; Histopathology</t>
  </si>
  <si>
    <t>CATFISH CLARIAS-GARIEPINUS; CELL GILL DISEASE; WASTE-WATER; PAGOTHENIA-BORCHGREVINKI; HISTOPATHOLOGICAL CHANGES; PHYSIOLOGICAL-RESPONSES; CHIONODRACO-HAMATUS; TELEOSTEAN FISH; GRANULE CELLS; LIVER</t>
  </si>
  <si>
    <t>A quantitative Histological Health Index (HHI) was applied to Antarctic rock cod (Trematomus bemacchii) using gill, liver, spleen, kidney and gonad to assess the impact of wastewater effluent from Davis Station, East Antarctica. A total of 120 fish were collected from 6 sites in the Prydz Bay region of East Antarctica at varying distances from the wastewater outfall. The HHI revealed a greater severity of alteration in fish at the wastewater outfall, which decreased stepwise with distance. Gill and liver displayed the greatest severity of alteration in fish occurring in close proximity to the wastewater outfall, showing severe and pronounced alteration respectively. Findings of the HHI add to a growing weight of evidence indicating that the current level of wastewater treatment at Davis Station is insufficient to prevent impact to the surrounding environment. The HHI for T. bernacchii developed in this study is recommended as a useful risk assessment tool for assessing in situ, sub-lethal impacts from station-derived contamination in coastal regions throughout Antarctica. (C) 2015 Elsevier Ltd. All rights reserved.</t>
  </si>
  <si>
    <t>[Corbett, Patricia A.; Mondon, Julie A.] Deakin Univ, Ctr Integrat Ecol, Sch Life &amp; Environm Sci, Warrnambool, Vic 3280, Australia; [King, Catherine K.] Australian Antarctic Div, Terr &amp; Nearshore Ecosyst, Kingston, Tas 7050, Australia</t>
  </si>
  <si>
    <t>Deakin University; Australian Antarctic Division</t>
  </si>
  <si>
    <t>Corbett, PA (corresponding author), Deakin Univ, Ctr Integrat Ecol, Sch Life &amp; Environm Sci, Warrnambool, Vic 3280, Australia.</t>
  </si>
  <si>
    <t>pcorbett@deakin.edu.au; cath.king@aad.gov.au; julie.mondon@deakin.edu.au</t>
  </si>
  <si>
    <t>King, Catherine K/0000-0003-3356-0381; Corbett, Patricia/0000-0002-0867-9113</t>
  </si>
  <si>
    <t>Australian Antarctic Science Grant [AAS 4177]; Centre of Integrative Ecology; Deakin University; Australian Research Council postgraduate scholarship</t>
  </si>
  <si>
    <t>Australian Antarctic Science Grant; Centre of Integrative Ecology; Deakin University; Australian Research Council postgraduate scholarship(Australian Research Council)</t>
  </si>
  <si>
    <t>The authors thank the Davis Station summer marine team of 2012/13 for assistance in field sample collection and laboratory assistance. We are very grateful to John Van den Hoff for facilitating collections around Davis Station and his explicit knowledge the area, including assistance choosing sample sites. This study was funded through an Australian Antarctic Science Grant (AAS 4177) to J. Mondon, with further support from the Centre of Integrative Ecology, Deakin University, and through an Australian Research Council postgraduate scholarship to P. Corbett.</t>
  </si>
  <si>
    <t>10.1016/j.marenvres.2015.05.011</t>
  </si>
  <si>
    <t>CQ3PH</t>
  </si>
  <si>
    <t>WOS:000360514300004</t>
  </si>
  <si>
    <t>Park, H; Ahn, DH</t>
  </si>
  <si>
    <t>Park, Hyun; Ahn, Do Hwan</t>
  </si>
  <si>
    <t>Complete mitochondrial genome of the Antarctic soft-shelled clam, Laternula elliptica (Bivalvia; Laternulidae)</t>
  </si>
  <si>
    <t>MITOCHONDRIAL DNA</t>
  </si>
  <si>
    <t>Antarctic; complete mitochondrial genome; Laternula elliptica</t>
  </si>
  <si>
    <t>The complete mitogenome of the Antarctic soft-shelled clam, Laternula elliptica was determined to be 14,622 bp in length, and to contain 13 protein coding genes (PCGs), 22 tRNA genes, and large (rrnL) and small (rrnS) rRNA genes. Its total A + T content is 55.09%. The L. elliptica mitogenome is the smallest one among those of bivalvia, due to the existence of relatively small intergenic non-coding sequences. All genes are transcribed from the light-strand as a template like bivalve taxa except Unionoidea.</t>
  </si>
  <si>
    <t>[Park, Hyun; Ahn, Do Hwan] Korea Polar Res Inst, Div Polar Life Sci, Inchon 406840, South Korea; [Park, Hyun; Ahn, Do Hwan] Univ Sci &amp; Technol, Div Polar Life Sci, Taejon, South Korea</t>
  </si>
  <si>
    <t>Korea Polar Research Institute (KOPRI); Korea Institute of Ocean Science &amp; Technology (KIOST)</t>
  </si>
  <si>
    <t>Park, H (corresponding author), Korea Polar Res Inst, Div Polar Life Sci, Inchon 406840, South Korea.</t>
  </si>
  <si>
    <t>hpark@kopri.re.kr</t>
  </si>
  <si>
    <t>Functional Genomics on Polar Organisms grant - Korea Polar Research Institute (KOPRI) [PE13020]</t>
  </si>
  <si>
    <t>Functional Genomics on Polar Organisms grant - Korea Polar Research Institute (KOPRI)</t>
  </si>
  <si>
    <t>The authors report no conflicts of interest. The authors alone are responsible for the content and writing of the paper. This work was supported by Functional Genomics on Polar Organisms grant (PE13020) funded by Korea Polar Research Institute (KOPRI).</t>
  </si>
  <si>
    <t>1940-1736</t>
  </si>
  <si>
    <t>1940-1744</t>
  </si>
  <si>
    <t>MITOCHONDR DNA</t>
  </si>
  <si>
    <t>Mitochondrial DNA</t>
  </si>
  <si>
    <t>10.3109/19401736.2013.836515</t>
  </si>
  <si>
    <t>Genetics &amp; Heredity</t>
  </si>
  <si>
    <t>CP7VW</t>
  </si>
  <si>
    <t>WOS:000360098200030</t>
  </si>
  <si>
    <t>Zhang, PY; Zhang, ZH; Wang, J; Cong, BL; Chen, KS; Liu, SH</t>
  </si>
  <si>
    <t>Zhang, Pengying; Zhang, Zhaohui; Wang, Jing; Cong, Bailin; Chen, Kaoshan; Liu, Shenghao</t>
  </si>
  <si>
    <t>A Novel Receptor-like Kinase (PnRLK-1) from the Antarctic Moss Pohlia nutans Enhances Salt and Oxidative Stress Tolerance</t>
  </si>
  <si>
    <t>PLANT MOLECULAR BIOLOGY REPORTER</t>
  </si>
  <si>
    <t>Abiotic stress; Bryophyte; Protein kinase; Phenotype; Psychrophile</t>
  </si>
  <si>
    <t>ABSCISIC-ACID; ABIOTIC STRESS; GENE FAMILY; PHYSCOMITRELLA-PATENS; ARABIDOPSIS-THALIANA; EXPRESSION ANALYSIS; HYDROGEN-PEROXIDE; DROUGHT TOLERANCE; PROTEIN-KINASES; INNATE IMMUNITY</t>
  </si>
  <si>
    <t>Plant receptor-like kinases (RLKs) are a group of conserved signaling components that regulate developmental programs and responses to biotic and abiotic stresses. However, only limited information is available on the functions of RLKs in bryophytes. Here, we described the isolation and functional characterization of a RLK gene (PnRLK-1) from the Antarctic moss Pohlia nutans. Sequence alignment and phylogenetic analysis showed that PnRLK-1 was homologous to the cytoplasmic-type RLKs. In addition, subcellular localization analysis in which the transient expression of PnRLK1-green fluorescent protein was observed in Arabidopsis thaliana mesophyll protoplasts revealed that PnRLK-1 was localized mainly in cytoplasm and a little on plasma membrane. Real-time PCR analysis showed that PnRLK-1 transcriptions were upregulated by mock cold, drought, high salinity, and exogenously supplied abscisic acid (ABA) or methyl jasmonate (MeJA). Overexpression of PnRLK-1 in transgenic Arabidopsis resulted in enhanced plant tolerance to high salinity and H2O2 stresses, and increased plant sensitivity to ABA. Furthermore, the expression levels of stress-responsive genes in transgenic Arabidopsis were also upregulated, including the genes of ABA-dependent signaling pathway (AtABI4, AtABI5, and AtMYB2) and reactive oxygen species (ROS)-scavenging enzymes (AtAPX1, AtZAT10, and AtCAT1). Therefore, we proposed that PnRLK-1 was a novel RLK involving in the adaptation of the Antarctic moss to the polar environment, increasing the salt and oxidative tolerance as well as the ABA sensitivity.</t>
  </si>
  <si>
    <t>[Zhang, Pengying; Wang, Jing; Chen, Kaoshan; Liu, Shenghao] Shandong Univ, Natl Glycoengn Res Ctr, Jinan 250100, Peoples R China; [Zhang, Pengying; Wang, Jing; Chen, Kaoshan; Liu, Shenghao] Shandong Univ, Coll Life Sci, Jinan 250100, Peoples R China; [Zhang, Zhaohui; Cong, Bailin; Liu, Shenghao] State Ocean Adm, Inst Oceanog 1, Marine Ecol Res Ctr, Qingdao 266061, Peoples R China</t>
  </si>
  <si>
    <t>Shandong University; Shandong University; First Institute of Oceanography, Ministry of Natural Resources</t>
  </si>
  <si>
    <t>Liu, SH (corresponding author), State Ocean Adm, Inst Oceanog 1, Marine Ecol Res Ctr, Qingdao 266061, Peoples R China.</t>
  </si>
  <si>
    <t>shliu@fio.org.cn</t>
  </si>
  <si>
    <t>Liu, Shenghao/ISU-3076-2023; jing, wang/KCZ-2144-2024</t>
  </si>
  <si>
    <t>Liu, Shenghao/0000-0002-1449-3526;</t>
  </si>
  <si>
    <t>National Natural Science Foundation of China [41206176, 41476174]; Basic Scientific Research Foundation of FIO [2014T04]; Chinese Polar Environment Comprehensive Investigation &amp; Assessment Programmes [CHINARE2013-01-06]</t>
  </si>
  <si>
    <t>National Natural Science Foundation of China(National Natural Science Foundation of China (NSFC)); Basic Scientific Research Foundation of FIO; Chinese Polar Environment Comprehensive Investigation &amp; Assessment Programmes</t>
  </si>
  <si>
    <t>This work was supported by the National Natural Science Foundation of China (41206176 and 41476174), Basic Scientific Research Foundation of FIO (2014T04), and Chinese Polar Environment Comprehensive Investigation &amp; Assessment Programmes (CHINARE2013-01-06).</t>
  </si>
  <si>
    <t>0735-9640</t>
  </si>
  <si>
    <t>1572-9818</t>
  </si>
  <si>
    <t>PLANT MOL BIOL REP</t>
  </si>
  <si>
    <t>Plant Mol. Biol. Rep.</t>
  </si>
  <si>
    <t>10.1007/s11105-014-0823-0</t>
  </si>
  <si>
    <t>Biochemical Research Methods; Plant Sciences</t>
  </si>
  <si>
    <t>Biochemistry &amp; Molecular Biology; Plant Sciences</t>
  </si>
  <si>
    <t>CQ1XA</t>
  </si>
  <si>
    <t>WOS:000360392400034</t>
  </si>
  <si>
    <t>Hellmann, L; Tegel, W; Kirdyanov, AV; Eggertsson, O; Esper, J; Agafonov, L; Nikolaev, AN; Knorre, AA; Myglan, VS; Churakova, O; Schweingruber, FH; Nievergelt, D; Verstege, A; Büntgen, U</t>
  </si>
  <si>
    <t>Hellmann, Lena; Tegel, Willy; Kirdyanov, Alexander V.; Eggertsson, Olafur; Esper, Jan; Agafonov, Leonid; Nikolaev, Anatoly N.; Knorre, Anastasia A.; Myglan, Vladimir S.; Churakova (Sidorova), Olga; Schweingruber, Fritz H.; Nievergelt, Daniel; Verstege, Anne; Buentgen, Ulf</t>
  </si>
  <si>
    <t>Timber logging in central Siberia is the main source for recent Arctic driftwood</t>
  </si>
  <si>
    <t>ARCTIC ANTARCTIC AND ALPINE RESEARCH</t>
  </si>
  <si>
    <t>TREE-RING WIDTH; SEA-ICE; ORIGIN; WATER; IMPACT; NORTH; CHRONOLOGY; INDICATOR; DISCHARGE; RECORD</t>
  </si>
  <si>
    <t>Recent findings indicated spruce from North America and larch from eastern Siberia to be the dominating tree species of Arctic driftwood throughout the Holocene. However, changes in source region forest and river characteristics, as well as ocean current dynamics and sea ice extent likely influence its spatiotemporal composition. Here, we present 2556 driftwood samples from Greenland, Iceland, Svalbard, and the Faroe Islands. A total of 498 out of 969 Pinus sylvestris ring width series were cross-dated at the catchment level against a network of Eurasian boreal reference chronologies. The central Siberian Yenisei and Angara Rivers account for 91% of all dated pines, with their outermost rings dating between 1804 and 1999. Intensified logging and timber rafting along the Yenisei and Angara in the mid-20th century, together with high discharge rates, explain the vast quantity of material from this region and its temporal peak ca. 1960. Based on the combined application of wood-anatomical and dendrochronological techniques on a well-replicated data set, our results question the assumption that Arctic driftwood mainly consists of millennial-old larch and spruce. Nevertheless, data from other species and regions, together with longer boreal reference chronologies, are needed for generating reliable proxy archives at the interface of marine and terrestrial environments.</t>
  </si>
  <si>
    <t>[Hellmann, Lena; Schweingruber, Fritz H.; Nievergelt, Daniel; Verstege, Anne; Buentgen, Ulf] WSL, Swiss Fed Res Inst, CH-8903 Birmensdorf, Switzerland; [Hellmann, Lena; Buentgen, Ulf] Oeschger Ctr Climate Change Res, CH-3012 Bern, Switzerland; [Tegel, Willy] Univ Freiburg, Inst Forest Sci IWW, D-79106 Freiburg, Germany; [Kirdyanov, Alexander V.] VN Sukachev Inst Forest SB RAS, Krasnoyarsk 660036, Russia; [Eggertsson, Olafur] Iceland Forest Serv, IS-116 Reykjavik, Iceland; [Esper, Jan] Johannes Gutenberg Univ Mainz, D-55128 Mainz, Germany; [Agafonov, Leonid] Inst Plant &amp; Anim Ecol UD RAS, Ekaterinburg 620144, Russia; [Nikolaev, Anatoly N.] North Eastern Fed Univ, Yakutsk 677000, Russia; [Nikolaev, Anatoly N.] Melnikov Permafrost Inst, Yakutsk 677010, Russia; [Knorre, Anastasia A.] Stolby Natl Wildlife Nat Reserve, Krasnoyarsk 660006, Russia; [Myglan, Vladimir S.] Siberian Fed Univ, Krasnoyarsk 660041, Russia; [Churakova (Sidorova), Olga] Swiss Fed Inst Technol, Inst Terr Ecosyst, CH-8092 Zurich, Switzerland; [Buentgen, Ulf] Global Change Res Ctr AS CR, Brno 60300, Czech Republic</t>
  </si>
  <si>
    <t>Swiss Federal Institutes of Technology Domain; Swiss Federal Institute for Forest, Snow &amp; Landscape Research; University of Bern; University of Freiburg; Russian Academy of Sciences; Krasnoyarsk Science Center of the Siberian Branch of the Russian Academy of Sciences; Sukachev Institute of Forest, Siberian Branch, Russian Academy of Sciences; Johannes Gutenberg University of Mainz; Russian Academy of Sciences; Institute of Plant &amp; Animal Ecology of the Russian Academy of Sciences; North-Eastern Federal University in Yakutsk; Melnikov Permafrost Institute, Siberian Branch of the RAS; Siberian Federal University; Swiss Federal Institutes of Technology Domain; ETH Zurich; Czech Academy of Sciences; Global Change Research Centre of the Czech Academy of Sciences</t>
  </si>
  <si>
    <t>Hellmann, L (corresponding author), WSL, Swiss Fed Res Inst, Zurcherstr 111, CH-8903 Birmensdorf, Switzerland.</t>
  </si>
  <si>
    <t>lena.hellmann@wsl.ch; buentgen@wsl.ch</t>
  </si>
  <si>
    <t>Churakova, Olga V./J-9460-2016; Kirdyanov, A/J-6789-2013; buentgen, ulf/J-6952-2013; Knorre, Anastasia/ABB-8057-2021; Tegel, Willy/M-8187-2014; Agafonov, Leonid/AAD-5891-2020; Myglan, Vladimir/S-7088-2018; Agafonov, Leonid/O-7755-2014; Churakova, Olga V/S-9167-2018; Nikolaev, Anatoly Nikolaevich/ABI-1877-2020; Daniel, Nievergelt/J-7156-2012; Esper, Jan/O-3127-2018</t>
  </si>
  <si>
    <t>Kirdyanov, A/0000-0002-6797-4964; Agafonov, Leonid/0000-0003-4595-4978; Myglan, Vladimir/0000-0002-5268-653X; Agafonov, Leonid/0000-0003-4595-4978; Churakova, Olga V/0000-0002-1687-1201; Nikolaev, Anatoly Nikolaevich/0000-0003-2270-2049; Eggertsson, Olafur/0000-0002-7807-3539; Tegel, Willy/0000-0003-4707-2848; Daniel, Nievergelt/0000-0003-0402-9348; Esper, Jan/0000-0003-3919-014X</t>
  </si>
  <si>
    <t>Eva Mayr-Stihl Foundation; Swiss Federal Research Institute WSL; Czech project Building up a multidisciplinary scientific team focused on drought [CZ.1.07/2.3.00/20.0248]; Russian Science Foundation [14-14-00295]; Russian Science Foundation [14-14-00295] Funding Source: Russian Science Foundation</t>
  </si>
  <si>
    <t>Eva Mayr-Stihl Foundation; Swiss Federal Research Institute WSL; Czech project Building up a multidisciplinary scientific team focused on drought; Russian Science Foundation(Russian Science Foundation (RSF)); Russian Science Foundation(Russian Science Foundation (RSF))</t>
  </si>
  <si>
    <t>This study is part of the ongoing DW project supported by the Eva Mayr-Stihl Foundation and the Swiss Federal Research Institute WSL. Additional support was received from the Czech project Building up a multidisciplinary scientific team focused on drought (No. CZ.1.07/2.3.00/20.0248). V. Trotsiuk and L. Hulsmann provided technical support. J. Ejdesgaard and E. av Kak collected DW samples on the Faroe Islands, and D. Galvan and F. Charpentier contributed to discussion. Tree-ring data for Siberia were partly assembled under the Russian Science Foundation project 14-14-00295. We are thankful to all ITRDB contributors. We thank three anonymous reviewers and A. Jennings for helpful and constructive comments.</t>
  </si>
  <si>
    <t>1523-0430</t>
  </si>
  <si>
    <t>1938-4246</t>
  </si>
  <si>
    <t>ARCT ANTARCT ALP RES</t>
  </si>
  <si>
    <t>Arct. Antarct. Alp. Res.</t>
  </si>
  <si>
    <t>10.1657/AAAR0014-063</t>
  </si>
  <si>
    <t>Environmental Sciences; Geography, Physical</t>
  </si>
  <si>
    <t>CP2AK</t>
  </si>
  <si>
    <t>WOS:000359679000003</t>
  </si>
  <si>
    <t>Hein, N; Feilhauer, H; Löffler, J; Finch, OD</t>
  </si>
  <si>
    <t>Hein, Nils; Feilhauer, Hannes; Loeffler, Joerg; Finch, Oliver-D.</t>
  </si>
  <si>
    <t>Elevational variation of reproductive traits in five Pardosa (Lycosidae) species</t>
  </si>
  <si>
    <t>LIFE-HISTORY; EGG SIZE; ALTITUDINAL VARIATION; CLUTCH SIZE; BODY-SIZE; LOCAL ADAPTATION; SPIDERS ARANEAE; OFFSPRING SIZE; FECUNDITY; PATTERNS</t>
  </si>
  <si>
    <t>Differentiations in reproductive traits along climatic gradients can be substantial for a species to spread along a wide spatial range. We compared the reproductive effort allocated to first egg sacs of five species of the genus Pardosa: P. palustris (Linnaeus 1758), P. amentata (Clerck 1757), P. lugubris (Walckenaer 1802), P. hyperborea (Thorell 1872), and P. riparia (C. L. Koch 1833) along three elevation transects in central Norway. We tested whether population differences are consistent among the three transects, respectively along the elevational gradient. We assumed that the harsh environments of alpine areas would lead to adaptations in reproductive traits resulting in larger eggs but smaller clutches at higher elevations. The results show that female size and egg number were positively correlated among all species. However, no clear elevation-related trend was found. Other traits did not change consistently between species and along the elevational gradient. We assume that local microclimatic impacts on spider fitness are a crucial but poorly understood factor. Without further knowledge about adaptation and phenotypic plasticity in ectotherms, modeling of possible future reproduction biology might remain flawed.</t>
  </si>
  <si>
    <t>[Hein, Nils; Loeffler, Joerg] Univ Bonn, Dept Geog, D-53115 Bonn, Germany; [Feilhauer, Hannes] Univ Erlangen Nurnberg, Dept Geog, D-91058 Erlangen, Germany</t>
  </si>
  <si>
    <t>University of Bonn; University of Erlangen Nuremberg</t>
  </si>
  <si>
    <t>Hein, N (corresponding author), Univ Bonn, Dept Geog, Meckenheimer Allee 166, D-53115 Bonn, Germany.</t>
  </si>
  <si>
    <t>nhein@uni-bonn.de</t>
  </si>
  <si>
    <t>Löffler, Jörg/ITU-3817-2023</t>
  </si>
  <si>
    <t>Loffler, Jorg/0000-0002-9320-6168; Feilhauer, Hannes/0000-0001-5758-6303</t>
  </si>
  <si>
    <t>Color Line AS, Oslo</t>
  </si>
  <si>
    <t>Special thanks to Professor Ole Kristian Berg (Norwegian University of Science and Technology, Trondheim) for technical and material support in Norway. Thanks to Matthias Muhlen (Munster) for his extremely useful technical solutions. The study received financial support from Color Line AS, Oslo.</t>
  </si>
  <si>
    <t>10.1657/AAAR0013-111</t>
  </si>
  <si>
    <t>WOS:000359679000005</t>
  </si>
  <si>
    <t>Schide, KH; Munroe, JS</t>
  </si>
  <si>
    <t>Schide, Katherine H.; Munroe, Jeffrey S.</t>
  </si>
  <si>
    <t>Alpine soil parent materials and pedogenesis in the Presidential Range of New Hampshire, USA</t>
  </si>
  <si>
    <t>MOUNT WASHINGTON; HISTORY; MANSFIELD; VERMONT</t>
  </si>
  <si>
    <t>Previous work has explored the contribution of bedrock weathering to soil formation in alpine environments of the northeastern United States. In contrast, the role of surficial sediments as a parent material has received little attention. This study investigated the development of alpine soils in relation to surficial sediments and bedrock in part of the Presidential Range of the White Mountains, New Hampshire, U.S.A. Published mapping of the study area indicates that five contrasting bedrock units are thinly mantled by glacial sediment, providing the opportunity to evaluate the relative importance of these two potential soil parent materials. Samples collected from 25 pedons were analyzed for a variety of physical, chemical, and mineralogical properties. Soil profiles have distinct Oa, A, Bw, and BC horizons. X-ray diffraction analysis reveals the presence of chlorite in soils above all bedrock formations, despite the absence of this mineral in several bedrock types. Trace element concentrations are relatively uniform for all soils with no clear relationship to underlying bedrock. Differences in median grain size are significant in soils over different bedrock formations; however, extractable cations, cation exchange capacity, exchangeable acidity, and other soil properties exhibit no significant differences. The overall similarity of soils above strongly contrasting bedrock formations indicates that these soils are forming in a homogenous mantle of glacial sediment deposited in the late Wisconsin, and that bedrock weathering does not contribute to pedogenesis to measurable degree in this setting. Preservation of glacial sediment in the study area may be a function of the amount originally deposited, reduced erosion rates on relatively gentle slopes, or another unidentified factor.</t>
  </si>
  <si>
    <t>[Schide, Katherine H.; Munroe, Jeffrey S.] Middlebury Coll, Dept Geol, Middlebury, VT 05753 USA</t>
  </si>
  <si>
    <t>Munroe, JS (corresponding author), Middlebury Coll, Dept Geol, 276 Bicentennial Way, Middlebury, VT 05753 USA.</t>
  </si>
  <si>
    <t>jmunroe@middlebury.edu</t>
  </si>
  <si>
    <t>Schide, Katherine/0000-0001-7289-3854</t>
  </si>
  <si>
    <t>Middlebury College</t>
  </si>
  <si>
    <t>Support for this work was provided by Middlebury College. The authors appreciate the hospitality of the Fall 2013 Lakes of the Clouds hut croo. Permission to collect samples was granted by the White Mountain National Forest, file code 2720. Dan Muhs and an anonymous reviewer provided thoughtful reviews.</t>
  </si>
  <si>
    <t>10.1657/AAAR0014-052</t>
  </si>
  <si>
    <t>WOS:000359679000006</t>
  </si>
  <si>
    <t>Xi, Y; Zhang, T; Zhang, YJ; Zhu, JT; Zhang, GL; Jiang, YB</t>
  </si>
  <si>
    <t>Xi, Yi; Zhang, Tao; Zhang, Yangjian; Zhu, Juntao; Zhang, Geli; Jiang, Yanbin</t>
  </si>
  <si>
    <t>Nitrogen addition alters the phenology of a dominant alpine plant in northern Tibet</t>
  </si>
  <si>
    <t>REPRODUCTIVE PHENOLOGY; CLIMATE-CHANGE; FLOWERING PHENOLOGY; MINERAL-NUTRITION; RESPONSES; TEMPERATURE; ALLOCATION; REDUCTION; PATTERNS; PLATEAU</t>
  </si>
  <si>
    <t>Among the various plant traits, phenology is one of the most sensitive to environmental changes. Nitrogen (N) has been reported to be an important factor constraining plant growth, while N deposition is an increasing concern due to social and economic development. However, studies exploring influences of atmospheric N deposition on alpine plant phenology have been barely reported. We conducted a N addition gradient experiment in an alpine meadow on the plateau to examine plants' phenological response. The results suggest that N addition plays an important role in regulating plant phenology, but only for the dominant species; specifically, the budding time of Kobresia pygmaea advanced in response to N addition. The prolonged lengths of flower phase and reproductive period of K. pygmaea were mainly ascribed to an earlier start of the growing season and more resources being allocated to reproductive growth in the N-rich soil. The N addition caused no effect on the phenology of the accompanying species. There were no obvious phenology differences among each N addition treatment. The earlier budding time and the prolonged growing season of the dominant species in response to the N addition means a longer provision duration of food sources to local herders, which can facilitate local economic development.</t>
  </si>
  <si>
    <t>[Xi, Yi; Zhang, Tao; Zhang, Yangjian; Zhu, Juntao; Zhang, Geli; Jiang, Yanbin] Chinese Acad Sci, Key Lab Ecosyst Network Observat &amp; Modeling, Inst Geog Sci &amp; Nat Resources Res, Lhasa Stn, Beijing 100101, Peoples R China; [Xi, Yi; Zhang, Tao; Zhang, Yangjian; Zhu, Juntao; Zhang, Geli; Jiang, Yanbin] Chinese Acad Sci, Ctr Excellence Tibetan Plateau Earth Sci, Beijing 100101, Peoples R China; [Xi, Yi; Zhang, Tao] Univ Chinese Acad Sci, Beijing 100049, Peoples R China</t>
  </si>
  <si>
    <t>Chinese Academy of Sciences; Institute of Geographic Sciences &amp; Natural Resources Research, CAS; Chinese Academy of Sciences; Chinese Academy of Sciences; University of Chinese Academy of Sciences, CAS</t>
  </si>
  <si>
    <t>Zhang, T (corresponding author), Chinese Acad Sci, Key Lab Ecosyst Network Observat &amp; Modeling, Inst Geog Sci &amp; Nat Resources Res, Lhasa Stn, 11A Datun Rd, Beijing 100101, Peoples R China.</t>
  </si>
  <si>
    <t>zhangt.11b@igsnrr.ac.cn; zhangyj@igsnrr.ac.cn</t>
  </si>
  <si>
    <t>Zhang, Geli/O-2641-2013</t>
  </si>
  <si>
    <t>Zhang, Tao/0000-0002-7703-4263</t>
  </si>
  <si>
    <t>Ministry of Science and Technology of China [2013CB956302]; Chinese Academy of Sciences; National Natural Science Foundation of China [31300356, 41201055]</t>
  </si>
  <si>
    <t>Ministry of Science and Technology of China(Ministry of Science and Technology, China); Chinese Academy of Sciences(Chinese Academy of Sciences); National Natural Science Foundation of China(National Natural Science Foundation of China (NSFC))</t>
  </si>
  <si>
    <t>This research is supported by the 973 Program (2013CB956302) of the Ministry of Science and Technology of China, One Hundred Talents Program of Chinese Academy of Sciences, and National Natural Science Foundation of China (31300356, 41201055).</t>
  </si>
  <si>
    <t>10.1657/AAAR0014-054</t>
  </si>
  <si>
    <t>WOS:000359679000009</t>
  </si>
  <si>
    <t>Stafl, N; O'Connor, MI</t>
  </si>
  <si>
    <t>Stafl, Natalie; O'Connor, Mary I.</t>
  </si>
  <si>
    <t>American pikas' (Ochotona princeps) foraging response to hikers and sensitivity to heat in an alpine environment</t>
  </si>
  <si>
    <t>FLIGHT INITIATION DISTANCE; COLLARED PIKAS; PREDATION RISK; HUMAN EXPOSURE; BEHAVIOR; CLIMATE; METAANALYSIS; DISTURBANCE; POPULATION; RECREATION</t>
  </si>
  <si>
    <t>Optimal foraging theory predicts tradeoffs in animals balancing net energy intake and predator avoidance. In particular, overall foraging activity could be low if (1) perception of predation risk is high or (2) abiotic conditions are suboptimal. American pikas (Ochotona princeps) are small, food-hoarding mammals whose foraging opportunities are restricted by heat and risk of predation. If hiking disturbance is perceived by pikas as predation risk, it could reduce the amount of food stored overwinter, possibly affecting survival. We simulated hiker disturbance events for 48 pikas in Mount Revelstoke and Glacier National Parks, British Columbia, to estimate foraging time lost due to hikers. We tested risk avoidance hypotheses using four indicators of risk behavior: alert distance (D-A), flight initiation distance (D-F), exit delay (T-E), and delay in return to forage (T-R). All hiker disturbance events elicited antipredator behaviors in foraging pikas and reduced foraging time; however, when compared to increasing temperatures over 4-6 hour observation periods, the latter best predicted a reduction in pikas' foraging activity. For every 1 degrees C increase in temperature, pika foraging activity decreased by 3%. Pikas near trails (&lt; 50 m) lost an average of 4.1 (SE = 0.6) minutes of foraging time per disturbance event compared to 13.2 (SE = 1.7) minutes lost by pikas with territories &gt; 100 m away from trails. Such differences might reflect habituation in pikas undergoing frequent disturbance. Monitoring pika populations for declines would be sensible given projected trends in warming climate and potential increases in hiking traffic.</t>
  </si>
  <si>
    <t>[Stafl, Natalie; O'Connor, Mary I.] Univ British Columbia, Dept Zool, Vancouver, BC V6T 1Z4, Canada</t>
  </si>
  <si>
    <t>University of British Columbia</t>
  </si>
  <si>
    <t>Stafl, N (corresponding author), POB 2172, Revelstoke, BC V0E 2S0, Canada.</t>
  </si>
  <si>
    <t>stafl@zoology.ubc.ca</t>
  </si>
  <si>
    <t>O'Connor, Mary/R-2933-2019; O'Connor, Mary I/F-2275-2010</t>
  </si>
  <si>
    <t>O'Connor, Mary I/0000-0001-9583-1592</t>
  </si>
  <si>
    <t>Natural Science and Engineering Research Council (NSERC); Alpine Club of Canada; University of British Columbia Zoology Department</t>
  </si>
  <si>
    <t>Natural Science and Engineering Research Council (NSERC)(Natural Sciences and Engineering Research Council of Canada (NSERC)); Alpine Club of Canada; University of British Columbia Zoology Department</t>
  </si>
  <si>
    <t>We would like to gratefully acknowledge support from our funders: the Natural Science and Engineering Research Council (NSERC), the Alpine Club of Canada, the University of British Columbia Zoology Department, as well as the Parks Canada Agency for their in-kind support. Advisors P. Arcese and C. Harley provided valuable input on this manuscript. Finally, this field work would not have been possible without the hard work of field assistants and volunteers: M. Martin-Preney, K. Loewen, C. Edwards, L. Stafl, B. Johnson, and J. Maddison.</t>
  </si>
  <si>
    <t>INST ARCTIC ALPINE RES</t>
  </si>
  <si>
    <t>UNIV COLORADO, BOULDER, CO 80309 USA</t>
  </si>
  <si>
    <t>10.1657/AAAR0014-057</t>
  </si>
  <si>
    <t>WOS:000359679000010</t>
  </si>
  <si>
    <t>Jantze, EJ; Laudon, H; Dahlke, HE; Lyon, SW</t>
  </si>
  <si>
    <t>Jantze, E. J.; Laudon, H.; Dahlke, H. E.; Lyon, S. W.</t>
  </si>
  <si>
    <t>Spatial variability of dissolved organic and inorganic carbon in subarctic headwater streams</t>
  </si>
  <si>
    <t>BOREAL CATCHMENTS; AQUATIC CONDUIT; CLIMATE-CHANGE; WATER; FLUXES; PERMAFROST; EXPORT; CO2; CHEMISTRY; DYNAMICS</t>
  </si>
  <si>
    <t>The subarctic landscape is composed of a complex mosaic of vegetation, geology and topography, which control both the hydrology and biogeochemistry of streams across space and time. We present a synoptic sampling campaign that aimed to estimate dissolved C export variability under low-flow conditions from a subarctic landscape. The results included measurements of stream discharge and concentrations of both dissolved organic carbon (DOC), dissolved inorganic carbon (DIC), and carbon dioxide (CO2) for 32 subcatchments of the Abiskojokka catchment in northern Sweden. For these subarctic headwater streams, we found that DOC, DIC and CO2 concentrations showed significant variability (p &lt; 0.05) relative to catchment size, discharge, specific discharge, lithology, electrical conductivity, weathering products, and the estimated travel time of water through the subcatchment. Our results indicate that neither vegetation cover nor lithology alone could explain the concentrations and mass flux rates of DOC and DIC. Instead, we found that mass flux rates of DOC, DIC, and CO2 depended mainly on specific discharge and water travel time. Furthermore, our results demonstrate the importance of studying lateral carbon transport in combination with hydrological flow paths at small scales to establish a knowledge foundation applicable for expected carbon cycle and hydroclimatic shifts due to climate change.</t>
  </si>
  <si>
    <t>[Jantze, E. J.; Lyon, S. W.] Stockholm Univ, Phys Geog &amp; Quaternary Geol, S-10691 Stockholm, Sweden; [Jantze, E. J.; Lyon, S. W.] Stockholm Univ, Bolin Ctr Climate Res, S-10691 Stockholm, Sweden; [Laudon, H.] Swedish Univ Agr Sci, Dept Forest Ecol &amp; Management, S-90183 Umea, Sweden; [Dahlke, H. E.] Univ Calif Davis, Dept Land Air &amp; Water Resources, Davis, CA 95616 USA</t>
  </si>
  <si>
    <t>Stockholm University; Stockholm University; Swedish University of Agricultural Sciences; University of California System; University of California Davis</t>
  </si>
  <si>
    <t>Lyon, SW (corresponding author), Stockholm Univ, Phys Geog &amp; Quaternary Geol, S-10691 Stockholm, Sweden.</t>
  </si>
  <si>
    <t>steve.lyon@natgeo.su.se</t>
  </si>
  <si>
    <t>Lyon, Steve/AAL-9358-2021; Dahlke, Helen/A-5561-2012; Laudon, Hjalmar/J-3074-2013</t>
  </si>
  <si>
    <t>Lyon, Steve/0000-0002-1137-648X; Dahlke, Helen/0000-0001-8757-6982; Laudon, Hjalmar/0000-0001-6058-1466</t>
  </si>
  <si>
    <t>Swedish Society for Anthropology and Geography; ForWater (FORMAS) research program</t>
  </si>
  <si>
    <t>The Swedish Society for Anthropology and Geography provided financial support for this research with some contribution from the ForWater (FORMAS) research program. We would like to thank the staff at Abisko Scientific Research Station; our colleagues Alexander Kessler, Anthony Salvucci, Ida Taberman, and Asa Boily for great field and laboratory work; and lastly Carl-Magnus Morth for helpful comments and laboratory work. In addition, we thank the three anonymous reviewers and the editor for their helpful comments.</t>
  </si>
  <si>
    <t>10.1657/AAAR0014-044</t>
  </si>
  <si>
    <t>WOS:000359679000011</t>
  </si>
  <si>
    <t>Narita, K; Harada, K; Saito, K; Sawada, Y; Fukuda, M; Tsuyuzaki, S</t>
  </si>
  <si>
    <t>Narita, Kenji; Harada, Koichiro; Saito, Kazuyuki; Sawada, Yuki; Fukuda, Masami; Tsuyuzaki, Shiro</t>
  </si>
  <si>
    <t>Vegetation and permafrost thaw depth 10 years after a tundra fire in 2002, Seward Peninsula, Alaska</t>
  </si>
  <si>
    <t>ACTIVE-LAYER THICKNESS; ARCTIC TUNDRA; CLIMATE-CHANGE; CARBON BALANCE; BOREAL FOREST; RESPONSES; RECOVERY</t>
  </si>
  <si>
    <t>The recovery of tundra vegetation and the depth of permafrost thaw were observed on the Seward Peninsula, Alaska, the site of a wildfire in 2002. The study compared the vegetation in burned and adjacent unburned tundra from 5 to 10 years post-fire. The effects of the fire on the vegetation varied between species and were spatially variable at the stand scale. The cover of evergreen shrubs, bryophytes, and lichens was still drastically decreased 5 years after the fire and had not recovered even 10 years after the fire. By contrast, the cover of graminoids, especially Eriophorum vaginatum, and of the deciduous shrub Vaccinium uliginosum increased. The depth of permafrost thaw increased, and its spatial pattern was related to vegetation structure; specifically, deeper thaw corresponded to graminoid-rich areas, and shallower thaw corresponded to shrub-rich areas. As the E. vaginatum cover increased, the thaw depth recovered to that of the unburned area, and the spatial variation had disappeared 10 years after the fire. Our results indicate that both the prefire vegetation structure and the differences in the regrowth properties between species play important roles in the early stage of tundra ecosystem recovery after wildfire. Our findings also show that the favorable growing conditions related to deeper thaw do not last long.</t>
  </si>
  <si>
    <t>[Narita, Kenji] Akita Univ, Fac Educ &amp; Human Studies, Akita 0100862, Japan; [Harada, Koichiro] Miyagi Univ, Sch Food Agr &amp; Environm Sci, Sendai, Miyagi 9820215, Japan; [Saito, Kazuyuki] Japan Agcy Marine Earth Sci &amp; Technol, Yokosuka, Kanagawa 2360001, Japan; [Sawada, Yuki; Fukuda, Masami] Fukuyama City Univ, Fac Urban Management, Fukuyama, Hiroshima 7210964, Japan; [Tsuyuzaki, Shiro] Hokkaido Univ, Grad Sch Environm Earth Sci, Sapporo, Hokkaido 0600810, Japan</t>
  </si>
  <si>
    <t>Akita University; Miyagi University; Japan Agency for Marine-Earth Science &amp; Technology (JAMSTEC); Hokkaido University</t>
  </si>
  <si>
    <t>Narita, K (corresponding author), Akita Univ, Fac Educ &amp; Human Studies, Akita 0100862, Japan.</t>
  </si>
  <si>
    <t>knarita@ed.akita-u.ac.jp</t>
  </si>
  <si>
    <t>Tsuyuzaki, Shiro/F-9090-2012; Harada, Koichiro/GQI-1939-2022</t>
  </si>
  <si>
    <t>Tsuyuzaki, Shiro/0000-0003-3010-8699;</t>
  </si>
  <si>
    <t>International Arctic Research Center (IARC)/Japan Aerospace Exploration Agency (JAXA)</t>
  </si>
  <si>
    <t>We express our sincere thanks to the anonymous reviewers for improving this manuscript and to professors L. Hinzman, R. Busey, A. Liljedahl, and K. Yoshikawa of the University of Alaska at Fairbanks for their support with the fieldwork. This work was partially supported by grants from the International Arctic Research Center (IARC)/Japan Aerospace Exploration Agency (JAXA).</t>
  </si>
  <si>
    <t>10.1657/AAAR0013-031</t>
  </si>
  <si>
    <t>WOS:000359679000012</t>
  </si>
  <si>
    <t>Hågvar, S; Pedersen, A</t>
  </si>
  <si>
    <t>Hagvar, Sigmund; Pedersen, Arne</t>
  </si>
  <si>
    <t>Food choice of invertebrates during early glacier foreland succession</t>
  </si>
  <si>
    <t>ALPINE GLACIER; AERIAL DISPERSAL; COLLEMBOLA; COLONIZATION; BEETLES; SPIDERS; WEB</t>
  </si>
  <si>
    <t>Bryophytes from seven different genera colonized 3- to 6-year-old ground near a receding glacier in central South Norway. Microscopic studies of the gut content in pioneer invertebrates revealed that mosses were grazed upon by four species: an abundant and large Collembola (Bourletiella hortensis), a moss-eating Byrrhidae beetle (Simplocaria metallica), and two omnivorous Carabidae beetles (Amara alpina and A. quenseli). The three most abundant moss species were preferred by the moss-eaters: Pohlia filum, Ceratodon purpureus, and Bryum arcticum. Special parts of the moss plant could be selected. Three other Collembola species present were classified as herbivores because they had diatom algae in their gut, indicating that they grazed on terrestrial biofilm. Chironomidae midges hatching from young ponds represented an important element in the gut content of three common predators: the Opiliones Mitopus morio, and two Carabidae beetles Nebria nivalis and Bembidion hastii. The present data show that chlorophyll-based food chains start almost immediately on bare ground, but in a rather invisible way by tiny pioneer mosses and terrestrial biofilm with diatom algae. Pioneer mosses may be regarded as drivers in early animal succession, before higher plants establish. Since several of the pioneer invertebrates were herbivores or omnivores, the present community did not fit with the predator first hypothesis.</t>
  </si>
  <si>
    <t>[Hagvar, Sigmund] Norwegian Univ Life Sci, Dept Ecol &amp; Nat Resource Management, N-1432 As, Norway; [Pedersen, Arne] Nat Hist Museum, N-0318 Oslo, Norway</t>
  </si>
  <si>
    <t>Norwegian University of Life Sciences</t>
  </si>
  <si>
    <t>Hågvar, S (corresponding author), Norwegian Univ Life Sci, Dept Ecol &amp; Nat Resource Management, Box 5003, N-1432 As, Norway.</t>
  </si>
  <si>
    <t>sigmund.hagvar@nmbu.no</t>
  </si>
  <si>
    <t>10.1657/AAAR0014-046</t>
  </si>
  <si>
    <t>WOS:000359679000013</t>
  </si>
  <si>
    <t>Huintjes, E; Sauter, T; Schröter, B; Maussion, F; Yang, W; Kropacek, J; Buchroithner, M; Scherer, D; Kang, S; Schneider, C</t>
  </si>
  <si>
    <t>Huintjes, Eva; Sauter, Tobias; Schroeter, Benjamin; Maussion, Fabien; Yang, Wei; Kropacek, Jan; Buchroithner, Manfred; Scherer, Dieter; Kang, Shichang; Schneider, Christoph</t>
  </si>
  <si>
    <t>Evaluation of a coupled snow and energy balance model for Zhadang glacier, Tibetan Plateau, using glaciological measurements and time-lapse photography</t>
  </si>
  <si>
    <t>DISTRIBUTED SURFACE-ENERGY; NAM CO BASIN; MASS-BALANCE; PRECIPITATION SEASONALITY; NYAINQENTANGLHA RANGE; SUMMER-ACCUMULATION; RUNOFF; KILIMANJARO; SENSITIVITY; TOPOGRAPHY</t>
  </si>
  <si>
    <t>We present a new open-source, collaborative COupled Snowpack and Ice surface energy and MAss balance model (COSIMA) that is evaluated for Zhadang glacier, Tibetan Plateau. The model is calibrated, run, and validated based on in situ measurements and atmospheric model data from the High Asia Refined analysis (HAR) over the period April 2009 to June 2012. Results for the model runs forced by both in situ measurements and HAR agree well with observations of various atmospheric, glaciological, surface, and subsurface parameters on the glacier. A time-lapse camera system next to the glacier provides a 3-year image time series of the mean transient snow line altitude and the snow cover pattern, which is used for the spatial and temporal validation of the model. The model output corresponds very well to the observed temporal and spatial snow cover variability. The model is then run for a 10-year period of October 2001 to September 2011 forced with HAR data. In general, the radiation components dominate the overall energy turnover (65%), followed by the turbulent fluxes (31%). The generally dry atmosphere on the Tibetan Plateau causes sublimation to be responsible for 26% of the total mass loss. A proportion of 11% of the surface and subsurface melt refreezes within the snowpack.</t>
  </si>
  <si>
    <t>[Huintjes, Eva; Schneider, Christoph] Rhein Westfal TH Aachen, Dept Geog, D-52056 Aachen, Germany; [Sauter, Tobias] Univ Erlangen Nurnberg, Dept Geog, D-91058 Erlangen, Germany; [Schroeter, Benjamin; Kropacek, Jan; Buchroithner, Manfred] Tech Univ Dresden, Inst Cartog, D-01069 Dresden, Germany; [Sauter, Tobias; Maussion, Fabien] Univ Innsbruck, Inst Meteorol &amp; Geophys, A-6020 Innsbruck, Austria; [Yang, Wei] Chinese Acad Sci, Key Lab Tibetan Environm Changes &amp; Land Surface P, Beijing 100101, Peoples R China; [Yang, Wei; Kang, Shichang] Chinese Acad Sci, Ctr Excellence Tibetan Plateau Earth Sci, Beijing 100101, Peoples R China; [Kropacek, Jan] Univ Tubingen, Dept Geog, D-72070 Tubingen, Germany; [Maussion, Fabien; Scherer, Dieter] Tech Univ Berlin, Dept Ecol, D-12165 Berlin, Germany; [Kang, Shichang] Chinese Acad Sci, State Key Lab Cryospher Sci, Cold &amp; Arid Reg Environm &amp; Engn Res Inst, Lanzhou 730000, Peoples R China</t>
  </si>
  <si>
    <t>RWTH Aachen University; University of Erlangen Nuremberg; Technische Universitat Dresden; University of Innsbruck; Chinese Academy of Sciences; Chinese Academy of Sciences; Eberhard Karls University of Tubingen; Technical University of Berlin; Chinese Academy of Sciences; Cold &amp; Arid Regions Environmental &amp; Engineering Research Institute, CAS</t>
  </si>
  <si>
    <t>Huintjes, E (corresponding author), Rhein Westfal TH Aachen, Dept Geog, Templergraben 55, D-52056 Aachen, Germany.</t>
  </si>
  <si>
    <t>eva.huintjes@geo.rwth-aachen.de</t>
  </si>
  <si>
    <t>Schneider, Christoph/V-2150-2017; sauter, tobias/AAI-7313-2020; sauter, tobias/HSD-8208-2023; Maussion, Fabien/B-9814-2013; Kang, Shichang/I-6830-2018</t>
  </si>
  <si>
    <t>Schneider, Christoph/0000-0002-9914-3217; sauter, tobias/0000-0002-2232-8096; sauter, tobias/0000-0002-2232-8096; Maussion, Fabien/0000-0002-3211-506X; Kang, Shichang/0000-0003-2115-9005; Kropacek, Jan/0000-0002-8275-605X</t>
  </si>
  <si>
    <t>German Federal Ministry of Education and Research (BMBF) [03G0804E, 03G0804A, 03G0804F]; German Research Foundation (DFG) [SCHN 680/3-1, SCHN 680/3-2, SCHN 680/3-3, SCHE 750/4-1, SCHE750/4-2, SCHE 750/4-3, BU 949/20-1, BU 949/20-2, BU 949/20-3]; Austrian Science Fund (FWF) [P22443-N21]; Austrian Science Fund (FWF) [P 22443] Funding Source: researchfish; Austrian Science Fund (FWF) [P22443] Funding Source: Austrian Science Fund (FWF)</t>
  </si>
  <si>
    <t>German Federal Ministry of Education and Research (BMBF)(Federal Ministry of Education &amp; Research (BMBF)); German Research Foundation (DFG)(German Research Foundation (DFG)); Austrian Science Fund (FWF)(Austrian Science Fund (FWF)); Austrian Science Fund (FWF)(Austrian Science Fund (FWF)); Austrian Science Fund (FWF)(Austrian Science Fund (FWF))</t>
  </si>
  <si>
    <t>This work was supported by the German Federal Ministry of Education and Research (BMBF) Programme Central Asia-Monsoon Dynamics and Geo-Ecosystems (CAME) within the WET project (Variability and Trends in Water Balance Components of Benchmark Drainage Basins on the Tibetan Plateau) under the codes 03G0804E, 03G0804A, and 03G0804F, and by the German Research Foundation (DFG) Priority Programme 1372, Tibetan Plateau: Formation-Climate-Ecosystems within the DynRG-TiP (Dynamic Response of Glaciers on the Tibetan Plateau to Climate Change) project under the codes SCHN 680/3-1, SCHN 680/3-2, SCHN 680/3-3, SCHE 750/4-1, SCHE750/4-2, SCHE 750/4-3, BU 949/20-1, BU 949/20-2, and BU 949/20-3. Maussion acknowledges support by the Austrian Science Fund (FWF project P22443-N21). Thanks to Thomas Molg and Peter Kuipers Munneke for their support in the MB model development. We thank Tobias Krenscher and Tino Pieczonka for their support in the development of the time-lapse camera system and the image processing. We thank the staff of the Nam Co monitoring station from the Institute of Tibetan Plateau Research, Chinese Academy of Sciences, for leading the glaciological measurements on Zhadang glacier and for providing ablation stake measurements. We also thank the local Tibetan people for their assistance during fieldwork. We thank two anonymous reviewers and the associate editor, Hester Jiskoot, University of Lethbridge, for valuable suggestions that improved the manuscript.</t>
  </si>
  <si>
    <t>10.1657/AAAR0014-073</t>
  </si>
  <si>
    <t>WOS:000359679000014</t>
  </si>
  <si>
    <t>Meessen, J; Wuthenow, P; Schille, P; Rabbow, E; de Vera, JPP; Ott, S</t>
  </si>
  <si>
    <t>Meessen, J.; Wuthenow, P.; Schille, P.; Rabbow, E.; de Vera, J. -P. P.; Ott, S.</t>
  </si>
  <si>
    <t>Resistance of the Lichen Buellia frigida to Simulated Space Conditions during the Preflight Tests for BIOMEX-Viability Assay and Morphological Stability</t>
  </si>
  <si>
    <t>UV-RADIATION CONDITIONS; BIOCHEMICAL-CHANGES; MARTIAN ATMOSPHERE; CIRCINARIA-GYROSA; ORGANIC-MOLECULES; EXPOSE-E; MARS; DESICCATION; SURVIVAL; EVOLUTION</t>
  </si>
  <si>
    <t>Samples of the extremotolerant Antarctic endemite lichen Buellia frigida are currently exposed to low-Earth orbit-space and simulated Mars conditions at the Biology and Mars Experiment (BIOMEX), which is part of the ESA mission EXPOSE-R2 on the International Space Station and was launched on 23 July 2014. In preparation for the mission, several preflight tests (Experimental and Scientific Verification Tests, EVT and SVT) assessed the sample preparation and hardware integration procedures as well as the resistance of the candidate organism toward the abiotic stressors experienced under space and Mars conditions. Therefore, we quantified the post-exposure viability with a live/dead staining technique utilizing FUN-1 and confocal laser scanning microscopy (CLSM). In addition, we used scanning electron microscopy (SEM) to investigate putative patterns of morphological-anatomical damage that lichens may suffer under the extreme exposure conditions. The present results demonstrate that Buellia frigida is capable of surviving the conditions tested in EVT and SVT. The mycobiont showed lower average impairment of its viability than the photobiont (viability rates of &gt;83% and &gt;69%, respectively), and the lichen thallus suffered no significant damage in terms of thalline integrity and symbiotic contact. These results will become essential to substantiate and validate the results prospectively obtained from the returning space mission. Moreover, they will help assess the limits and limitations of terrestrial organisms under space and Mars conditions as well as characterize the adaptive traits that confer lichen extremotolerance. Key Words: Astrobiology-BIOMEX-EXPOSE-R2-Extremotolerance-Lichens. Astrobiology 15, 601-615.</t>
  </si>
  <si>
    <t>[Meessen, J.; Wuthenow, P.; Schille, P.; Ott, S.] Univ Dusseldorf, Inst Bot, D-40225 Dusseldorf, Germany; [Rabbow, E.] Deutsch Zentrum Luft &amp; Raumfahrt DLR, Inst Luft &amp; Raumfahrtmed, Cologne, Germany; [de Vera, J. -P. P.] Deutsch Zentrum Luft &amp; Raumfahrt DLR, Inst Planetenforsch, Berlin, Germany</t>
  </si>
  <si>
    <t>Heinrich Heine University Dusseldorf; Helmholtz Association; German Aerospace Centre (DLR); Helmholtz Association; German Aerospace Centre (DLR)</t>
  </si>
  <si>
    <t>Meessen, J (corresponding author), Univ Dusseldorf, Inst Bot, Univ Str 1, D-40225 Dusseldorf, Germany.</t>
  </si>
  <si>
    <t>joachimmeessen@gmx.de</t>
  </si>
  <si>
    <t>German Federal Ministry of Economics and Technology (BMWi); German Aerospace Center (DLR) [50BW1153]; ESA [ESA-ILSRA 2009-0834]; DLR [ESA-ILSRA 2009-0834]; German Research Foundation (DFG) [OT 96/151]</t>
  </si>
  <si>
    <t>German Federal Ministry of Economics and Technology (BMWi)(Federal Ministry for Economic Affairs and Energy (BMWi)); German Aerospace Center (DLR)(Helmholtz AssociationGerman Aerospace Centre (DLR)); ESA(European Space Agency); DLR(Helmholtz AssociationGerman Aerospace Centre (DLR)); German Research Foundation (DFG)(German Research Foundation (DFG))</t>
  </si>
  <si>
    <t>The authors would like to thank the German Federal Ministry of Economics and Technology (BMWi) and the German Aerospace Center (DLR) for funding the work of Joachim Meessen (50BW1153), and thanks to ESA as well as to the DLR for supporting the space experiment BIOMEX (ESA-ILSRA 2009-0834, PI: Dr. J.-P.P. de Vera). S. Ott collected the samples of Buellia frigida during the GANOVEX 10 expedition, which was funded by the German Research Foundation (DFG, OT 96/151) in the framework of the Antarctic Priority Program 1158. Finally, we would also like to thank Annette Brandt for productive discussions and the anonymous reviewers for their comments and suggestions. Some of the results were presented at the 13th European Workshop on Astrobiology (EANA, 2013) and the 10th International Mycological Congress (IMC 10, 2014).</t>
  </si>
  <si>
    <t>AUG 1</t>
  </si>
  <si>
    <t>10.1089/ast.2015.1281</t>
  </si>
  <si>
    <t>CP0VI</t>
  </si>
  <si>
    <t>WOS:000359593800001</t>
  </si>
  <si>
    <t>Swanson, FJ</t>
  </si>
  <si>
    <t>Swanson, Frederick J.</t>
  </si>
  <si>
    <t>Confluence of arts, humanities, and science at sites of long-term ecological inquiry</t>
  </si>
  <si>
    <t>art; artists in residence; ESA Centennial Paper; field stations; humanities; long-term ecological research; marine laboratories; writers in residence</t>
  </si>
  <si>
    <t>Over the past century, ecology, the arts, and humanities diverged, but are now converging again, especially at sites of long-term, place-based ecological inquiry. This convergence has been inspired in part by the works of creative, boundary-spanning individuals and the long-standing examples of arts-humanities programs in intriguing landscapes, such as artist and writer residencies of the National Park Service and the National Science Foundation's Antarctic program. In the past decade many US biological field stations, marine laboratories, and Long-Term Ecological Research sites have substantially increased the presence of arts and humanities in their programs for reasons both practical (e.g., public outreach, increasing student and class offerings) and fundamental (e.g., foster creativity within individuals and research teams, collect a record of artistic/humanities engagement with place). Motivations include communicating about science agencies' missions, the scientific process, and science discoveries to the public who support the research work. The overarching accomplishment of this work has been to advance near-term science outreach,'' but some of this work can be viewed as basic'' arts and humanities in the sense that its impacts won't be known for a long time. A next challenge is for interdisciplinary teams to address complex problems, which falls in the intellectual merit'' realm of the National Science Foundation evaluation criteria. The growing body of works at the ecology-arts-humanities interface will be a valuable resource for future study of science-society-nature relations. These efforts potentially contribute to initiatives emerging from the ecological sciences community that seek greater connection with society-initiatives promoting sustainability and stewardship, and the practice of science citizenship, such as development of future scenario projects and regional conservation plans. Despite the large number of programs undertaking these collaborations, their existence is a well-kept secret with little representation on individual site websites and no organized network to support the work. The strong, grassroots emergence of arts, humanities, and science collaborations at sites of long-term ecological inquiry signals a recognition that these are places of cultural as well as scientific work. Their appearance late in ESA's first century may foreshadow an important role for such endeavors in the next century of ESA.</t>
  </si>
  <si>
    <t>US Forest Serv, Pacific NW Res Stn, Corvallis, OR 97331 USA</t>
  </si>
  <si>
    <t>United States Department of Agriculture (USDA); United States Forest Service</t>
  </si>
  <si>
    <t>Swanson, FJ (corresponding author), US Forest Serv, Pacific NW Res Stn, 3200 Jefferson Way, Corvallis, OR 97331 USA.</t>
  </si>
  <si>
    <t>fred.swanson@oregonstate.edu</t>
  </si>
  <si>
    <t>privately-endowed Spring Creek Project for Ideas, Nature, and the Written Word; U.S. Forest Service's Pacific Northwest Research Station; NSF; Division Of Environmental Biology; Direct For Biological Sciences [1440409] Funding Source: National Science Foundation</t>
  </si>
  <si>
    <t>privately-endowed Spring Creek Project for Ideas, Nature, and the Written Word; U.S. Forest Service's Pacific Northwest Research Station; NSF(National Science Foundation (NSF)); Division Of Environmental Biology; Direct For Biological Sciences(National Science Foundation (NSF)NSF - Directorate for Biological Sciences (BIO))</t>
  </si>
  <si>
    <t>This is written as a personal essay with attendant personal interpretations and limits of scope. Place-based, arts-humanities-ecology collaborations are poorly documented and little studied, so I rely on my own experience working with several of these programs and learning from others. The Long-Term Ecological Reflections program at Andrews Forest has been supported by the privately-endowed Spring Creek Project for Ideas, Nature, and the Written Word, the U.S. Forest Service's Pacific Northwest Research Station, and NSF. Coordination of LTER art exhibits has been a team effort with T. Daulton, C. Hart, M. B. Leigh, and many others. F. Felix, M. Lannoo, and A. McKee kindly shared knowledge of programs in the Organization of Biological Field Stations and National Association of Marine Laboratories. J. Jones, D. Foster, T. Gilens, C. Goodrich, T. Kratz, K. Moore, M. Nelson, R. Ruess, L. Rustad, and S. Twombly (especially for the challenge of moving from outreach to intellectual merit) generously helped with ideas, text, illustrations, and program descriptions. Participation in the arts-science workshop at the South American Institute for Resilience and Sustainability Studies in Maldonado, Uruguay, in December 2014 was a very enriching experience. Many individuals with extraordinary skills in spanning disciplinary boundaries are constant sources of ideas and inspiration. Thanks to all for bringing us into a closer, more respectful relationship with the natural world and one another.</t>
  </si>
  <si>
    <t>10.1890/ES15-00139.1</t>
  </si>
  <si>
    <t>CP1ON</t>
  </si>
  <si>
    <t>WOS:000359645200004</t>
  </si>
  <si>
    <t>Yuan, NM; Ding, MH; Huang, Y; Fu, ZT; Xoplaki, E; Luterbacher, J</t>
  </si>
  <si>
    <t>Yuan, Naiming; Ding, Minghu; Huang, Yan; Fu, Zuntao; Xoplaki, Elena; Luterbacher, Juerg</t>
  </si>
  <si>
    <t>On the Long-Term Climate Memory in the Surface Air Temperature Records over Antarctica: A Nonnegligible Factor for Trend Evaluation</t>
  </si>
  <si>
    <t>RANGE CORRELATIONS; VARIABILITY; PERSISTENCE; DEPENDENCE; LAW</t>
  </si>
  <si>
    <t>In this study, observed temperature records of 12 stations from Antarctica island, coastline, and continental areas are analyzed by means of detrended fluctuation analysis (DFA). After Monte Carlo significance tests, different long-term climate memory (LTM) behaviors are found: temperatures from coastal and island stations are characterized by significant long-term climate memory whereas temperatures over the Antarctic continent behave more like white noise, except for the Byrd station, which is located in the West Antarctica. It is argued that the emergence of LTM may be dominated by the interactions between local weather system and external slow-varying systems (ocean), and therefore the different LTM behaviors between temperatures over the Byrd station and that over other continental stations can be considered as a reflection of the different climatic environments between West and East Antarctica. By calculating the trend significance with the effect of LTM taken into account, and further comparing the results with those obtained from assumptions of autoregressive (AR) process and white noise, it is found that 1) most of the Antarctic stations do not show any significant trends over the past several decades, and 2) more rigorous trend evaluation can be obtained if the effect of LTM is considered. Therefore, it is emphasized that for air temperatures over Antarctica, especially for the Antarctica coastline, island, and the west continental areas, LTM is nonnegligible for trend evaluation.</t>
  </si>
  <si>
    <t>[Yuan, Naiming; Ding, Minghu; Huang, Yan] Chinese Acad Meteorol Sci, Beijing 100081, Peoples R China; [Yuan, Naiming; Xoplaki, Elena; Luterbacher, Juerg] Univ Giessen, Dept Geog Climatol Climate Dynam &amp; Climate Change, D-35390 Giessen, Germany; [Yuan, Naiming; Fu, Zuntao] Peking Univ, Dept Atmospher &amp; Ocean Sci, Lab Climate &amp; Ocean Atmospher Studies, Sch Phys, Beijing 100871, Peoples R China; [Ding, Minghu] Chinese Acad Sci, State Key Lab Cryospher Sci, Cold &amp; Arid Reg Environm &amp; Engn Res Inst, Lanzhou, Peoples R China</t>
  </si>
  <si>
    <t>China Meteorological Administration; Chinese Academy of Meteorological Sciences (CAMS); Justus Liebig University Giessen; Peking University; Chinese Academy of Sciences; Cold &amp; Arid Regions Environmental &amp; Engineering Research Institute, CAS</t>
  </si>
  <si>
    <t>Yuan, NM (corresponding author), Chinese Acad Meteorol Sci, Inst Climate Syst, Beijing 100081, Peoples R China.</t>
  </si>
  <si>
    <t>naimingyuan@hotmail.com</t>
  </si>
  <si>
    <t>Ding, Minghu/AFU-3600-2022; Xoplaki, Elena/AAF-1901-2020</t>
  </si>
  <si>
    <t>Ding, Minghu/0000-0002-1142-6598; Xoplaki, Elena/0000-0002-2745-2467; Luterbacher, Juerg/0000-0002-8569-0973</t>
  </si>
  <si>
    <t>National Natural Science Foundation of China [41405074, 41206179]; climate change project of CMA [CCSF201332]; Basic Research Fund of CAMS [2013Z002]</t>
  </si>
  <si>
    <t>National Natural Science Foundation of China(National Natural Science Foundation of China (NSFC)); climate change project of CMA; Basic Research Fund of CAMS</t>
  </si>
  <si>
    <t>The authors acknowledge support from National Natural Science Foundation of China (41405074 and 41206179), the climate change project of CMA (CCSF201332), and the Basic Research Fund of CAMS (Grants 2013Z002). Naiming Yuan and Juerg Luterbacher acknowledge also the LOEWE Large Scale Integrated Program (Excellency in research for the future of Hesse FACE2FACE) and the Chinese Polar Environment Investigation and Assessment Program (CHINARE2014-04-04). We are grateful to Armin Bunde for the helpful discussion.</t>
  </si>
  <si>
    <t>10.1175/JCLI-D-14-00733.1</t>
  </si>
  <si>
    <t>CO9YM</t>
  </si>
  <si>
    <t>WOS:000359532800003</t>
  </si>
  <si>
    <t>Watterson, IG</t>
  </si>
  <si>
    <t>Watterson, I. G.</t>
  </si>
  <si>
    <t>Improved Simulation of Regional Climate by Global Models with Higher Resolution: Skill Scores Correlated with Grid Length*</t>
  </si>
  <si>
    <t>PART I; PRECIPITATION; CIRCULATION; CMIP5</t>
  </si>
  <si>
    <t>The current generation of climate models, as represented by phase 5 of the Coupled Model Intercomparison Project (CMIP5), has previously been assessed as having more skill in simulating the observed climate than the previous ensemble from phase 3 of CMIP (CMIP3). Furthermore, the skill of models in reproducing seasonal means of precipitation, temperature, and pressure from two observational datasets, quantified by the nondimensional Arcsin-Mielke skill score, appeared to be influenced by model resolution. The analysis is extended to 42 CMIP5 and 24 CMIP3 models. For the combined skill scores for six continents, averaged over the three variables and four seasons, the correlation with model grid length in the 66-model ensemble is -0.73. Focusing on the comparison with ERA-Interim data at higher resolution and with greater regional detail, correlations are nearly as strong for scores over the ocean domain as for land. For the global domain (excluding the Antarctic cap), the correlation of the overall skill score with grid length is -0.61, and it is nearly as strong for each variable. For most tests the improved averaged score of CMIP5 models relative to those from CMIP3 is largely consistent with their increased resolution. However, the improvement for precipitation and the correlations with length are both smaller if rmse is used as a metric. They are smaller again using the GPCP observational data, as the regional detail from a high-resolution model can lead to larger differences when compared to relatively smooth observational fields.</t>
  </si>
  <si>
    <t>[Watterson, I. G.] CSIRO, Aspendale, Vic 3195, Australia</t>
  </si>
  <si>
    <t>Watterson, IG (corresponding author), CSIRO, Marine &amp; Atmospher Res, Stn St, Aspendale, Vic 3195, Australia.</t>
  </si>
  <si>
    <t>ian.watterson@csiro.au</t>
  </si>
  <si>
    <t>Watterson, Ian G./A-1690-2012</t>
  </si>
  <si>
    <t>Watterson, Ian/0000-0001-9484-018X</t>
  </si>
  <si>
    <t>Australian Government's Regional Natural Resources Management Planning for Climate Change Fund</t>
  </si>
  <si>
    <t>Australian Government's Regional Natural Resources Management Planning for Climate Change Fund(Australian Government)</t>
  </si>
  <si>
    <t>This work was supported by the Australian Government's Regional Natural Resources Management Planning for Climate Change Fund. The author is grateful to the modeling groups, PCMDI, and others who established the CMIP5 archive, and to CAWCR colleagues who provided the 30-yr model averages used, in particular Janice Bathols and Lawson Hanson. I thank three anonymous reviewers for their very helpful comments.</t>
  </si>
  <si>
    <t>10.1175/JCLI-D-14-00702.1</t>
  </si>
  <si>
    <t>WOS:000359532800007</t>
  </si>
  <si>
    <t>Dinniman, MS; Klinck, JM; Bai, LS; Bromwich, DH; Hines, KM; Holland, DM</t>
  </si>
  <si>
    <t>Dinniman, Michael S.; Klinck, John M.; Bai, Le-Sheng; Bromwich, David H.; Hines, Keith M.; Holland, David M.</t>
  </si>
  <si>
    <t>The Effect of Atmospheric Forcing Resolution on Delivery of Ocean Heat to the Antarctic Floating Ice Shelves*,+</t>
  </si>
  <si>
    <t>CIRCUMPOLAR DEEP-WATER; PINE ISLAND GLACIER; BASAL MELT RATES; SEA-ICE; AMUNDSEN SEA; COASTAL POLYNYAS; ROSS SEA; IN-SITU; SEASONAL VARIABILITY; CONTINENTAL-SHELF</t>
  </si>
  <si>
    <t>Oceanic melting at the base of the floating Antarctic ice shelves is now thought to be a more significant cause of mass loss for the Antarctic ice sheet than iceberg calving. In this study, a 10-km horizontal-resolution circum-Antarctic ocean-sea ice-ice shelf model [based on the Regional Ocean Modeling System (ROMS)] is used to study the delivery of ocean heat to the base of the ice shelves. The atmospheric forcing comes from the ERA-Interim reanalysis (~80-km resolution) and from simulations using the polar-optimized Weather Research and Forecasting Model (30-km resolution), where the upper atmosphere was relaxed to the ERA-Interim reanalysis. The modeled total basal ice shelf melt is low compared to observational estimates but increases by 14% with the higher-resolution winds and just 3% with both the higher-resolution winds and atmospheric surface temperatures. The higher-resolution winds lead to more heat being delivered to the ice shelf cavities from the adjacent ocean and an increase in the efficiency of heat transfer between the water and the ice. The higher-resolution winds also lead to changes in the heat delivered from the open ocean to the continental shelves as well as changes in the heat lost to the atmosphere over the shelves, and the sign of these changes varies regionally. Addition of the higher-resolution temperatures to the winds results in lowering, primarily during summer, the wind-driven increase in heat advected into the ice shelf cavities due to colder summer air temperatures near the coast.</t>
  </si>
  <si>
    <t>[Dinniman, Michael S.; Klinck, John M.] Old Dominion Univ, Ctr Coastal Phys Oceanog, Norfolk, VA 23508 USA; [Bai, Le-Sheng; Bromwich, David H.; Hines, Keith M.] Ohio State Univ, Polar Meteorol Grp, Byrd Polar Res &amp; Climate Ctr, Columbus, OH 43210 USA; [Holland, David M.] NYU, Courant Inst Math Sci, New York, NY USA</t>
  </si>
  <si>
    <t>Old Dominion University; University System of Ohio; Ohio State University; New York University</t>
  </si>
  <si>
    <t>Dinniman, MS (corresponding author), Old Dominion Univ, Ctr Coastal Phys Oceanog, 4111 Monarch Way, Norfolk, VA 23508 USA.</t>
  </si>
  <si>
    <t>msd@ccpo.odu.edu</t>
  </si>
  <si>
    <t>Bromwich, David H/C-9225-2016</t>
  </si>
  <si>
    <t>Klinck, John/0000-0003-4312-5201; Dinniman, Michael/0000-0001-7519-9278</t>
  </si>
  <si>
    <t>National Science Foundation [ANT-1048989, ANT-1049089, ANT-1049081]; NYU Abu Dhabi research institute [G1204]</t>
  </si>
  <si>
    <t>National Science Foundation(National Science Foundation (NSF)); NYU Abu Dhabi research institute</t>
  </si>
  <si>
    <t>This research was supported by the National Science Foundation under Grants ANT-1048989 to ODU, ANT-1049089 to OSU, and ANT-1049081 to NYU. NYU Abu Dhabi research institute contributed through Grant G1204. Comments from Julien Nicolas and three reviewers greatly improved this manuscript.</t>
  </si>
  <si>
    <t>10.1175/JCLI-D-14-00374.1</t>
  </si>
  <si>
    <t>WOS:000359532800012</t>
  </si>
  <si>
    <t>Vargas-Hernández, JM; Wijffels, SE; Meyers, G; do Couto, AB; Holbrook, NJ</t>
  </si>
  <si>
    <t>Mauro Vargas-Hernandez, J.; Wijffels, Susan E.; Meyers, Gary; do Couto, Andre Belo; Holbrook, Neil J.</t>
  </si>
  <si>
    <t>Decadal Characterization of Indo-Pacific Ocean Subsurface Temperature Modes in SODA Reanalysis</t>
  </si>
  <si>
    <t>SEA-SURFACE TEMPERATURE; CLIMATE VARIABILITY; EL-NINO; THERMOCLINE DEPTH; TROPICAL PACIFIC; INDIAN-OCEAN; PART I; LEVEL; ENSO; CIRCULATION</t>
  </si>
  <si>
    <t>Studies of decadal-to-multidecadal ocean subsurface temperature variability are fundamental to improving the understanding of low-frequency climate signals. The present study uses the Simple Ocean Data Assimilation (SODA) version 2.2.4 product for the period 1950-2007 to identify decadal modes of variability that characterize the upper Indo-Pacific Ocean temperature structure (5-466-m depth). An empirical orthogonal function (EOF) analysis of the 10-yr low-pass filtered temperature field applied across four depths shows that the dominant mode is characterized by a long-term temperature trend, with warming at the surface and cooling at the thermocline depth connecting the tropical western Pacific with the southern Indian Ocean via the Indonesian Seas. EOF analysis of the detrended 10-yr filtered temperature data and correlation analyses of the EOF time series with established large-scale climate indices identified the interdecadal Pacific oscillation as EOF1, the North Pacific Gyre Oscillation as EOF2, and the decadal component of El Nino Modoki as EOF3 (respectively, modes 2, 3, and 4 of the nondetrended data). EOF2 identifies the Atlantic multidecadal oscillation when the analysis is applied to sea surface temperature anomalies only, suggesting that the surface is forced dominantly by fluxes associated with global-scale weather patterns, while the subsurface is dominantly forced by internal dynamics of the Pacific Ocean. This paper demonstrates that the decadal-to-interdecadal temperature variability in SODA has a pronounced vertical extension through the upper ocean. The upper thermocline accounts for most of the variance in the analysis. These results reinforce the importance of examining the subsurface ocean in climate dynamics studies that seek to understand the ocean's role.</t>
  </si>
  <si>
    <t>[Mauro Vargas-Hernandez, J.; Meyers, Gary; do Couto, Andre Belo; Holbrook, Neil J.] Univ Tasmania, Inst Marine &amp; Antarctic Studies, Hobart, Tas, Australia; [Mauro Vargas-Hernandez, J.] CSIRO Oceans &amp; Atmosphere Flagship, Hobart, Tas, Australia; [Mauro Vargas-Hernandez, J.] Univ Nacl Costa Rica, Dept Fis, Lab Oceanog &amp; Manejo Costero, Heredia 863000, Costa Rica; [Wijffels, Susan E.] CSIRO Oceans &amp; Atmosphere Flagship, Ctr Australian Weather &amp; Climate Res, Hobart, Tas, Australia; [Meyers, Gary] Univ Tasmania, CSIRO Oceans &amp; Atmosphere Flagship, Hobart, Tas, Australia; [do Couto, Andre Belo] Univ Lisbon, Marine &amp; Environm Sci Ctr, Ctr Oceanog, P-1699 Lisbon, Portugal; [Holbrook, Neil J.] ARC Ctr Excellence Climate Syst Sci, Hobart, Tas, Australia</t>
  </si>
  <si>
    <t>University of Tasmania; Commonwealth Scientific &amp; Industrial Research Organisation (CSIRO); Universidad Nacional Costa Rica; Commonwealth Scientific &amp; Industrial Research Organisation (CSIRO); University of Tasmania; Commonwealth Scientific &amp; Industrial Research Organisation (CSIRO); Universidade de Lisboa; ARC Centre of Excellence for Climate System Science</t>
  </si>
  <si>
    <t>Vargas-Hernández, JM (corresponding author), Univ Nacl, Dept Fis, Lab Oceanog &amp; Manejo Costero LAOCOS, Ave 1,Calle 9, Heredia 863000, Costa Rica.</t>
  </si>
  <si>
    <t>QMS Ph.D. Scholarship; Postgraduate Studies Scholarship from Universidad Nacional of Costa Rica; CSIRO Wealth from Oceans Flagship Scholarship</t>
  </si>
  <si>
    <t>This work was conducted as part of the Jose Mauro Vargas Hernandez Ph.D. in Quantitative Marine Sciences (QMS) Ph.D. Program, a joint initiative between the University of Tasmania and CSIRO. This research was partially supported by grants from the QMS Ph.D. Scholarship, the Postgraduate Studies Scholarship from Universidad Nacional of Costa Rica, and the CSIRO Wealth from Oceans Flagship Scholarship. The authors are thankful to Dr. Eric Oliver for advice on the spectral analysis used in this study. The SODA 2.2.4 data are provided by the SODA/TAMU research group, Texas A&amp;M University (available at http://soda.tamu.edu/). The IPO index was obtained from the calculations of Chris Folland, Met Office Hadley Centre (available at http://www.iges.org/c20c/IPO_v2.doc). The NPGO index used here was generated by Di Lorenzo et al. (2008) (available at http://www.o3d.org/npgo/npgo.php). The AMO index used here is from Kaplan's SST dataset (available from NOAAat http://www.esrl.noaa.gov/psd/data/timeseries/AMO/). [Kaplan SST V2 data provided by the NOAA/OAR/ESRLPSD, Boulder, Colorado (available at http://www.esrl.noaa.gov/psd/); see also Kaplan et al. (1998).] This paper makes a contribution to the goals of the Australian Research Council Centre of Excellence for Climate System Science and the Australian Climate Change Science Program.</t>
  </si>
  <si>
    <t>10.1175/JCLI-D-14-00700.1</t>
  </si>
  <si>
    <t>WOS:000359532800015</t>
  </si>
  <si>
    <t>Waugh, DW; Garfinkel, CI; Polvani, LM</t>
  </si>
  <si>
    <t>Waugh, Darryn W.; Garfinkel, Chaim I.; Polvani, Lorenzo M.</t>
  </si>
  <si>
    <t>Drivers of the Recent Tropical Expansion in the Southern Hemisphere: Changing SSTs or Ozone Depletion?</t>
  </si>
  <si>
    <t>SEA-SURFACE TEMPERATURE; HADLEY CIRCULATION; POLEWARD EXPANSION; CMIP5 SIMULATIONS; BELT WIDTH; VORTEX</t>
  </si>
  <si>
    <t>Observational evidence indicates that the southern edge of the Hadley cell (HC) has shifted southward during austral summer in recent decades. However, there is no consensus on the cause of this shift, with several studies reaching opposite conclusions as to the relative role of changes in sea surface temperatures (SSTs) and stratospheric ozone depletion in causing this shift. Here, the authors perform a meta-analysis of the extant literature on this subject and quantitatively compare the results of all published studies that have used single-forcing model integrations to isolate the role of different factors on the HC expansion during austral summer. It is shown that the weight of the evidence clearly points to stratospheric ozone depletion as the dominant driver of the tropical summertime expansion over the period in which an ozone hole was formed (1979 to late 1990s), although SST trends have contributed to trends since then. Studies that have claimed SSTs as the major driver of tropical expansion since 1979 have used prescribed ozone fields that underrepresent the observed Antarctic ozone depletion.</t>
  </si>
  <si>
    <t>[Waugh, Darryn W.] Johns Hopkins Univ, Dept Earth &amp; Planetary Sci, Baltimore, MD 21218 USA; [Garfinkel, Chaim I.] Hebrew Univ Jerusalem, Fredy &amp; Nadine Herrmann Inst Earth Sci, Jerusalem, Israel; [Polvani, Lorenzo M.] Columbia Univ, Dept Appl Phys &amp; Appl Math, New York, NY USA; [Polvani, Lorenzo M.] Columbia Univ, Dept Earth &amp; Environm Sci, New York, NY USA</t>
  </si>
  <si>
    <t>Johns Hopkins University; Hebrew University of Jerusalem; Columbia University; Columbia University</t>
  </si>
  <si>
    <t>Waugh, DW (corresponding author), Johns Hopkins Univ, Dept Earth &amp; Planetary Sci, 3400 N Charles St, Baltimore, MD 21218 USA.</t>
  </si>
  <si>
    <t>waugh@jhu.edu</t>
  </si>
  <si>
    <t>garfinkel, chaim I/AAA-1134-2020; Polvani, Lorenzo M/E-5949-2011; Waugh, Darryn/K-3688-2016</t>
  </si>
  <si>
    <t>garfinkel, chaim I/0000-0001-7258-666X; Waugh, Darryn/0000-0001-7692-2798</t>
  </si>
  <si>
    <t>NSF [ANT-1043307, FESD-1338814]; Israel Science Foundation [1558/14]</t>
  </si>
  <si>
    <t>NSF(National Science Foundation (NSF)); Israel Science Foundation(Israel Science Foundation)</t>
  </si>
  <si>
    <t>This research was supported by the NSF under Grants ANT-1043307 and FESD-1338814 and by the Israel Science Foundation under Grant 1558/14. We thank Paul Staten for providing data from Staten et al. (2012), and Thomas Reichler for helpful comments.</t>
  </si>
  <si>
    <t>10.1175/JCLI-D-15-0138.1</t>
  </si>
  <si>
    <t>CP1SJ</t>
  </si>
  <si>
    <t>WOS:000359655200018</t>
  </si>
  <si>
    <t>Skene, DM; Bennetts, LG; Meylan, MH; Toffoli, A</t>
  </si>
  <si>
    <t>Skene, D. M.; Bennetts, L. G.; Meylan, M. H.; Toffoli, A.</t>
  </si>
  <si>
    <t>Modelling water wave overwash of a thin floating plate</t>
  </si>
  <si>
    <t>sea ice; surface gravity waves; wave-structure interactions</t>
  </si>
  <si>
    <t>OCEAN WAVES; HYDROELASTIC RESPONSE; ELASTIC DISCS; ICE FLOES; SCHEMES</t>
  </si>
  <si>
    <t>A theoretical model of water wave overwash of a thin floating plate is proposed. The nonlinear shallow-water equations are used to model the overwash, and the linear potential-flow/thin-plate model to force it. Model predictions are compared with overwash depths measured during a series of laboratory wave basin experiments. The model is shown to be accurate for incident waves of low steepness or short length.</t>
  </si>
  <si>
    <t>[Skene, D. M.; Bennetts, L. G.] Univ Adelaide, Sch Math Sci, Adelaide, SA 5005, Australia; [Meylan, M. H.] Univ Newcastle, Sch Math &amp; Phys Sci, Callaghan, NSW 2308, Australia; [Toffoli, A.] Swinburne Univ Technol, Ctr Ocean Engn Sci &amp; Technol, Hawthorn, Vic 3122, Australia</t>
  </si>
  <si>
    <t>University of Adelaide; University of Newcastle; Swinburne University of Technology</t>
  </si>
  <si>
    <t>Skene, DM (corresponding author), Univ Adelaide, Sch Math Sci, Adelaide, SA 5005, Australia.</t>
  </si>
  <si>
    <t>david.skenie@adelaide.edu.au</t>
  </si>
  <si>
    <t>Bennetts, Luke/N-1448-2019; Meylan, Michael/A-7341-2010</t>
  </si>
  <si>
    <t>Bennetts, Luke/0000-0001-9386-7882; Meylan, Michael/0000-0002-3164-1367; Toffoli, Alessandro/0000-0003-3112-6856</t>
  </si>
  <si>
    <t>Plymouth University; Australian Postgraduate Award funds a PhD scholarship; Australian Research Council funds an early-career researcher fellowship [DE130101571]; Australian Antarctic Science Program funds [4123]; US Office of Naval Research [N00014-13-1-0290]; Plymouth University; Australian Postgraduate Award funds a PhD scholarship; Australian Research Council funds an early-career researcher fellowship [DE130101571]; Australian Antarctic Science Program funds [4123]; US Office of Naval Research [N00014-13-1-0290]</t>
  </si>
  <si>
    <t>Plymouth University; Australian Postgraduate Award funds a PhD scholarship; Australian Research Council funds an early-career researcher fellowship(Australian Research Council); Australian Antarctic Science Program funds; US Office of Naval Research(Office of Naval Research); Plymouth University; Australian Postgraduate Award funds a PhD scholarship; Australian Research Council funds an early-career researcher fellowship(Australian Research Council); Australian Antarctic Science Program funds; US Office of Naval Research(Office of Naval Research)</t>
  </si>
  <si>
    <t>Plymouth University funded the experiments. P. Arber, C. Cavaliere and A. Alberello helped to conduct the experiments. An Australian Postgraduate Award funds a PhD scholarship for D.M.S. The Australian Research Council funds an early-career researcher fellowship for L.G.B. (DE130101571). The Australian Antarctic Science Program funds L.G.B. and D.M.S. (Project 4123). The US Office of Naval Research supports M.H.M. (grant N00014-13-1-0290).</t>
  </si>
  <si>
    <t>R3</t>
  </si>
  <si>
    <t>10.1017/jfm.2015.378</t>
  </si>
  <si>
    <t>CP1NS</t>
  </si>
  <si>
    <t>WOS:000359643100003</t>
  </si>
  <si>
    <t>Xia, XM; Wang, JJ; Ji, JB; Zhang, JX; Chen, LQ; Zhang, R</t>
  </si>
  <si>
    <t>Xia, Xiaomin; Wang, Jianjun; Ji, Jiabin; Zhang, Jiexia; Chen, Liqi; Zhang, Rui</t>
  </si>
  <si>
    <t>Bacterial Communities in Marine Aerosols Revealed by 454 Pyrosequencing of the 16S rRNA Gene</t>
  </si>
  <si>
    <t>CLOUD CONDENSATION NUCLEI; AIRBORNE MICROORGANISMS; SIZE DISTRIBUTION; DIVERSITY; SEA; ATMOSPHERE; VIABILITY; TRANSPORT; TIME; DNA</t>
  </si>
  <si>
    <t>Although bacteria are an important biological component of aerosol particles, studies of bacterial communities in remote marine aerosol are largely lacking. In this study, aerosol samples were collected over the western Pacific Ocean, the northern Pacific Ocean, the Arctic Ocean, and the Norwegian Sea during the Fifth Chinese National Arctic Research Expedition (CHINARE 5). The diversity and structure of aerosol bacterial communities, based on 454 pyrosequencing, were explored in these samples. The bacterial community in the aerosols collected over the Pacific Ocean was more diverse than over the Norwegian Sea. Both temporal and spatial variations in aerosol bacterial communities were observed based on phylogenetic analysis. These results suggest that the source of air masses shape bacterial communities in aerosol particles over remote marine regions. Aerosols are clearly important for long-range transport of bacteria. Since potential human pathogens (e.g., Streptococcus sp.) were retrieved in this study, further investigation is needed to evaluate the potential for their long-distance migration via aerosol.</t>
  </si>
  <si>
    <t>[Xia, Xiaomin] Hong Kong Univ Sci &amp; Technol, Div Environm Sci, Kowloon, Hong Kong, Peoples R China; [Wang, Jianjun; Ji, Jiabin; Zhang, Jiexia; Chen, Liqi] State Ocean Adm, Inst Oceanog 3, Key Lab Global Change &amp; Marine Atmospher Chem, Xiamen 361005, Fujian, Peoples R China; [Zhang, Rui] Xiamen Univ, Inst Marine Microbes &amp; Ecospheres, State Key Lab Marine Environm Sci, Xiamen, Fujian, Peoples R China</t>
  </si>
  <si>
    <t>Hong Kong University of Science &amp; Technology; Third Institute of Oceanography, Ministry of Natural Resources; Xiamen University</t>
  </si>
  <si>
    <t>Chen, LQ (corresponding author), State Ocean Adm, Inst Oceanog 3, Key Lab Global Change &amp; Marine Atmospher Chem, Rm 501,Xiamen Daxue Rd, Xiamen 361005, Fujian, Peoples R China.</t>
  </si>
  <si>
    <t>chenliqi@tio.org.cn; ruizhang@xmu.edu.cn</t>
  </si>
  <si>
    <t>NSFC [41230529, 41476172]; Chinese Projects for Investigations and Assessments of the Arctic and Antarctic [01-04-02, 02-01, 03-04-02]; Chinese International Cooperation Projects [2015DFG22010, IC201201, IC201308, IC201504, IC201513]; Scientific Research Foundation of the Third Institute of Oceanography [2014031]; [GCMAC1201]</t>
  </si>
  <si>
    <t>NSFC(National Natural Science Foundation of China (NSFC)); Chinese Projects for Investigations and Assessments of the Arctic and Antarctic; Chinese International Cooperation Projects; Scientific Research Foundation of the Third Institute of Oceanography;</t>
  </si>
  <si>
    <t>Xiaomin Xia and Jianjun Wang contributed equally to this work. This work was funded by the NSFC (41230529, 41476172), Chinese Projects for Investigations and Assessments of the Arctic and Antarctic (CHINARE2012-15 for 01-04-02, 02-01, and 03-04-02), Chinese International Cooperation Projects (2015DFG22010, IC201201, IC201308, IC201504, and IC201513), and the Scientific Research Foundation of the Third Institute of Oceanography (2014031). R. Zhang was partially supported by Grant GCMAC1201.</t>
  </si>
  <si>
    <t>45 BEACON ST, BOSTON, MA 02108-3693, UNITED STATES</t>
  </si>
  <si>
    <t>10.1175/JAS-D-15-0008.1</t>
  </si>
  <si>
    <t>CO7OU</t>
  </si>
  <si>
    <t>WOS:000359350400009</t>
  </si>
  <si>
    <t>Brandao, SN; Karanovic, I</t>
  </si>
  <si>
    <t>Brandao, Simone N.; Karanovic, Ivana</t>
  </si>
  <si>
    <t>ECOLOGY, PALAEONTOLOGY AND TAXONOMY OF ECHINOCYTHEREIS PURI, 1954 (CRUSTACEA: OSTRACODA) WITH A FOCUS ON THE NORTH ATLANTIC SPECIES</t>
  </si>
  <si>
    <t>PAPERS IN PALAEONTOLOGY</t>
  </si>
  <si>
    <t>ostracods; palaeoecology; geographical distribution; stratigraphical distribution; taxonomy; Echinocythereis</t>
  </si>
  <si>
    <t>QUATERNARY; OCEAN; ALIGNMENT; FAUNA</t>
  </si>
  <si>
    <t>The common ostracod genus Echinocythereis has a worldwide and eurybathic distribution, but in Recent sediments, it is more common in cold waters. Its oldest record, dating from the Cretaceous, indicates that the genus should be very useful in stratigraphical and palaeoecological studies, but the taxonomy of Echinocythereis is very complex and includes misinterpretations and misidentifications. Here, we provide an overview of the geographical and stratigraphical distribution of Echinocythereis and clarify the taxonomic status of its type species, Echinocythereis garretti (Howe and McGuirt in Howe et al., 1935) which (contrary to other authors) we consider to be a valid species. Finally, we revise the geographical and stratigraphical distributions and the taxonomy of one 'species complex', which is very common and abundant in the North Atlantic, and has also been recorded from the Pacific and Southern oceans. This species complex has been interpreted as a single species in virtually all publications on North Atlantic ostracods, where Echinocythereis has been identified. The complex includes Echinocythereis echinata (Sars, 1866), Echinocythereis irpex (Brady, 1880) and, the new species described herein, Echinocythereis jorunbrix sp. nov. To aid in subsequent fast and accurate identification of living specimens, we also provide three mitochondrial COI gene fragments of the new species, which represent the first barcodes for the entire Trachyleberididae family. Our study of both shell and soft parts of these three very similar Echinocythereis species indicates that fine details of the shell have a strong phylogenetic signal, but that these can only be properly understood through very careful study of comparative material and with the aid of high magnification microscopy, such as SEM.</t>
  </si>
  <si>
    <t>[Brandao, Simone N.] Univ Fed Rio Grande Norte UFRN, Lab Geol &amp; Geofis Marinha &amp; Monitoramento Ambient, Dept Geol, Programa Posgrad Geodinam &amp; Geofis, BR-59072970 Natal, RN, Brazil; [Brandao, Simone N.] Univ Hamburg, Zool Museum, Biozentrum Grindel, D-20146 Hamburg, Germany; [Brandao, Simone N.] German Ctr Marine Biodivers Res DZMB, Senckenberg Res Inst, Biozentrum Grindel, D-20146 Hamburg, Germany; [Karanovic, Ivana] Hanyang Univ, Coll Nat Sci, Dept Life Sci, Seoul 133791, South Korea; [Karanovic, Ivana] Univ Tasmania, Inst Marine &amp; Antarctic Studies, Hobart, Tas 7001, Australia</t>
  </si>
  <si>
    <t>Universidade Federal do Rio Grande do Norte; University of Hamburg; University of Hamburg; Senckenberg Gesellschaft fur Naturforschung (SGN); Hanyang University; University of Tasmania</t>
  </si>
  <si>
    <t>Brandao, SN (corresponding author), Univ Fed Rio Grande Norte UFRN, Lab Geol &amp; Geofis Marinha &amp; Monitoramento Ambient, Dept Geol, Programa Posgrad Geodinam &amp; Geofis, Campus Univ Lagoa Nova S-N,Caixa Postal 1596, BR-59072970 Natal, RN, Brazil.</t>
  </si>
  <si>
    <t>brandao.sn@gmail.com</t>
  </si>
  <si>
    <t>Brandao, Simone/C-9416-2013</t>
  </si>
  <si>
    <t>Brandao, Simone/0000-0002-3487-6129</t>
  </si>
  <si>
    <t>111 RIVER ST, HOBOKEN, NJ 07030 USA</t>
  </si>
  <si>
    <t>2056-2799</t>
  </si>
  <si>
    <t>2056-2802</t>
  </si>
  <si>
    <t>PAP PALAEONTOL</t>
  </si>
  <si>
    <t>Pap. Palaeontol.</t>
  </si>
  <si>
    <t>10.1002/spp2.1018</t>
  </si>
  <si>
    <t>CO6YU</t>
  </si>
  <si>
    <t>WOS:000359304900005</t>
  </si>
  <si>
    <t>Yonezawa, Y; Nagayama, A; Tokunaga, H; Ishibashi, M; Arai, S; Kuroki, R; Watanabe, K; Arakawa, T; Tokunaga, M</t>
  </si>
  <si>
    <t>Yonezawa, Yasushi; Nagayama, Aiko; Tokunaga, Hiroko; Ishibashi, Matsujiro; Arai, Shigeki; Kuroki, Ryota; Watanabe, Keiichi; Arakawa, Tsutomu; Tokunaga, Masao</t>
  </si>
  <si>
    <t>Nucleoside Diphosphate Kinase from Psychrophilic Pseudoalteromonas sp AS-131 Isolated from Antarctic Ocean</t>
  </si>
  <si>
    <t>PROTEIN JOURNAL</t>
  </si>
  <si>
    <t>Psychrophilic; Nucleoside diphosphate kinase; Pseudoalteromonas; Thermolability; Dimeric subunit; Modeling</t>
  </si>
  <si>
    <t>MODERATELY HALOPHILIC BACTERIA; BETA-LACTAMASE; HALOMONAS; COLD; ACID; SALT; MICROORGANISMS; EXTREMOPHILES; ARCHAEON; ENZYMES</t>
  </si>
  <si>
    <t>Nucleoside diphosphate kinase isolated from psychrophilic Pseudoalteromonas sp. AS-131 (ASNDK) was expressed in Escherichia coli and purified to homogeneity. Comparing to mesophilic NDK isolated from Pseudomonas aeruginosa, ASNDK exhibited highly elevated thermolability: E. coli expression at 37 A degrees C as a denatured insoluble form, 30 A degrees C lower optimum temperature of enzymatic activity, and greatly reduced heat stability with 38 A degrees C lower Tm value, fourfold higher Km and reduced Kcat/Km by 0.4-fold upon reaction temperature increase from 20 to 37 A degrees C. The subunit structure of ASNDK was suggested to be dimer, as in NDKs isolated from moderate halophiles.</t>
  </si>
  <si>
    <t>[Yonezawa, Yasushi; Nagayama, Aiko; Tokunaga, Hiroko; Ishibashi, Matsujiro; Tokunaga, Masao] Kagoshima Univ, Fac Agr, Appl &amp; Mol Microbiol, Kagoshima 8900065, Japan; [Yonezawa, Yasushi; Arai, Shigeki; Kuroki, Ryota] Japan Atom Energy Agcy, Quantum Beam Sci Ctr, Tokai, Ibaraki 3191195, Japan; [Watanabe, Keiichi] Saga Univ, Dept Appl Biochem &amp; Food Sci, Saga 840, Japan; [Arakawa, Tsutomu] Alliance Prot Labs, San Diego, CA 92121 USA</t>
  </si>
  <si>
    <t>Kagoshima University; Japan Atomic Energy Agency; Saga University</t>
  </si>
  <si>
    <t>Tokunaga, M (corresponding author), Kagoshima Univ, Fac Agr, Appl &amp; Mol Microbiol, 1-21-24 Korimoto, Kagoshima 8900065, Japan.</t>
  </si>
  <si>
    <t>tokunaga@chem.agri.kagoshima-u.ac.jp</t>
  </si>
  <si>
    <t>Arai, Shigeki/0000-0002-4819-4305</t>
  </si>
  <si>
    <t>1572-3887</t>
  </si>
  <si>
    <t>1573-4943</t>
  </si>
  <si>
    <t>PROTEIN J</t>
  </si>
  <si>
    <t>Protein J.</t>
  </si>
  <si>
    <t>10.1007/s10930-015-9623-0</t>
  </si>
  <si>
    <t>CP3VC</t>
  </si>
  <si>
    <t>WOS:000359809700005</t>
  </si>
  <si>
    <t>Howard, M</t>
  </si>
  <si>
    <t>Howard, Mark</t>
  </si>
  <si>
    <t>Thomas Sturge and his fleet of South Sea whalers</t>
  </si>
  <si>
    <t>INTERNATIONAL JOURNAL OF MARITIME HISTORY</t>
  </si>
  <si>
    <t>Antarctic exploration; cement manufacture; oil merchants; philanthropy; Quakers; railway companies; South Sea whaling; ship owning; spermaceti processors; Thomas Sturge the elder; Thomas Sturge the younger</t>
  </si>
  <si>
    <t>The literature on British South Sea whaling tends to focus on the vessels involved, with relatively little written about the ship-owners in the trade. Thomas Sturge the younger (1787-1866) was a Quaker ship-owner in London who had at least 22 vessels, most of which were involved in South Sea whaling. He took a close interest in how they operated and ensured that they were in good repair and well provisioned for their long and arduous voyages. He advised his captains on where to fish', and gave them instructions on how to treat their crewmen. Sturge was also part owner of two vessels that made significant voyages of discovery to the Antarctic. He was involved in a number of other commercial ventures and active in the wider community as a social reformer and philanthropist.</t>
  </si>
  <si>
    <t>Monash Univ, Melbourne, Vic 3004, Australia</t>
  </si>
  <si>
    <t>Monash University</t>
  </si>
  <si>
    <t>Howard, M (corresponding author), Monash Univ, Melbourne, Vic 3004, Australia.</t>
  </si>
  <si>
    <t>markh19@bigpond.com</t>
  </si>
  <si>
    <t>0843-8714</t>
  </si>
  <si>
    <t>2052-7756</t>
  </si>
  <si>
    <t>INT J MARIT HIST</t>
  </si>
  <si>
    <t>Int. J. Marit. Hist.</t>
  </si>
  <si>
    <t>10.1177/0843871415587249</t>
  </si>
  <si>
    <t>CO4SG</t>
  </si>
  <si>
    <t>WOS:000359150300003</t>
  </si>
  <si>
    <t>Kent, N</t>
  </si>
  <si>
    <t>Kent, Neil</t>
  </si>
  <si>
    <t>Bellingshausen and the Russian Antarctic Expedition, 1819-21</t>
  </si>
  <si>
    <t>[Kent, Neil] Univ Cambridge, Scott Polar Res Inst, Cambridge CB2 1ER, England</t>
  </si>
  <si>
    <t>University of Cambridge</t>
  </si>
  <si>
    <t>Kent, N (corresponding author), Univ Cambridge, Scott Polar Res Inst, Cambridge CB2 1ER, England.</t>
  </si>
  <si>
    <t>10.1177/0843871415586662f</t>
  </si>
  <si>
    <t>WOS:000359150300017</t>
  </si>
  <si>
    <t>Gupta, P; Balaji, R; Parani, M; Chandra, TS; Shukla, P; Kumar, A; Bandopadhyay, R</t>
  </si>
  <si>
    <t>Gupta, Pratibha; Balaji, Raju; Parani, M.; Chandra, T. S.; Shukla, P.; Kumar, Anil; Bandopadhyay, Rajib</t>
  </si>
  <si>
    <t>Phylogenetic analysis and biological characteristic tests of marine bacteria isolated from Southern Ocean (Indian sector) water</t>
  </si>
  <si>
    <t>Southern Ocean; marine bacteria; 16S rDNA; phylogenetic tree; antibacterial</t>
  </si>
  <si>
    <t>RIBOSOMAL-RNA GENE; ANTARCTIC CIRCUMPOLAR CURRENT; COMMUNITY STRUCTURE; DIVERSITY; IDENTIFICATION; SOIL; SEA</t>
  </si>
  <si>
    <t>Fifty-seven bacteria were isolated from Southern Ocean (Indian sector) water samples which were collected from different latitude and longitude of the ocean. All the isolates were able to grow at 4A degrees C, 20A degrees C, 37A degrees C and tolerable NaCl concentration up to 13.5% (w/v). 29 out of 57 isolates were identified using 16S rDNA amplification and the sequences were submitted to National Center for Biotechnology Information (NCBI). All the isolates were classified by using Ribosomal Database Project (RDP) and found that isolates belongs to Proteobacteria and Bacteriodes. The average G+C content was 56.4%. The isolates were screened for the presence of extracellular enzymes, viz. amylase, catalase, urease, esterase, lipase and protease. The disc diffusion method is used to screen antibiotic production by the isolates against four pathogenic bacteria, viz. Salmonella typhimurium (NCIM 2501), Staphylococcus aureus (NCIM 2122), Bacillus subtilis (NCIM 2193), and Pseudomonas aeruginosa (NCIM 2036). Nine out of 29 were found to be antibiotic producer.</t>
  </si>
  <si>
    <t>[Gupta, Pratibha; Shukla, P.; Bandopadhyay, Rajib] Birla Inst Technol, Dept Bioengn, Ranchi 835215, Jharkhand, India; [Balaji, Raju; Parani, M.] SRM Univ, Dept Genet Engn, Madras 600033, Tamil Nadu, India; [Chandra, T. S.] Indian Inst Technol Madras, Dept Biotechnol, Microbiol &amp; Genet Lab, Madras 600036, Tamil Nadu, India; [Shukla, P.] Maharshi Dayanand Univ, Dept Microbiol, Rohtak 124001, Haryana, India; [Kumar, Anil] Govt India, OSSG Dept, Natl Ctr Antarct &amp; Ocean Res, Minist Earth Sci, Vasco Da Gama 403804, Goa, India; [Bandopadhyay, Rajib] Univ Burdwan, Dept Bot, UGC Ctr Adv Study, Bardhaman 713104, W Bengal, India</t>
  </si>
  <si>
    <t>Birla Institute of Technology Mesra; SRM Institute of Science &amp; Technology Chennai; Indian Institute of Technology System (IIT System); Indian Institute of Technology (IIT) - Madras; Maharshi Dayanand University; Ministry of Earth Sciences (MoES) - India; National Centre for Polar and Ocean Research (NCPOR); University of Burdwan</t>
  </si>
  <si>
    <t>Bandopadhyay, R (corresponding author), Birla Inst Technol, Dept Bioengn, Ranchi 835215, Jharkhand, India.</t>
  </si>
  <si>
    <t>rajibindia@gmail.com</t>
  </si>
  <si>
    <t>Bandopadhyay, Rina/C-7926-2009; Madasamy, Parani/H-4911-2012; Raju, Balaji/AAT-9568-2020; GUpta, Pratibha/HLQ-0524-2023; Shukla, Pratyoosh/N-8039-2013</t>
  </si>
  <si>
    <t>Raju, Balaji/0000-0003-0173-1510; Shukla, Pratyoosh/0000-0002-9307-4126; Parani, Madasamy/0000-0002-2265-1715; TS, Chandra/0000-0003-2336-0271; Bandopadhyay, Rajib/0000-0002-8318-5631</t>
  </si>
  <si>
    <t>Cumulative Professional Development Grant (CPDG) from BIT, Mesra [GO/PD/2011-12/269/3523]; Government of Jharkhand, Department of Agriculture [5/B.K.V/Misc/12/2001]; [NPIU/TEQIP II/FIN/31/158]</t>
  </si>
  <si>
    <t>Cumulative Professional Development Grant (CPDG) from BIT, Mesra; Government of Jharkhand, Department of Agriculture;</t>
  </si>
  <si>
    <t>The authors are thankful for the Expedition support to MoES, New Delhi and NCAOR, Goa (No. MoES/NCAOR/SOS/1/2007-PC-I; dated January 4, 2011). This work was done under the Cumulative Professional Development Grant (CPDG; Ref No. GO/PD/2011-12/269/3523; dated, August 04, 2011) from BIT, Mesra. Authors are thankful to BTISNet SubDIC (BT/BI/065/2004) for providing internet facilities and the Government of Jharkhand, Department of Agriculture for providing infrastructure development fund (5/B.K.V/Misc/12/2001). PG gratefully acknowledges the financial support as research fellowship to Centre of Excellence (COE) (Ref No. NPIU/TEQIP II/FIN/31/158, dated April 16, 2013) at the Department of Bio-Engineering.</t>
  </si>
  <si>
    <t>10.1007/s13131-015-0709-5</t>
  </si>
  <si>
    <t>CO2CF</t>
  </si>
  <si>
    <t>WOS:000358962200009</t>
  </si>
  <si>
    <t>Dobson, FS; Jouventin, P</t>
  </si>
  <si>
    <t>Dobson, F. Stephen; Jouventin, Pierre</t>
  </si>
  <si>
    <t>Does feeding zone influence egg size in slow-breeding seabirds?</t>
  </si>
  <si>
    <t>albatrosses; egg size; feeding zones; incubation shift; petrels; slow breeding.</t>
  </si>
  <si>
    <t>LIFE-HISTORY PATTERNS; CONFIDENCE-INTERVALS; BODY-SIZE; EVOLUTION; WEIGHT; BIRDS</t>
  </si>
  <si>
    <t>In several bird species, mothers that endow their eggs with additional resources benefit from more rapid development and more robust offspring. We examined egg size and associated life-history traits in 44 species of the slow-breeding procellariiform seabirds (albatrosses and petrels). The far distant foraging of some of the species should subject them to difficult ecological conditions and perhaps delays in return to the nest. Such delays might lead to poorer egg care by the remaining parent. To compensate, we predicted a positive association of egg size with foraging zone (offshore, near pelagic, far pelagic), and both with the length of incubation shifts. We tested this hypothesis and also examined egg size and fitness-related reproductive traits. Egg size scaled significantly and tightly with female body mass (beta = 0.72, R-2 = 0.98). After influences of both size and phylogeny were removed, however, egg size was positively and significantly associated with both mean length of incubation shift and feeding zone (r = 0.45 and 0.46, respectively), perhaps indicating a life-history syndrome of egg size, incubation, and distance that species go to forage during the breeding season, and supporting the compensation hypothesis.</t>
  </si>
  <si>
    <t>[Dobson, F. Stephen; Jouventin, Pierre] CNRS, Ctr Ecol Fonct &amp; Evolut, UMR 5175, F-34293 Montpellier 5, France; [Dobson, F. Stephen] Auburn Univ, Dept Biol Sci, Auburn, AL 36849 USA</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</si>
  <si>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Auburn University System; Auburn University</t>
  </si>
  <si>
    <t>Dobson, FS (corresponding author), CNRS, Ctr Ecol Fonct &amp; Evolut, UMR 5175, 1919 Route Mende, F-34293 Montpellier 5, France.</t>
  </si>
  <si>
    <t>fsdobsono@msn.com</t>
  </si>
  <si>
    <t>Dobson, F. Stephen/R-7310-2019</t>
  </si>
  <si>
    <t>Dobson, F. Stephen/0000-0001-5562-6316</t>
  </si>
  <si>
    <t>Institut Paul Emile Victor (Institut Francais de la Recherche et Technologie Polaire); CNRS (Centre National de la Recherche Scientifique)</t>
  </si>
  <si>
    <t>Institut Paul Emile Victor (Institut Francais de la Recherche et Technologie Polaire); CNRS (Centre National de la Recherche Scientifique)(Centre National de la Recherche Scientifique (CNRS))</t>
  </si>
  <si>
    <t>Field support, both logistical and financial, was provided by the Institut Paul Emile Victor (Institut Francais de la Recherche et Technologie Polaire) and the CNRS (Centre National de la Recherche Scientifique). Suggestions from J. Bried were very helpful. Our special thanks go to the over 200 field workers involved in capturing and ringing birds in the French Austral and Antarctic territories during the long-term research.</t>
  </si>
  <si>
    <t>10.1139/cjz-2015-0036</t>
  </si>
  <si>
    <t>CO6JK</t>
  </si>
  <si>
    <t>WOS:000359262800001</t>
  </si>
  <si>
    <t>Stansell, ND; Rodbell, DT; Licciardi, JM; Sedlak, CM; Schweinsberg, AD; Huss, EG; Delgado, GM; Zimmerman, SH; Finkel, RC</t>
  </si>
  <si>
    <t>Stansell, Nathan D.; Rodbell, Donald T.; Licciardi, Joseph M.; Sedlak, Christopher M.; Schweinsberg, Avriel D.; Huss, Elizabeth G.; Delgado, Grace M.; Zimmerman, Susan H.; Finkel, Robert C.</t>
  </si>
  <si>
    <t>Late Glacial and Holocene glacier fluctuations at Nevado Huaguruncho in the Eastern Cordillera of the Peruvian Andes</t>
  </si>
  <si>
    <t>RECORDS</t>
  </si>
  <si>
    <t>Discerning the timing and pattern of late Quaternary glacier variability in the tropical Andes is important for our understanding of global climate change. Terrestrial cosmogenic nuclide (TCN) ages (48) on moraines and radiocarbon-dated clastic sediment records from a moraine-dammed lake at Nevado Huaguruncho, Peru, document the waxing and waning of alpine glaciers in the Eastern Cordillera during the past similar to 15 k.y. The integrated moraine and lake records indicate that ice advanced at 14.1 +/- 0.4 ka, during the first half of the Antarctic Cold Reversal, and began retreating by 13.7 +/- 0.4 ka. Ice retreated and paraglacial sedimentation declined until ca. 12 ka, when proxy indicators of glacigenic sediment increased sharply, heralding an ice advance that culminated in multiple moraine positions from 11.6 +/- 0.2 ka to 10.3 +/- 0.2 ka. Proxy indicators of glacigenic sediment input suggest oscillating ice extents from ca. 10 to 4 ka, and somewhat more extensive ice cover from 4 to 2 ka, followed by ice retreat. The lack of TCN ages from these intervals suggests that glaciers were less extensive than during the late Holocene. A final Holocene advance occurred during the Little Ice Age (LIA, ca. 0.4 to 0.2 ka) under colder and wetter conditions as documented in regional proxy archives. The pattern of glacier variability at Huaguruncho during the Late Glacial and Holocene is similar to the pattern of tropical Atlantic sea-surface temperatures, and provides evidence that prior to the LIA, ice extent in the eastern tropical Andes was decoupled from temperatures in the high-latitude North Atlantic.</t>
  </si>
  <si>
    <t>[Stansell, Nathan D.] No Illinois Univ, Dept Geol &amp; Environm Geosci, De Kalb, IL 60115 USA; [Rodbell, Donald T.; Delgado, Grace M.] Union Coll, Dept Geol, Schenectady, NY 12308 USA; [Licciardi, Joseph M.; Schweinsberg, Avriel D.; Huss, Elizabeth G.; Delgado, Grace M.] Univ New Hampshire, Dept Earth Sci, Durham, NH 03824 USA; [Sedlak, Christopher M.] Ohio State Univ, Byrd Polar &amp; Climate Res Ctr, Columbus, OH 43210 USA; [Schweinsberg, Avriel D.] SUNY Buffalo, Dept Geol, Buffalo, NY 14260 USA; [Zimmerman, Susan H.; Finkel, Robert C.] Lawrence Livermore Natl Lab, Ctr Accelerator Mass Spectrometry, Livermore, CA 94550 USA; [Finkel, Robert C.] Univ Calif Berkeley, Dept Earth &amp; Planetary Sci, Berkeley, CA 94720 USA</t>
  </si>
  <si>
    <t>Northern Illinois University; Union College; University System Of New Hampshire; University of New Hampshire; University System of Ohio; Ohio State University; State University of New York (SUNY) System; State University of New York (SUNY) Buffalo; United States Department of Energy (DOE); Lawrence Livermore National Laboratory; University of California System; University of California Berkeley</t>
  </si>
  <si>
    <t>Stansell, ND (corresponding author), No Illinois Univ, Dept Geol &amp; Environm Geosci, De Kalb, IL 60115 USA.</t>
  </si>
  <si>
    <t>nstansell@niu.edu</t>
  </si>
  <si>
    <t>Schweinsberg, Avriel/M-3432-2019; Zimmerman, Susan R.H./A-3351-2013</t>
  </si>
  <si>
    <t>Schweinsberg, Avriel/0000-0001-7374-5706; Zimmerman, Susan/0000-0002-1320-1878; Stansell, Nathan/0000-0003-2477-1953</t>
  </si>
  <si>
    <t>National Science Foundation [EAR-1003780, EAR-1003711]; Division Of Earth Sciences; Directorate For Geosciences [1462347] Funding Source: National Science Foundation</t>
  </si>
  <si>
    <t>National Science Foundation(National Science Foundation (NSF)); Division Of Earth Sciences; Directorate For Geosciences(National Science Foundation (NSF)NSF - Directorate for Geosciences (GEO))</t>
  </si>
  <si>
    <t>We thank D. Bain, J. Dalakos, and D. Pompeani for laboratory assistance and J. Schaefer for providing the low-level 9Be carrier. Funding was provided by the National Science Foundation (grants EAR-1003780 and EAR-1003711), and the Keck Geology Consortium. This is Lawrence Livermore National Laboratory contribution LLNL-JRNL-667538.</t>
  </si>
  <si>
    <t>10.1130/G36735.1</t>
  </si>
  <si>
    <t>CO2VK</t>
  </si>
  <si>
    <t>WOS:000359014600023</t>
  </si>
  <si>
    <t>Bardin, N; Duprat, J; Engrand, C; Slodzian, G; Baklouti, D; Dartois, E; Brunetto, R; Delauche, L; Godard, M; Wu, TD; Guerquin-Kern, JL</t>
  </si>
  <si>
    <t>Bardin, N.; Duprat, J.; Engrand, C.; Slodzian, G.; Baklouti, D.; Dartois, E.; Brunetto, R.; Delauche, L.; Godard, M.; Wu, T. -D.; Guerquin-Kern, J. -L.</t>
  </si>
  <si>
    <t>D/H AND 15N/14N ISOTOPIC RATIOS IN ORGANIC MATTER OF ULTRACARBONACEOUS ANTARCTIC MICROMETEORITES</t>
  </si>
  <si>
    <t>78th Annual Meeting of the Meteoritical-Society</t>
  </si>
  <si>
    <t>JUL 27-31, 2015</t>
  </si>
  <si>
    <t>Berkeley, CA</t>
  </si>
  <si>
    <t>SNOW</t>
  </si>
  <si>
    <t>[Bardin, N.; Duprat, J.; Engrand, C.; Slodzian, G.; Delauche, L.; Godard, M.] Univ Paris 11, CSNSM, F-91405 Orsay, France; [Baklouti, D.; Dartois, E.; Brunetto, R.] Univ Paris 11, IAS, F-91405 Orsay, France; [Wu, T. -D.; Guerquin-Kern, J. -L.] CNRS, INSERM, Inst Curie, F-91405 Orsay, France</t>
  </si>
  <si>
    <t>Universite Paris Saclay; Universite Paris Saclay; Institut National de la Sante et de la Recherche Medicale (Inserm); UNICANCER; Universite PSL; Institut Curie; Centre National de la Recherche Scientifique (CNRS)</t>
  </si>
  <si>
    <t>Noemie.Bardin@csnsm.in2p3.fr</t>
  </si>
  <si>
    <t>Godard, Marie/H-6451-2011; Guerquin-Kern, Jean-Luc/M-5000-2018</t>
  </si>
  <si>
    <t>Godard, Marie/0000-0002-7276-4021; Guerquin-Kern, Jean-Luc/0000-0002-8610-0146</t>
  </si>
  <si>
    <t>5275.pdf</t>
  </si>
  <si>
    <t>CN7CR</t>
  </si>
  <si>
    <t>WOS:000358591900014</t>
  </si>
  <si>
    <t>Chen, HY; Miao, BK; Huang, LL</t>
  </si>
  <si>
    <t>Chen, H. Y.; Miao, B. K.; Huang, L. L.</t>
  </si>
  <si>
    <t>ANCIENT SILICIFICATION ON ASTEROID 4 VESTA: EVIDENCE FROM A EUCRITE GROVE MOUNTAINS (GRV)13001 FROM ANTARCTIC</t>
  </si>
  <si>
    <t>Guangxi Key Lab Hidden Metall Ore Deposits Explor, Guilin, Peoples R China; Guilin Univ Technol, Coll Earth Sci, Guilin 541004, Guangxi, Peoples R China</t>
  </si>
  <si>
    <t>Guilin University of Technology</t>
  </si>
  <si>
    <t>chy@glut.edu.cn</t>
  </si>
  <si>
    <t>5003.pdf</t>
  </si>
  <si>
    <t>WOS:000358591900054</t>
  </si>
  <si>
    <t>Righter, K; Satterwhite, C; Schutt, J</t>
  </si>
  <si>
    <t>Righter, K.; Satterwhite, C.; Schutt, J.</t>
  </si>
  <si>
    <t>UPDATES ON PAIRING ISSUES WITH THE US ANTARCTIC METEORITE COLLECTION</t>
  </si>
  <si>
    <t>CHONDRITES</t>
  </si>
  <si>
    <t>[Righter, K.] NASA, Lyndon B Johnson Space Ctr, Houston, TX 77058 USA; [Satterwhite, C.] NASA, Lyndon B Johnson Space Ctr, Jacobs, Houston, TX 77058 USA; [Schutt, J.] Case Western Reserve Univ, Dept Earth Environm Planet Sci, Cleveland, OH 44106 USA</t>
  </si>
  <si>
    <t>National Aeronautics &amp; Space Administration (NASA); NASA Johnson Space Center; National Aeronautics &amp; Space Administration (NASA); NASA Johnson Space Center; University System of Ohio; Case Western Reserve University</t>
  </si>
  <si>
    <t>Kevin.righter-1@nasa.gov</t>
  </si>
  <si>
    <t>5266.pdf</t>
  </si>
  <si>
    <t>WOS:000358591900276</t>
  </si>
  <si>
    <t>Xie, ZD; Zuo, SH</t>
  </si>
  <si>
    <t>Xie, Zhidong; Zuo, Shuhao</t>
  </si>
  <si>
    <t>PARTIAL TRANSFORMED HIGH PRESSURE PHASES IN SHOCKED-INDUCED MELT VEIN OF ANTARCTIC GRV METEORITES</t>
  </si>
  <si>
    <t>[Xie, Zhidong; Zuo, Shuhao] Nanjing Univ, Sch Earth Sci &amp; Engn, Nanjing, Jiangsu, Peoples R China</t>
  </si>
  <si>
    <t>Nanjing University</t>
  </si>
  <si>
    <t>zhidongx@nju.edu.cn</t>
  </si>
  <si>
    <t>5169.pdf</t>
  </si>
  <si>
    <t>WOS:000358591900364</t>
  </si>
  <si>
    <t>Yabuta, H; Noguchi, T; Itoh, S; Nakamura, T; Mitsunari, T; Okubo, A; Okazaki, R; Tachibana, S; Terada, K; Ebihara, M; Nagahara, H</t>
  </si>
  <si>
    <t>Yabuta, H.; Noguchi, T.; Itoh, S.; Nakamura, T.; Mitsunari, T.; Okubo, A.; Okazaki, R.; Tachibana, S.; Terada, K.; Ebihara, M.; Nagahara, H.</t>
  </si>
  <si>
    <t>VARIATIONS IN ORGANIC FUNCTIONAL GROUPS BETWEEN HYDROUS AND ANHYDROUS ANTARCTIC MICROMETEORITES</t>
  </si>
  <si>
    <t>[Yabuta, H.; Terada, K.] Osaka Univ, Suita, Osaka 565, Japan; [Noguchi, T.; Okazaki, R.] Kyushu Univ, Fukuoka 812, Japan; [Itoh, S.] Kyoto Univ, Kyoto 6068501, Japan; [Nakamura, T.] Tohoku Univ, Sendai, Miyagi 980, Japan; [Mitsunari, T.] Ibaraki Univ, Mito, Ibaraki, Japan; [Okubo, A.; Nagahara, H.] Univ Tokyo, Tokyo 1138654, Japan; [Tachibana, S.] Hokkaido Univ, Sapporo, Hokkaido 060, Japan; [Ebihara, M.] Tokyo Metropolitan Univ, Tokyo, Japan</t>
  </si>
  <si>
    <t>Osaka University; Kyushu University; Kyoto University; Tohoku University; Ibaraki University; University of Tokyo; Hokkaido University; Tokyo Metropolitan University</t>
  </si>
  <si>
    <t>hyabuta@ess.sci.osaka-u.ac.jp</t>
  </si>
  <si>
    <t>Noguchi, Takaaki/IWV-1123-2023; Tachibana, Shogo/R-7884-2018; Terada, Kentaro/AAN-5930-2021</t>
  </si>
  <si>
    <t>Noguchi, Takaaki/0000-0001-7211-2595;</t>
  </si>
  <si>
    <t>5301.pdf</t>
  </si>
  <si>
    <t>WOS:000358591900367</t>
  </si>
  <si>
    <t>Evans, J</t>
  </si>
  <si>
    <t>Evans, Jeffrey</t>
  </si>
  <si>
    <t>CRYOSPHERE Antarctic ice growth and retreat</t>
  </si>
  <si>
    <t>PINE ISLAND GLACIER; WEST ANTARCTICA; SHEET; THWAITES; OCEAN</t>
  </si>
  <si>
    <t>Antarctic Ice Sheet change during the last glacial cycle is unclear. The timing of moraine development in the Ross basin suggests that the ice sheet reached maximum thickness under the warming temperatures of the last termination.</t>
  </si>
  <si>
    <t>Univ Loughborough, Dept Geog, Loughborough LE11 3TU, Leics, England</t>
  </si>
  <si>
    <t>Loughborough University</t>
  </si>
  <si>
    <t>Evans, J (corresponding author), Univ Loughborough, Dept Geog, Loughborough LE11 3TU, Leics, England.</t>
  </si>
  <si>
    <t>J.Evans2@lboro.ac.uk</t>
  </si>
  <si>
    <t>10.1038/ngeo2494</t>
  </si>
  <si>
    <t>CN8ZQ</t>
  </si>
  <si>
    <t>WOS:000358735500008</t>
  </si>
  <si>
    <t>Hall, BL; Denton, GH; Heath, SL; Jackson, MS; Koffman, TNB</t>
  </si>
  <si>
    <t>Hall, Brenda L.; Denton, George H.; Heath, Stephanie L.; Jackson, Margaret S.; Koffman, Tobias N. B.</t>
  </si>
  <si>
    <t>Accumulation and marine forcing of ice dynamics in the western Ross Sea during the last deglaciation</t>
  </si>
  <si>
    <t>MELTWATER PULSE 1A; SURFACE FLUCTUATIONS; HATHERTON GLACIER; SHEET COLLAPSE; ANTARCTICA; CHRONOLOGY; THWAITES; HISTORY; VALLEY</t>
  </si>
  <si>
    <t>The grounding line of the ice sheet in the Ross Sea, Antarctica, retreated between the Last Glacial Maximum and the present. However, the timing of the retreat and the interplay of factors controlling ice stability in this region1 remain uncertain. Here we use 180 radiocarbon dates to reconstruct the chronology of moraine construction on the headlands adjacent to western McMurdo Sound. On the basis of these dates we then assess the timing of ice expansion and retreat in the Ross drainage system that is fed from both the East and West Antarctic ice sheets. We find that grounded ice in the western Ross Sea achieved its greatest thickness and extent during the last termination, between 12,800 and 18,700 years ago. Maximum ice thickness at our site coincides with a period of high accumulation as recorded by the West Antarctic Ice Sheet Divide ice core2. Recession of the ice sheet from the headland moraines began about 12,800 years ago, despite continued high accumulation and the expansion of land-based glaciers at this time. We therefore suggest that the grounding-line retreat reflects an increased marine influence as sea levels rose and the ocean warmed. We suggest that future instability in the ice sheet grounding line may occur whenever the ocean forcing is stronger than forcing from accumulation.</t>
  </si>
  <si>
    <t>[Hall, Brenda L.; Denton, George H.] Univ Maine, Sch Earth &amp; Climate Sci, Orono, ME 04469 USA; [Hall, Brenda L.; Denton, George H.] Univ Maine, Climate Change Inst, Orono, ME 04469 USA; [Jackson, Margaret S.] Dartmouth Coll, Dept Earth Sci, Hanover, NH 03775 USA; [Koffman, Tobias N. B.] Columbia Univ, Lamont Doherty Earth Observ, Geochem, Palisades, NY 10964 USA</t>
  </si>
  <si>
    <t>University of Maine System; University of Maine Orono; University of Maine System; University of Maine Orono; Dartmouth College; Columbia University</t>
  </si>
  <si>
    <t>Hall, BL (corresponding author), Univ Maine, Sch Earth &amp; Climate Sci, Orono, ME 04469 USA.</t>
  </si>
  <si>
    <t>BrendaH@maine.edu</t>
  </si>
  <si>
    <t>Jackson, Margaret/0000-0001-7613-752X</t>
  </si>
  <si>
    <t>Office of Polar Programs of the National Science Foundation; Office of Polar Programs (OPP); Directorate For Geosciences [1115245] Funding Source: National Science Foundation</t>
  </si>
  <si>
    <t>Office of Polar Programs of the National Science Foundation; Office of Polar Programs (OPP); Directorate For Geosciences(National Science Foundation (NSF)NSF - Directorate for Geosciences (GEO))</t>
  </si>
  <si>
    <t>This research was supported by the Office of Polar Programs of the National Science Foundation. R. Arnold, E. Dengler, C. Mako, G. McKinney, P. Ryan and P. Strand assisted in the field. We thank A. Putnam for constructive criticism.</t>
  </si>
  <si>
    <t>10.1038/NGEO2478</t>
  </si>
  <si>
    <t>WOS:000358735500017</t>
  </si>
  <si>
    <t>Savic, S; Milovanovic, B; Luzanin, Z; Lazic, L; Dolinaj, D</t>
  </si>
  <si>
    <t>Savic, Stevan; Milovanovic, Bosko; Luzanin, Zorana; Lazic, Lazar; Dolinaj, Dragan</t>
  </si>
  <si>
    <t>The variability of extreme temperatures and their relationship with atmospheric circulation: the contribution of applying linear and quadratic models</t>
  </si>
  <si>
    <t>THEORETICAL AND APPLIED CLIMATOLOGY</t>
  </si>
  <si>
    <t>MINIMUM TEMPERATURES; CLIMATE EXTREMES; AIR-TEMPERATURE; MEAN MAXIMUM; TRENDS; PRECIPITATION; EUROPE; 20TH-CENTURY; PATTERNS; ESTONIA</t>
  </si>
  <si>
    <t>This paper presents an analysis of the homogenised mean maximum (T (max)) and minimum (T (min)) temperatures. The data used in the analysis were collected at eight stations in the Autonomous Province of Vojvodina (Serbia) during the 1949-2008 period. The trends obtained from the slopes of the regression lines using the least square method show 0.9 A degrees C/60 years for T (max) and 1.1 A degrees C/60 years for T (min); the non-parametric Mann-Kendall test was used to determine the statistically significant increasing trends of these two extreme parameters. In this paper, we analyse the influence of the Vangengeim-Girs classification of atmospheric circulation on the T (max) and T (min) trends in the Autonomous Province of Vojvodina (Serbia) using linear and quadratic models based on the least square method. Linear stepwise regression and the forward method reveal the highest dependence of T (max) and T (min) when the W or E circulation types are included in the model. Non-linear models show a greater contribution of T (max) and T (min) at W, E and C circulation types, respectively. The correction of the variance contribution of quadratic models ranges from approximately 16 to 44 % for T (max) and 32 to 38 % for T (min).</t>
  </si>
  <si>
    <t>[Savic, Stevan; Lazic, Lazar; Dolinaj, Dragan] Univ Novi Sad, Fac Sci, Climatol &amp; Hydrol Res Ctr, Novi Sad 21000, Serbia; [Milovanovic, Bosko] Serbian Acad Arts &amp; Sci, Geog Inst Jovan Cvijic, Belgrade 11000, Serbia; [Luzanin, Zorana] Univ Novi Sad, Fac Sci, Ctr Math Res Nonlinear Phenomena, Novi Sad 21000, Serbia</t>
  </si>
  <si>
    <t>University of Novi Sad; Serbian Academy of Sciences &amp; Arts; University of Novi Sad</t>
  </si>
  <si>
    <t>Savic, S (corresponding author), Univ Novi Sad, Fac Sci, Climatol &amp; Hydrol Res Ctr, Trg Dositeja Obradovica 3, Novi Sad 21000, Serbia.</t>
  </si>
  <si>
    <t>stevan.savic@dgt.uns.ac.rs</t>
  </si>
  <si>
    <t>Milovanović, Boško/AAN-2171-2021; Savic, Stevan/AAD-5748-2020</t>
  </si>
  <si>
    <t>Savic, Stevan/0000-0002-4297-129X; Dolinaj, Dragan/0000-0001-7558-6008; Luzanin, Zorana/0000-0002-7215-2252</t>
  </si>
  <si>
    <t>Ministry of Education, Science and Technological Development of the Republic of Serbia [176020, III 47007]</t>
  </si>
  <si>
    <t>Ministry of Education, Science and Technological Development of the Republic of Serbia(Ministry of Education, Science &amp; Technological Development, Serbia)</t>
  </si>
  <si>
    <t>The authors extend their gratitude to the colleagues from the Arctic and Antarctic Research Institute in Saint Petersburg, Russia, for providing the Vangengeim-Girs classification data. We would also like to thank the colleagues from the Meteorological Observatory of the Republic Hydrometeorological Service of Serbia for their kind support in getting metadata records. This research has been funded by the Ministry of Education, Science and Technological Development of the Republic of Serbia through Project Nos. 176020 and III 47007 Geography of Serbia.</t>
  </si>
  <si>
    <t>SPRINGER WIEN</t>
  </si>
  <si>
    <t>SACHSENPLATZ 4-6, PO BOX 89, A-1201 WIEN, AUSTRIA</t>
  </si>
  <si>
    <t>0177-798X</t>
  </si>
  <si>
    <t>1434-4483</t>
  </si>
  <si>
    <t>THEOR APPL CLIMATOL</t>
  </si>
  <si>
    <t>Theor. Appl. Climatol.</t>
  </si>
  <si>
    <t>3-4</t>
  </si>
  <si>
    <t>10.1007/s00704-014-1263-3</t>
  </si>
  <si>
    <t>CO3KJ</t>
  </si>
  <si>
    <t>WOS:000359055800015</t>
  </si>
  <si>
    <t>Mumford, KA; Powell, SM; Rayner, JL; Hince, G; Snape, I; Stevens, GW</t>
  </si>
  <si>
    <t>Mumford, K. A.; Powell, S. M.; Rayner, J. L.; Hince, G.; Snape, I.; Stevens, G. W.</t>
  </si>
  <si>
    <t>Evaluation of a permeable reactive barrier to capture and degrade hydrocarbon contaminants</t>
  </si>
  <si>
    <t>ENVIRONMENTAL SCIENCE AND POLLUTION RESEARCH</t>
  </si>
  <si>
    <t>Permeable reactive barrier; Hydrocarbon contaminant; Petroleum hydrocarbon; Antarctic remediation</t>
  </si>
  <si>
    <t>ZERO-VALENT IRON; GROUND-WATER; SEQUENTIAL TREATMENT; ANTARCTIC SOILS; CASEY STATION; FREEZE-THAW; REMEDIATION; BACTERIA; BIODEGRADATION; TEMPERATURE</t>
  </si>
  <si>
    <t>A permeable reactive barrier (PRB) was installed during 2005/2006 to intercept, capture and degrade a fuel spill at the Main Power House, Casey Station, Antarctica. Here, evaluation of the performance of the PRB is conducted via interpretation of total petroleum hydrocarbon (TPH) concentrations, degradation indices and most probable number (MPN) counts of total heterotroph and fuel degrading microbial populations. Results indicate that locations which contained the lowest TPH concentrations also exhibited the highest levels of degradation and numbers of fuel degrading microbes, based on the degradation indices and MPN methods selected. This provides insights to the most appropriate reactive materials for use in PRB's in cold and nutrient-limited environments.</t>
  </si>
  <si>
    <t>[Mumford, K. A.; Stevens, G. W.] Univ Melbourne, Particulate Fluids Proc Ctr, Dept Chem &amp; Biomol Engn, Melbourne, Vic, Australia; [Powell, S. M.] Univ Tasmania, Sch Land &amp; Food, Hobart, Tas, Australia; [Rayner, J. L.] CSIRO Land &amp; Water, Wembley, WA 6913, Australia; [Hince, G.; Snape, I.] Australian Antarctic Div, Dept Sustainabil Environm Water Populat &amp; Communi, Kingston, Tas 9050, Australia</t>
  </si>
  <si>
    <t>University of Melbourne; Melbourne Bioinformatics; University of Tasmania; Commonwealth Scientific &amp; Industrial Research Organisation (CSIRO); Australian Antarctic Division</t>
  </si>
  <si>
    <t>Mumford, KA (corresponding author), Univ Melbourne, Particulate Fluids Proc Ctr, Dept Chem &amp; Biomol Engn, Melbourne, Vic, Australia.</t>
  </si>
  <si>
    <t>Powell, Shane M/C-2391-2014; Mumford, Kathryn A/M-6566-2015; Rayner, John L/F-7633-2013</t>
  </si>
  <si>
    <t>Powell, Shane/0000-0001-5082-1630; Stevens, Geoffrey/0000-0002-5788-4682</t>
  </si>
  <si>
    <t>0944-1344</t>
  </si>
  <si>
    <t>1614-7499</t>
  </si>
  <si>
    <t>ENVIRON SCI POLLUT R</t>
  </si>
  <si>
    <t>Environ. Sci. Pollut. Res.</t>
  </si>
  <si>
    <t>10.1007/s11356-015-4438-2</t>
  </si>
  <si>
    <t>CN6YF</t>
  </si>
  <si>
    <t>WOS:000358579700031</t>
  </si>
  <si>
    <t>Schoenrock, KM; Amsler, CD; McClintock, JB; Baker, BJ</t>
  </si>
  <si>
    <t>Schoenrock, Kathryn M.; Amsler, Charles D.; McClintock, James B.; Baker, Bill J.</t>
  </si>
  <si>
    <t>A comprehensive study of Antarctic algal symbioses: minimal impacts of endophyte presence in most species of macroalgal hosts</t>
  </si>
  <si>
    <t>EUROPEAN JOURNAL OF PHYCOLOGY</t>
  </si>
  <si>
    <t>algae; Antarctica; chlorophyll fluorescence; endophyte; palatability; toughness</t>
  </si>
  <si>
    <t>MARINE MACROALGAE; SUBTIDAL MACROALGAE; INFECTIONS; EPIPHYTE; GROWTH; PHOTOSYNTHESIS; PALATABILITY; PREVALENCE; RHODOPHYTA; PENINSULA</t>
  </si>
  <si>
    <t>Many species of macroalgae along the western Antarctic Peninsula have a high coverage of filamentous algal endophytes. A previous field study showed that endophyte presence negatively impacts growth and survival in some Antarctic algae, but can have no impact on others. We examined nine species of common macroalgal hosts from the area surrounding Palmer Station, Antarctica, to examine fine-scale impacts of endophyte presence on host physiology. Physiological parameters were selected based on their potential to influence fitness of host algae. These included photosynthetic parameters, thallus toughness and susceptibility to grazers in those species previously known to be chemically defended. We found that few macroalgal hosts are impacted by the presence of endophytes and that these impacts are not consistent across all physiological parameters. Iridaea cordata and Pachymenia sp. were the only species among the nine examined that demonstrated physiological stress in the presence of endophytes. Out of four species in a previous study, I. cordata was also the most heavily impacted by endophyte presence.</t>
  </si>
  <si>
    <t>[Schoenrock, Kathryn M.; Amsler, Charles D.; McClintock, James B.] Univ Alabama Birmingham, Birmingham, AL 35294 USA; [Baker, Bill J.] Univ S Florida, Tampa, FL 33620 USA</t>
  </si>
  <si>
    <t>University of Alabama System; University of Alabama Birmingham; State University System of Florida; University of South Florida</t>
  </si>
  <si>
    <t>Schoenrock, KM (corresponding author), Univ Alabama Birmingham, 1300 Univ Blvd CH 464, Birmingham, AL 35294 USA.</t>
  </si>
  <si>
    <t>ksrock@uab.edu</t>
  </si>
  <si>
    <t>Baker, Bill/N-4312-2019; Schoenrock, Kathryn/B-9082-2018</t>
  </si>
  <si>
    <t>Amsler, Charles/0000-0002-4843-3759; Schoenrock, Kathryn/0000-0002-0407-3173</t>
  </si>
  <si>
    <t>National Science Foundation from the Antarctic Organisms and Ecosystems programme [ANT-0838773, ANT-0828776]</t>
  </si>
  <si>
    <t>National Science Foundation from the Antarctic Organisms and Ecosystems programme</t>
  </si>
  <si>
    <t>Support for this work was provided by National Science Foundation awards [ANT-0838773] (CDA, JBM) and [ANT-0828776] (BJB) from the Antarctic Organisms and Ecosystems programme.</t>
  </si>
  <si>
    <t>0967-0262</t>
  </si>
  <si>
    <t>1469-4433</t>
  </si>
  <si>
    <t>EUR J PHYCOL</t>
  </si>
  <si>
    <t>Eur. J. Phycol.</t>
  </si>
  <si>
    <t>10.1080/09670262.2015.1031189</t>
  </si>
  <si>
    <t>CN8CM</t>
  </si>
  <si>
    <t>WOS:000358665200003</t>
  </si>
  <si>
    <t>Selbmann, L; Zucconi, L; Isola, D; Onofri, S</t>
  </si>
  <si>
    <t>Selbmann, Laura; Zucconi, Laura; Isola, Daniela; Onofri, Silvano</t>
  </si>
  <si>
    <t>Rock black fungi: excellence in the extremes, from the Antarctic to space</t>
  </si>
  <si>
    <t>CURRENT GENETICS</t>
  </si>
  <si>
    <t>Adaptation; Astrobiology; Antarctica; Fungal collection; Extremophily; Extremotolerance; Rock black fungi; Stress</t>
  </si>
  <si>
    <t>MCMURDO DRY VALLEYS; INHABITING FUNGI; MICROCOLONIAL FUNGI; PROTEIN EXPRESSION; LIFE; TEMPERATURE; ADAPTATION; PHYLOGENY; EVOLUTION; COMMUNITIES</t>
  </si>
  <si>
    <t>This work focuses on rock-inhabiting fungi (RIF) of Antarctic rocky deserts, considered the closest to a possible Martian habitat, as the best example of adaptation to the extremes. The study of RIF ecophysiology, resistance and adaptation provides tools that shed light on the evolution of extremophily. These studies also help define the actual limits for life and provide insight for investigating its existence beyond our planet. The scientific results obtained from over 20 years of research on the biodiversity, phylogeny and evolution toward extremotolerance reviewed here demonstrate how these fascinating organisms can withstand conditions well beyond those in their natural environment. A final focus is given on results and perspectives arising from a recent proteomic approach, and from astrobiological experiments and their significance for future space exploration. These studies demonstrate that Antarctic RIF offer an excellent opportunity to investigate many basic, but also applicative areas of research on extremophily.</t>
  </si>
  <si>
    <t>[Selbmann, Laura; Zucconi, Laura; Isola, Daniela; Onofri, Silvano] Univ Tuscia, Dept Ecol &amp; Biol Sci DEB, Viterbo, Italy</t>
  </si>
  <si>
    <t>Tuscia University</t>
  </si>
  <si>
    <t>Selbmann, L (corresponding author), Univ Tuscia, Dept Ecol &amp; Biol Sci DEB, Viterbo, Italy.</t>
  </si>
  <si>
    <t>selbmann@unitus.it</t>
  </si>
  <si>
    <t>Isola, Daniela/AAX-5814-2020; Zucconi, L./U-9781-2018; Selbmann, Laura/L-3056-2013</t>
  </si>
  <si>
    <t>Isola, Daniela/0000-0002-5069-6056; Zucconi, L./0000-0001-9793-2303; Selbmann, Laura/0000-0002-8967-3329; ONOFRI, Silvano/0000-0001-8872-1440</t>
  </si>
  <si>
    <t>Italian National Antarctic Museum Felice Ippolito; ESA project LIFE; ESA project BIOMEX; ASI projects [DC-MIC-2011-036]; Sao Paulo Research Foundation (FAPESP) of Brazil [2014/01229-4]; [PROP09_68]; [2013/AZ1.17]; Fundacao de Amparo a Pesquisa do Estado de Sao Paulo (FAPESP) [14/01229-4] Funding Source: FAPESP</t>
  </si>
  <si>
    <t>Italian National Antarctic Museum Felice Ippolito; ESA project LIFE; ESA project BIOMEX; ASI projects; Sao Paulo Research Foundation (FAPESP) of Brazil(Fundacao de Amparo a Pesquisa do Estado de Sao Paulo (FAPESP)); ; ; Fundacao de Amparo a Pesquisa do Estado de Sao Paulo (FAPESP)(Fundacao de Amparo a Pesquisa do Estado de Sao Paulo (FAPESP))</t>
  </si>
  <si>
    <t>The authors are grateful to Dr. Steven Emslie (University of North Carolina Wilmington) for accurate English revision of the text. This work is in the framework of the Italian National Program for Antarctic Researches (PNRA), at present funded by two projects (PROP09_68 and 2013/AZ1.17). The Italian National Antarctic Museum Felice Ippolito is kindly acknowledged for funding CCFEE (Culture Collection of Fungi From Extreme Environments). The ESA projects LIFE and BIOMEX and the ASI projects DC-MIC-2011-036 and DC-MIC-2011-036 are also acknowledged for supporting research in astrobiology. This review was supported by a grant from the Sao Paulo Research Foundation (FAPESP) of Brazil # 2014/01229-4.</t>
  </si>
  <si>
    <t>0172-8083</t>
  </si>
  <si>
    <t>1432-0983</t>
  </si>
  <si>
    <t>CURR GENET</t>
  </si>
  <si>
    <t>Curr. Genet.</t>
  </si>
  <si>
    <t>10.1007/s00294-014-0457-7</t>
  </si>
  <si>
    <t>CN1KX</t>
  </si>
  <si>
    <t>WOS:000358180000011</t>
  </si>
  <si>
    <t>Menezes, GM; Tariche, O; Pinho, MR; Sigler, MF; Silva, HM</t>
  </si>
  <si>
    <t>Menezes, Gui M.; Tariche, Oksana; Pinho, Mario R.; Sigler, Michael F.; Silva, Helder M.</t>
  </si>
  <si>
    <t>Structure and zonation of demersal and deep-water fish assemblages off the Cabo Verde archipelago (northeast-Atlantic) as sampled by baited longlines</t>
  </si>
  <si>
    <t>Cabo Verde; Demersal; Deep-water; Fish assemblages; Depth zonation; Seamounts</t>
  </si>
  <si>
    <t>CONTINENTAL-SHELF; UPPER SLOPE; COMMUNITY STRUCTURE; MIDOCEAN RIDGE; SEAMOUNTS; ISLANDS; DIVERSITY; PATTERNS; HABITAT; RECORDS</t>
  </si>
  <si>
    <t>The assemblages of the demersal and deep-water fish assemblages of the Cabo Verde archipelago are described for the first time from a total of 20 longline hauls that extends from coastline to 1200 m water depth. A total of 98 species from 47 different families were caught, and despite the changes of biogeographic affinities with depth, the majority of the species are from a Subtropical and Tropical origin or have a broad geographic distribution (Wide and Amphiatlantic distributions) with small affinities with the Macaronesian islands and the Mediterranean. Depth distribution profiles show a clear turnover of species with depth, and an increase in the depth distribution range of the deeper living species. Furthermore, the indices of species abundance, biomass and the number of species caught, significantly decreased with increasing depth. Four main fish assemblages in a depth-aligned structure are proposed in the present work. A shelf assemblage mainly distributed above the 150 m depth strata, a shelf-break/upper-slope assemblage mainly between the 150-350 m depth strata, a deep/upper-slope assemblage between the 300-600 m depth strata, and a mid-deep/mid-slope assemblage mainly distributed below the 600 m. Species abundances and diversity found below 200 m is relatively low compared with shallow waters. The observed depth zonation of the slope assemblages, roughly agrees with the expected occurrence or influence of different water masses: shelf and surface mixing and seasonal thermocline depth zone, the depth range of occurrence of the intermediate waters (North Atlantic Central Water-NACW), the South Atlantic Central Water-SACW), and Atlantic Equatorial Water-AEW), a mixing or overlapping zone of previous intermediate water masses with the Antarctic Intermediate Water (AAIW), and the Mediterranean Outflow Water (MOW), and a deeper zone where the AAIW predominate. (C) 2015 Elsevier Ltd. All rights reserved.</t>
  </si>
  <si>
    <t>[Menezes, Gui M.; Pinho, Mario R.; Silva, Helder M.] Univ Azores, Dept Oceanog &amp; Pescas, MARE Marine &amp; Environm Sci Ctr MARE, P-9901862 Horta, Azores, Portugal; [Tariche, Oksana] INDP, Mindelo S Vicente, Mindelo, Cape Verde; [Sigler, Michael F.] US Natl Marine Fisheries Serv, Alaska Fisheries Sci Ctr, Juneau, AK 99801 USA</t>
  </si>
  <si>
    <t>Universidade dos Acores; National Oceanic Atmospheric Admin (NOAA) - USA</t>
  </si>
  <si>
    <t>Menezes, GM (corresponding author), Univ Azores, Dept Oceanog &amp; Fisheries DOP, Rua Prof Doutor Frederico Machado, P-9901862 Horta, Azores, Portugal.</t>
  </si>
  <si>
    <t>gui@uac.pt</t>
  </si>
  <si>
    <t>Menezes, Gui M/HMV-5797-2023; Menezes, Gui M./A-3956-2009</t>
  </si>
  <si>
    <t>Menezes, Gui M/0000-0003-0781-4579; Sigler, Michael/0000-0001-6361-0613</t>
  </si>
  <si>
    <t>Azores Government</t>
  </si>
  <si>
    <t>This survey was implemented under the project Cruzeiro de investigacao dos recursos ictiologicos e de profundidade de Cabo Verde-CABOFISH financed by the Azores Government. Special thanks are given to the crew members of the R/V ARQUIPELAGO, to Captain Fernando Serpa for their efforts and professionalism. The authors are also grateful to many people who contributed in various ways and at several phases of the project including several technicians from the Departamento de Oceanografia e Pescas (DOP) da Universidade dos Acores and Instituto Nacional de Desenvolvimento das Pescas (INDP). In particular to those that participate in the field work: Pericles Martins, Jose Branco, Vito Melo, Joao Badio, Ana Fernandes, Pedro Niny Duarte, and Maria Ana Aboim. This survey would not have been possible without the help of the Dr. Ricardo Serrao Santos the former director of Department of Oceanography and Fisheries, and Dr. Ederio Almada the former President of INDP.</t>
  </si>
  <si>
    <t>10.1016/j.dsr.2015.04.013</t>
  </si>
  <si>
    <t>CN1MP</t>
  </si>
  <si>
    <t>WOS:000358184400010</t>
  </si>
  <si>
    <t>Yu, P; Wang, XT; Liu, JW</t>
  </si>
  <si>
    <t>Yu, Peng; Wang, Xue-Ting; Liu, Jing-Wen</t>
  </si>
  <si>
    <t>Purification and characterization of a novel cold-adapted phytase from Rhodotorula mucilaginosa strain JMUY14 isolated from Antarctic</t>
  </si>
  <si>
    <t>JOURNAL OF BASIC MICROBIOLOGY</t>
  </si>
  <si>
    <t>Cold-adapted phytase; Identification; Phytase purification and characterization; Antarctic yeast</t>
  </si>
  <si>
    <t>PICHIA-PASTORIS; GENE CLONING; EXPRESSION; ENZYMES; CALCIUM</t>
  </si>
  <si>
    <t>A yeast producing a cold-adapted phytase was isolated from Antarctic deep-sea sediment and identified as a Rhodotorula mucilaginosa strain JMUY14 of basidiomycetous yeasts. It was cultured in fermentation optimized by a response surface methodology based on the Box-Behnken design. The maximum activity of phytase reached 205.447Uml(-1), which was close to the predicted value of 201.948Uml(-1) and approximately 3.4 times higher than its initial activity. The extracellular phytase was purified by 15.2-fold to homogeneity with a specific activity of 31,635Umg(-1) by (NH4)(2)SO4 precipitation, and a combination of DEAE Sepharose Fast Flow, SP Sepharose Fast Flow, and Sephadex G-100. The molecular weight of the purified enzyme was estimated to be 63kDa and its pI was 4.33. Its optimal temperature and pH were 50 degrees C and 5.0, respectively. Its activity was 85% at 37 degrees C, and showed good stability at pH 3.0 approximate to 7.0. When compared with mesophilic counterparts, the phytase not only exhibited a higher activity during 20 approximate to 30 degrees C but also had a low K-m (247 mu M) and high k(cat) (1394s(-1)). The phytase activity was slightly stimulated in the presence of Mg2+, Fe2+, Fe3+,K+, Na+, Ca2+, EDTA, and EGTA and moderately inhibited by Cu2+, Zn2+, Mn2+, Ag+, PMSF, SDS, and phenylgloxal hydrate. It was resistant to both pepsin and trypsin. Since the phytase produced by the R. mucilaginosa JMUY14 showed a high specific activity, good pH stability, strong protease resistance, and high activity at low temperature, it has great potential for feed applications, especially in aquaculture.</t>
  </si>
  <si>
    <t>[Yu, Peng; Wang, Xue-Ting; Liu, Jing-Wen] Jimei Univ, Coll Food &amp; Bioengn, Xiamen 361021, Peoples R China; [Yu, Peng; Wang, Xue-Ting; Liu, Jing-Wen] Fujian Prov Key Lab Food Microbiol &amp; Enzyme Engn, Xiamen, Peoples R China</t>
  </si>
  <si>
    <t>Jimei University</t>
  </si>
  <si>
    <t>Liu, JW (corresponding author), Jimei Univ, Coll Food &amp; Bioengn, 43 Yin Dou Rd, Xiamen 361021, Peoples R China.</t>
  </si>
  <si>
    <t>ljwsbch@163.com</t>
  </si>
  <si>
    <t>Chinese Public Science and Technology Research Funds Projects of Ocean [201305027]; China Southern Oceanographic Research Center [14GZP71NF35]; Provincial Key Laboratory of Food Microbiology and Enzyme Engineering [M20140910]</t>
  </si>
  <si>
    <t>Chinese Public Science and Technology Research Funds Projects of Ocean; China Southern Oceanographic Research Center; Provincial Key Laboratory of Food Microbiology and Enzyme Engineering</t>
  </si>
  <si>
    <t>This study was carried out with the support of Chinese Public Science and Technology Research Funds Projects of Ocean (Project No. 201305027), funds of China Southern Oceanographic Research Center (Project No. 14GZP71NF35), and funds of Provincial Key Laboratory of Food Microbiology and Enzyme Engineering (Project No. M20140910).</t>
  </si>
  <si>
    <t>0233-111X</t>
  </si>
  <si>
    <t>1521-4028</t>
  </si>
  <si>
    <t>J BASIC MICROB</t>
  </si>
  <si>
    <t>J. Basic Microbiol.</t>
  </si>
  <si>
    <t>10.1002/jobm.201400865</t>
  </si>
  <si>
    <t>CN5AF</t>
  </si>
  <si>
    <t>WOS:000358441000010</t>
  </si>
  <si>
    <t>Lyver, PO; Jones, CJ; Belshaw, N; Anderson, A; Thompson, R; Davis, J</t>
  </si>
  <si>
    <t>Lyver, Phil O'B.; Jones, Christopher J.; Belshaw, Noti; Anderson, Alice; Thompson, Ray; Davis, Joe</t>
  </si>
  <si>
    <t>Insights to the functional relationships of Maori harvest practices: Customary use of a burrowing seabird</t>
  </si>
  <si>
    <t>JOURNAL OF WILDLIFE MANAGEMENT</t>
  </si>
  <si>
    <t>customary harvest practices; grey-faced petrel; indigenous knowledge; Maori; population model; seabird</t>
  </si>
  <si>
    <t>SHEARWATERS PUFFINUS-TENUIROSTRIS; PTERODROMA-MACROPTERA-GOULDI; REPRODUCTIVE SUCCESS; INVESTIGATOR DISTURBANCE; TRADITIONAL KNOWLEDGE; POPULATION-DYNAMICS; WILDLIFE RESOURCES; MANAGEMENT REGIMES; ANTARCTIC SEABIRD; SOOTY SHEARWATER</t>
  </si>
  <si>
    <t>Indigenous peoples globally have relied on customary practices for safeguarding and optimizing harvest of wildlife populations, including seabirds. Increasingly, there have been efforts to engage these indigenous and local knowledge systems to inform responses to the global biodiversity crisis. We considered how customary harvest management as practiced historically by New Zealand Maori might have contributed to sustaining a burrowing seabird population. We used a deterministic age-structured model of a population of grey-faced petrels (Pterodroma gouldi). By harvesting pre-fledging chicks, rather than adult birds, Maori harvesters had less of an impact on population growth rates; annual population growth rate dropped below 1.0 if 2% or more of adult birds were harvested compared with threshold harvests of 25% or more of either eggs or chicks. Restrictions such as prohibition of the digging out of burrows or the use of a snaring pole to catch chicks would lead to an annual harvest of less than our estimated deterministic threshold for a sustainable harvest of 25% of chicks even if all the chicks within arm's reach down the burrows were caught. The cultural practice of rotating harvests or resting populations was also effective; harvesting every 3 years allowed up to 75% of chicks to be taken without causing the theoretical population to decline. The development and implementation of ecologically meaningful but also culturally appropriate approaches to managing wildlife is an important part of efforts to de-colonialize conservation management. We recommend adaptive or multi-evidence-based approaches where scientific information and methods complement indigenous knowledge and practices in the management of wildlife. (c) 2015 The Wildlife Society.</t>
  </si>
  <si>
    <t>[Lyver, Phil O'B.; Jones, Christopher J.] Landcare Res, POB 69040, Lincoln 7640, New Zealand; [Belshaw, Noti; Thompson, Ray] Te Runanga Ngati Awa, Whakatane 3080, New Zealand; [Anderson, Alice] Hauraki Maori Trust Board, Paeroa 3640, New Zealand; [Davis, Joe] Ngati Hei Trust, Whitianga, New Zealand</t>
  </si>
  <si>
    <t>Landcare Research - New Zealand</t>
  </si>
  <si>
    <t>Lyver, PO (corresponding author), Landcare Res, POB 69040, Lincoln 7640, New Zealand.</t>
  </si>
  <si>
    <t>lyverp@landcareresearch.co.nz</t>
  </si>
  <si>
    <t>New Zealand Ministry of Business, Innovation and Employment's Mauriora ki nga Oi</t>
  </si>
  <si>
    <t>New Zealand Ministry of Business, Innovation and Employment's Mauriora ki nga Oi(New Zealand Ministry of Business, Innovation and Employment (MBIE))</t>
  </si>
  <si>
    <t>We thank the Ruamaahua Islands Trust, Te Runanga o Ngati Awa, and Te Tapatoru a Toi for their guidance and support. We also thank the anonymous reviewers for their comments to improve this article and C. Bezar for editorial assistance. This project was funded primarily by the New Zealand Ministry of Business, Innovation and Employment's Mauriora ki nga Oi (Safe-guarding the life force of the grey-faced petrel-C09 x 0509), and Te Hiringa Tangata Ki Tai Pari Ki Tai Timu (Bicultural restoration of coastal forest ecosystems-C09 x 0908) projects.</t>
  </si>
  <si>
    <t>0022-541X</t>
  </si>
  <si>
    <t>1937-2817</t>
  </si>
  <si>
    <t>J WILDLIFE MANAGE</t>
  </si>
  <si>
    <t>J. Wildl. Manage.</t>
  </si>
  <si>
    <t>10.1002/jwmg.906</t>
  </si>
  <si>
    <t>CN1JX</t>
  </si>
  <si>
    <t>WOS:000358177000012</t>
  </si>
  <si>
    <t>Zhang, L; Jungblut, AD; Hawes, I; Andersen, DT; Sumner, DY; Mackey, TJ</t>
  </si>
  <si>
    <t>Zhang, L.; Jungblut, A. D.; Hawes, I.; Andersen, D. T.; Sumner, D. Y.; Mackey, T. J.</t>
  </si>
  <si>
    <t>Cyanobacterial diversity in benthic mats of the McMurdo Dry Valley lakes, Antarctica</t>
  </si>
  <si>
    <t>Cyanobacteria; 16S rRNA gene; Microbial mat; Pigment; Diversity; Lake; Antarctica</t>
  </si>
  <si>
    <t>MICROBIAL MATS; ENVIRONMENTAL-CHANGE; VICTORIA LAND; ICE SHELF; PHYTOPLANKTON; COMMUNITIES; HOARE; OSCILLATORIALES; PHOTOSYNTHESIS; PONDS</t>
  </si>
  <si>
    <t>Perennially ice-covered, meromictic lakes in the McMurdo Dry Valleys, Antarctica, are useful models to study the relationship between cyanobacterial and environmental variables. They have rich benthic cyanobacterial mat accumulations and stable stratification of physical and chemical conditions. Here, we evaluated cyanobacteria from benthic mats from multiple depths in three geographically separated ice-covered lakes, Lakes Vanda, Hoare and Joyce, using 16S rRNA gene clone libraries. We identified 19 ribotypes, mostly Oscillatoriales and several Chroococcales, as well as potentially novel cyanobacterial ribotypes. The majority of ribotype diversity was shared between lakes, and only a weak relationship between ribotype community structure and environmental variables was evident. Multivariate analysis of all lake-depth combinations implied that photosynthetically active radiation, dissolved reactive phosphorus and conductivity were potentially important for shaping benthic communities in McMurdo Dry Valley lakes. Cyanobacterial-specific pigment signature analysis by high-performance liquid chromatography showed that the cyanobacterial communities responded to light conditions similarly, irrespective of community composition. The results imply a capability within a suite of cyanobacteria to colonise, adapt and grow across broad environmental ranges and geographic space, and such adaptability may provide a high degree of community resistance and resilience to future climate-driven environmental change in Antarctic terrestrial aquatic ecosystems.</t>
  </si>
  <si>
    <t>[Zhang, L.] Helmholtz Zentrum Munchen, Inst Grundwasserokol, D-85764 Neuherberg, Germany; [Zhang, L.; Jungblut, A. D.] Nat Hist Museum, Dept Life Sci, London SW7 5BD, England; [Hawes, I.] Univ Canterbury, Gateway Antarctica, Christchurch 1, New Zealand; [Andersen, D. T.] SETI Inst, Carl Sagan Ctr Study Life Universe, Mountain View, CA USA; [Sumner, D. Y.; Mackey, T. J.] Univ Calif Davis, Dept Earth &amp; Planetary Sci, Davis, CA 95616 USA</t>
  </si>
  <si>
    <t>Helmholtz Association; Helmholtz-Center Munich - German Research Center for Environmental Health; Natural History Museum London; University of Canterbury; University of California System; University of California Davis</t>
  </si>
  <si>
    <t>Jungblut, AD (corresponding author), Nat Hist Museum, Dept Life Sci, Cromwell Rd, London SW7 5BD, England.</t>
  </si>
  <si>
    <t>a.jungblut@nhm.ac.uk</t>
  </si>
  <si>
    <t>Andersen, Dale T/B-4816-2013; Zhang, Lu/IYS-9116-2023; Sumner, Dawn/E-8744-2011</t>
  </si>
  <si>
    <t>Andersen, Dale T/0000-0001-8827-1259; Zhang, Lu/0000-0002-0446-7885; Sumner, Dawn/0000-0002-7343-2061; Hawes, Ian/0000-0003-2471-6903; Mackey, Tyler/0000-0001-6377-3797</t>
  </si>
  <si>
    <t>NASA [NNX08AO19G, NNX09AE77A]; NSF [115245]; Directorate For Geosciences; Office of Polar Programs (OPP) [1115245] Funding Source: National Science Foundation; NASA [97030, NNX09AE77A, 119484, NNX08AO19G] Funding Source: Federal RePORTER</t>
  </si>
  <si>
    <t>NASA(National Aeronautics &amp; Space Administration (NASA)); NSF(National Science Foundation (NSF)); Directorate For Geosciences; Office of Polar Programs (OPP)(National Science Foundation (NSF)NSF - Directorate for Geosciences (GEO)); NASA(National Aeronautics &amp; Space Administration (NASA))</t>
  </si>
  <si>
    <t>We are grateful for the support from NASA's Exobiology (NNX08AO19G) and Astrobiology (NNX09AE77A) programs; logistic support was provided by the US National Science Foundation Office of Polar Programs. We would like to acknowledge the interaction with the Taylor Valley Long-Term Ecological Research Programme (NSF Grant 115245), Stephen Emmons for assistance with the sample collection and three anonymous reviewers for insightful comments and suggestions.</t>
  </si>
  <si>
    <t>10.1007/s00300-015-1669-0</t>
  </si>
  <si>
    <t>CM9PQ</t>
  </si>
  <si>
    <t>WOS:000358041600001</t>
  </si>
  <si>
    <t>Detoni, AMS; de Souza, MS; Garcia, CAE; Tavano, VM; Mata, MM</t>
  </si>
  <si>
    <t>Detoni, Amalia M. S.; de Souza, Marcio Silva; Garcia, Carlos A. E.; Tavano, Virginia M.; Mata, Mauricio M.</t>
  </si>
  <si>
    <t>Environmental conditions during phytoplankton blooms in the vicinity of James Ross Island, east of the Antarctic Peninsula</t>
  </si>
  <si>
    <t>Antarctic Peninsula; Sea ice; Ice melting; Upper mixed layer depth; Phytoplankton community; Diatoms</t>
  </si>
  <si>
    <t>NORTHWESTERN WEDDELL SEA; MARGINAL ICE-ZONE; CHLOROPHYLL-A; SOUTHERN-OCEAN; INTERANNUAL VARIABILITY; SPATIAL-DISTRIBUTION; PELAGIC ECOSYSTEMS; SURFACE WATERS; SHELF WATERS; MIXED-LAYER</t>
  </si>
  <si>
    <t>In waters surrounding James Ross Island (JRI), which is generally inaccessible, high chlorophyll-a concentration [Chla] can often be detected during summer periods by ocean color imagery. The region is influenced by a retreating sea ice edge from Weddell Sea and freshwater runoff from JRI glaciers, factors that probably trigger phytoplankton growth. In this work, we relate phytoplankton composition and biomass [Chla and carbon] with environmental factors in two successive late summer periods, in 2008 (1-3 March) and 2009 (17-20 February). Remote sensing data were used to corroborate the findings during those few sampling days. High surface [Chla] patches were observed through both remote sensing and field data (up to 7.61 mg Chla m(-3) in 2009), and associated with a relatively shallow upper mixed layer (UML) (19-109 m in 2008 and 16-74 m in 2009). Sea surface temperatures were lower in 2008 (-1.19 to -0.62 A degrees C) than in 2009 (-0.87 to -0.46 A degrees C). Sea ice coverage was greater in 2008 than in 2009 summer, implying an earlier sea ice retreat in the latter year, when higher average [Chla] was obtained from field samples (3.3 mg m(-3), compared to 1.5 mg m(-3) in 2008). The eastern side of JRI appeared to be relatively sheltered from the dominant pattern of large-scale westerly winds. Diatoms dominated the phytoplankton community, with presence of large diatom species (e.g., Odontella weissflogii) typical of an advanced sea ice melt condition. Those blooms were sustained by a shallow UML associated with relative shelter from winds, due to proximity with the island.</t>
  </si>
  <si>
    <t>[Detoni, Amalia M. S.; de Souza, Marcio Silva; Garcia, Carlos A. E.; Mata, Mauricio M.] Fed Univ Rio Grande, Inst Oceanog, Lab Oceans &amp; Climate Studies, Av Italia,Km 8, BR-96203900 Rio Grande, RS, Brazil; [de Souza, Marcio Silva; Tavano, Virginia M.] Fed Univ Rio Grande, Inst Oceanog, Lab Phytoplankton &amp; Marine Microorganisms, BR-96203900 Rio Grande, RS, Brazil</t>
  </si>
  <si>
    <t>Universidade Federal do Rio Grande; Universidade Federal do Rio Grande</t>
  </si>
  <si>
    <t>de Souza, MS (corresponding author), Fed Univ Rio Grande, Inst Oceanog, Lab Oceans &amp; Climate Studies, Av Italia,Km 8, BR-96203900 Rio Grande, RS, Brazil.</t>
  </si>
  <si>
    <t>souzamsd@gmail.com</t>
  </si>
  <si>
    <t>Sacilotto Detoni, Amália Maria/IVV-1485-2023; Garcia, Carlos A. E./K-7382-2012; de Souza, Márcio Silva/AAR-5757-2021; Mata, Mauricio/H-4605-2011; Tavano, Virginia/C-5241-2013</t>
  </si>
  <si>
    <t>Sacilotto Detoni, Amália Maria/0000-0002-7893-5370; de Souza, Márcio Silva/0000-0003-1572-9307; Mata, Mauricio/0000-0002-9028-8284; Tavano, Virginia/0000-0003-0039-8111</t>
  </si>
  <si>
    <t>CNPq (Brazilian National Council on Research and Development); MMA (Ministry of Environment); Brazilian Antarctic Program (PROANTAR); CAPES Foundation; CNPq; CAPES</t>
  </si>
  <si>
    <t>CNPq (Brazilian National Council on Research and Development)(Conselho Nacional de Desenvolvimento Cientifico e Tecnologico (CNPQ)); MMA (Ministry of Environment); Brazilian Antarctic Program (PROANTAR); CAPES Foundation(Coordenacao de Aperfeicoamento de Pessoal de Nivel Superior (CAPES)); CNPq(Conselho Nacional de Desenvolvimento Cientifico e Tecnologico (CNPQ)); CAPES(Coordenacao de Aperfeicoamento de Pessoal de Nivel Superior (CAPES))</t>
  </si>
  <si>
    <t>This project is part of GOAL (Group of High Latitude Oceanography) and was supported by funding from CNPq (Brazilian National Council on Research and Development), MMA (Ministry of Environment) and the Brazilian Antarctic Program (PROANTAR). The authors would like to thank the Brazilian Ministry of Science and Technology (MCT) and the crew of the Brazilian Navy research ship AryRongel for their assistance and for contributions with all cruise activities. We are very grateful to Rafael Mendes for HPLC analysis. A.M.S. Detoni and M.S. de Souza were funded by CAPES Foundation. M.S. de Souza was granted by CNPq and is now receiving a research fellowship from CAPES.</t>
  </si>
  <si>
    <t>10.1007/s00300-015-1670-7</t>
  </si>
  <si>
    <t>WOS:000358041600002</t>
  </si>
  <si>
    <t>Tam, HK; Wong, CMVL; Yong, ST; Blamey, J; González, M</t>
  </si>
  <si>
    <t>Tam, Heng Keat; Wong, Clemente Michael Vui Ling; Yong, Sheau Ting; Blamey, Jenny; Gonzalez, Marcelo</t>
  </si>
  <si>
    <t>Multiple-antibiotic-resistant bacteria from the maritime Antarctic</t>
  </si>
  <si>
    <t>Estrellas lake; Crater lake; Maritime Antarctic; Antibiotic resistance</t>
  </si>
  <si>
    <t>TERRA-NOVA BAY; PSEUDOMONAS-AERUGINOSA; PSYCHROTROPHIC BACTERIA; HETEROTROPHIC BACTERIA; INTRINSIC RESISTANCE; MICROBIAL DIVERSITY; SCHIRMACHER OASIS; MECHANISMS; DISSEMINATION; TETRACYCLINE</t>
  </si>
  <si>
    <t>The existence of multiple-antibiotic-resistant strains of environmental bacteria is commonly linked to human activities. However, multiple-antibiotic-resistant strains of bacteria are also widely found in the Antarctic that has limited human activity. This study was conducted to examine the prevalence of antibiotic-resistant strains among Antarctic bacteria. Forty-five bacterial strains from Estrellas lake of King George Island and Crater lake of Deception Island, Antarctic, were exposed to 30 different antibiotics. Forty out of the 45 bacterial strains were affiliated to 12 genera, Aeromicrobium, Arthrobacter, Bacillus, Brevundimonas, Cryobacterium, Dyadobacter, Flavobacterium, Methylibium, Pedobacter, Pseudomonas, Rhodococcus, and Sphingomonas. Among the bacteria, 43 strains were resistant to at least three antibiotics, and 26 strains were resistant to 10 or more different antibiotics. Pseudomonas spp. and four unknown Microbacteriaceae bacteria were found to be resistant to majority of the antibiotics tested. Two bacteria, each from Estrellas and Crater lakes, were sensitive to all the antibiotics tested. These results indicated that Antarctic bacteria are probably the reservoirs for antibiotic resistance genes.</t>
  </si>
  <si>
    <t>[Tam, Heng Keat; Wong, Clemente Michael Vui Ling; Yong, Sheau Ting] Univ Malaysia Sabah, Biotechnol Res Inst, Kota Kinabalu 88400, Sabah, Malaysia; [Wong, Clemente Michael Vui Ling] Univ Malaya, Natl Antarctic Res Ctr, Kuala Lumpur 50603, Malaysia; [Blamey, Jenny] Biociencia Fdn Cient &amp; Cultural, Santiago, Chile; [Gonzalez, Marcelo] Inst Antartico Chileno, Punta Arenas, Chile</t>
  </si>
  <si>
    <t>Universiti Malaysia Sabah; Universiti Malaya</t>
  </si>
  <si>
    <t>Wong, CMVL (corresponding author), Univ Malaysia Sabah, Biotechnol Res Inst, Jalan UMS, Kota Kinabalu 88400, Sabah, Malaysia.</t>
  </si>
  <si>
    <t>michaelw@ums.edu.my</t>
  </si>
  <si>
    <t>Blamey, Jenny M/M-2637-2014; Wong, Clemente Michael Vui Ling/M-8372-2013; González, Marcelo/ABF-1450-2020</t>
  </si>
  <si>
    <t>Blamey, Jenny M/0000-0002-7640-316X; Wong, Clemente Michael Vui Ling/0000-0003-3431-8896; Tam, Heng-Keat/0000-0002-7894-1957; Gonzalez, Marcelo/0000-0001-9986-9504</t>
  </si>
  <si>
    <t>Malaysian Antarctic Research Programme (MARP); Academy of Sciences, Malaysia (ASM); Ministry of Science, Technology and Innovation (MOSTI), Malaysia; Instituto Antartico Chileno (INACH), Chile</t>
  </si>
  <si>
    <t>Malaysian Antarctic Research Programme (MARP); Academy of Sciences, Malaysia (ASM); Ministry of Science, Technology and Innovation (MOSTI), Malaysia(Ministry of Energy, Science, Technology, Environment and Climate Change (MESTECC), Malaysia); Instituto Antartico Chileno (INACH), Chile</t>
  </si>
  <si>
    <t>This work was funded by the Malaysian Antarctic Research Programme (MARP), Academy of Sciences, Malaysia (ASM); Ministry of Science, Technology and Innovation (MOSTI), Malaysia; and Instituto Antartico Chileno (INACH), Chile. The authors would like to thank personnel at INACH and Biociencia Fundacion Cientifica Y Cultural, Nunoa, Santiago, Chile especially Jose Retamales, Marcelo Leppe, Paulina Julio Rocamora, Veronica Vallejos, Cristian Rodrigo, Patricio Barraza and Jenny Blamey for their advise and logistic supports. We would also like to thank Jacqueline Yong for reading and amending the final draft of the manuscript.</t>
  </si>
  <si>
    <t>10.1007/s00300-015-1671-6</t>
  </si>
  <si>
    <t>WOS:000358041600003</t>
  </si>
  <si>
    <t>Liao, L; Sun, X; Zeng, YX; Luo, W; Yu, Y; Chen, B</t>
  </si>
  <si>
    <t>Liao, Li; Sun, Xi; Zeng, Yinxin; Luo, Wei; Yu, Yong; Chen, Bo</t>
  </si>
  <si>
    <t>A new l haloacid dehalogenase from the Arctic psychrotrophic Pseudoalteromonas sp BSW20308</t>
  </si>
  <si>
    <t>L-Haloacid dehalogenase; Pseudoalteromonas; Arctic; Psychrophile</t>
  </si>
  <si>
    <t>XANTHOBACTER-AUTOTROPHICUS GJ10; PSEUDOMONAS SP YL; L-2-HALOACID DEHALOGENASE; 2-HALOACID DEHALOGENASES; HALOALKANE DEHALOGENASE; HAD SUPERFAMILY; MARINE; BACTERIUM; PURIFICATION; REVEALS</t>
  </si>
  <si>
    <t>Exploration of biological resources from the Arctic and the Antarctic attracts increasing attention worldwide. l-haloacid dehalogenases (l-HADs) are considered to have potential applications in bioremediation and synthetic chemistry. They were reported from terrestrial bacteria in nonpolar regions, but seldom from microorganisms inhabiting the Arctic Ocean or Antarctica. Here, we described a new l-HAD (HADII(BSW)) from psychrotrophic Pseudoalteromonas sp. BSW20308, isolated from the Arctic marine environment. HADII(BSW) was analyzed in silico, cloned, expressed and biochemically characterized. HADII(BSW) was evolutionarily distinct from previously characterized l-HADs, sharing only 34 % identity with l-HAD (DehRhb) from a Rhodobacteraceae family bacterium UDC319 as the closest relative. Although it was from a psychrotrophic bacterium, HADII(BSW) had an optimum temperature for activity of 40 A degrees C. However, it retained decent activity at low temperature, which is an advantage over previous l-HADs. It preferred short-chain substrates, with the maximum activity toward monobromoacetic acid (MBAA), followed by S-(-)-2-bromopropionic acid. HADII(BSW) had exceptionally low K-m (0.15 mM) and high V-max (13.22 mu mol/min/mg) with MBAA. The first investigation of an l-HAD from a psychrotrophic Pseudoalteromonas from the Arctic revealed its potential in industrial applications such as in synthetic chemistry and environmental protection. Hypotheses proposed in this study encouraged further research on its structure and catalytic mechanism, as well as its physiological role in situ.</t>
  </si>
  <si>
    <t>[Liao, Li; Sun, Xi; Zeng, Yinxin; Luo, Wei; Yu, Yong; Chen, Bo] Polar Res Inst China, SOA Key Lab Polar Sci, Shanghai, Peoples R China; [Sun, Xi] E China Univ Sci &amp; Technol, Coll Bioengn, Shanghai 200237, Peoples R China</t>
  </si>
  <si>
    <t>Liao, L (corresponding author), Polar Res Inst China, SOA Key Lab Polar Sci, 451 Jinqiao Rd, Shanghai, Peoples R China.</t>
  </si>
  <si>
    <t>liaoli@pric.org.cn; chenbo@pric.org.cn</t>
  </si>
  <si>
    <t>Liao, Li/0000-0002-8548-1928; Luo, Wei/0000-0002-4472-2182</t>
  </si>
  <si>
    <t>National Natural Science Foundation of China [41406181, 41076131]; Shanghai Natural Science Foundation [13ZR1462700]; Chinese Polar Environment Comprehensive Investigation and Assessment Program [CHINARE2014-02-01]; National High-Tech Research and Development Program of China [2012AA021706, 2012AA092105]</t>
  </si>
  <si>
    <t>National Natural Science Foundation of China(National Natural Science Foundation of China (NSFC)); Shanghai Natural Science Foundation(Natural Science Foundation of Shanghai); Chinese Polar Environment Comprehensive Investigation and Assessment Program; National High-Tech Research and Development Program of China(National High Technology Research and Development Program of China)</t>
  </si>
  <si>
    <t>We appreciate the assistance of the Chinese Arctic and Antarctic Administration (CAA) for organization of the First Chinese Arctic Scientific Expedition in 1999. This work was supported by National Natural Science Foundation of China (Grant No. 41406181 and 41076131), Shanghai Natural Science Foundation (Grant No. 13ZR1462700), Chinese Polar Environment Comprehensive Investigation and Assessment Program (Grant No. CHINARE2014-02-01) and National High-Tech Research and Development Program of China (Grant No. 2012AA021706 and 2012AA092105).</t>
  </si>
  <si>
    <t>10.1007/s00300-015-1674-3</t>
  </si>
  <si>
    <t>WOS:000358041600006</t>
  </si>
  <si>
    <t>Braithwaite, JE; Meeuwig, JJ; Letessier, TB; Jenner, KCS; Brierley, AS</t>
  </si>
  <si>
    <t>Braithwaite, Janelle E.; Meeuwig, Jessica J.; Letessier, Tom B.; Jenner, K. Curt S.; Brierley, Andrew S.</t>
  </si>
  <si>
    <t>From sea ice to blubber: linking whale condition to krill abundance using historical whaling records</t>
  </si>
  <si>
    <t>Euphausia superba; Humpback whale; Megaptera novaeangliae; Sea ice dynamics; Energetics; Migration</t>
  </si>
  <si>
    <t>ATLANTIC FIN WHALES; ANTARCTIC KRILL; EUPHAUSIA-SUPERBA; ENVIRONMENTAL VARIABILITY; ECOSYSTEM; RESPONSES; CYCLE; SOUTH</t>
  </si>
  <si>
    <t>Krill (Euphausia superba) are fundamentally important in the Southern Ocean ecosystem, forming a critical food web link between primary producers and top predators. Krill abundance fluctuates with oceanographic conditions, most notably variation in winter sea ice, and is susceptible to environmental change. Although links between local krill availability and performance of land breeding, central place foragers are recognised, the effects of krill variability on baleen whales remain largely unclear because concurrent long-term data on whale condition and krill abundance do not exist. Here, we quantify links between whale body condition and krill abundance using a simple model that links krill abundance to sea ice extent. Body condition of humpback whales (Megaptera novaeangliae) caught in west Australian waters between 1947 and 1963 was estimated from oil yields in whaling records. Annual estimates of krill abundance in the Southern Ocean where those whales foraged (70A degrees-130A degrees E) were correlated significantly with contemporary annual winter sea ice extent. We hindcast sea ice extent for the whaling period from reconstructed temperature data and found that whale body condition was significantly correlated with hindcasted winter sea ice extent, supporting the hypothesis that variations in body condition were likely mediated by associated krill fluctuations. As humpback whales migrate and breed on finite energy stores accrued during summer foraging in the Antarctic, changes in sea ice and concomitant changes in krill abundance have long-term implications for their condition and reproductive success.</t>
  </si>
  <si>
    <t>[Braithwaite, Janelle E.; Meeuwig, Jessica J.] Univ Western Australia, Fac Sci, Sch Anim Biol, UWA Oceans Inst, Crawley, WA 6009, Australia; [Meeuwig, Jessica J.; Letessier, Tom B.] Univ Western Australia, Fac Sci, Ctr Marine Futures, UWA Oceans Inst, Crawley, WA 6009, Australia; [Jenner, K. Curt S.] Ctr Whale Res, Fremantle, WA 6959, Australia; [Brierley, Andrew S.] Univ St Andrews, Scottish Oceans Inst, Pelag Ecol Res Grp, St Andrews KY16 8LB, Fife, Scotland</t>
  </si>
  <si>
    <t>University of Western Australia; University of Western Australia; University of St Andrews</t>
  </si>
  <si>
    <t>Braithwaite, JE (corresponding author), Univ Western Australia, Fac Sci, Sch Anim Biol, UWA Oceans Inst, Crawley, WA 6009, Australia.</t>
  </si>
  <si>
    <t>janelle.braithwaite@gmail.com</t>
  </si>
  <si>
    <t>Letessier, Tom Bech/AAV-2759-2020; Brierley, Andrew/G-8019-2011</t>
  </si>
  <si>
    <t>Letessier, Tom Bech/0000-0003-4011-0207; Meeuwig, Jessica/0000-0003-1169-8785; Brierley, Andrew/0000-0002-6438-6892</t>
  </si>
  <si>
    <t>University of Western Australia</t>
  </si>
  <si>
    <t>We thank the numerous contributors to the KRILLBASE database and to Angus Atkinson, Volker Siegel, and Evgeny Pakhomov for making these data available to us via the ICED website. We also thank Cherry Allison at the International Whaling Commission for providing the historical whaling database, and Jan Erik Ringstad and Dag Ingemar Borresen at the Whaling Museum, Norway, for insight into whaling history and culture. JE Braithwaite thanks the University of Western Australia for providing a PhD scholarship.</t>
  </si>
  <si>
    <t>10.1007/s00300-015-1685-0</t>
  </si>
  <si>
    <t>WOS:000358041600009</t>
  </si>
  <si>
    <t>Saucède, T; Díaz, A; Pierrat, B; Sellanes, J; David, B; Féral, JP; Poulin, E</t>
  </si>
  <si>
    <t>Saucede, Thomas; Diaz, Angie; Pierrat, Benjamin; Sellanes, Javier; David, Bruno; Feral, Jean-Pierre; Poulin, Elie</t>
  </si>
  <si>
    <t>The phylogenetic position and taxonomic status of Sterechinus bernasconiae Larrain, 1975 (Echinodermata, Echinoidea), an enigmatic Chilean sea urchin</t>
  </si>
  <si>
    <t>Sterechinus bernasconiae; Gracilechinus multidentatus; Echinoidea; Antarctic; Phylogeny; Biogeography</t>
  </si>
  <si>
    <t>DIVERGENCE TIME; BIODIVERSITY; BIOGEOGRAPHY; ABUNDANCE; MODEL</t>
  </si>
  <si>
    <t>Sterechinus is a very common echinoid genus in benthic communities of the Southern Ocean. It is widely distributed across the Antarctic and South Atlantic Oceans and has been the most frequently collected and intensively studied Antarctic echinoid. Despite the abundant literature devoted to Sterechinus, few studies have questioned the systematics of the genus. Sterechinus bernasconiae is the only species of Sterechinus reported from the Pacific Ocean and is only known from the few specimens of the original material. Based on new material collected during the oceanographic cruise INSPIRE on board the R/V Melville, the taxonomy and phylogenetic position of the species are revised. Molecular and morphological analyses show that S. bernasconiae is a subjective junior synonym of Gracilechinus multidentatus (Clark). Results also show the existence of two genetically distinct subclades within the so-called Sterechinus clade: a Sterechinus neumayeri subclade and a subclade composed of other Sterechinus species. The three nominal species Sterechinus antarcticus, Sterechinus diadema, and Sterechinus agassizi cluster together and cannot be distinguished. The species Sterechinus dentifer is weakly differentiated from these three nominal species. The elucidation of phylogenetic relationships between G. multidentatus and species of Sterechinus also allows for clarification of respective biogeographic distributions and emphasizes the putative role played by biotic exclusion in the spatial distribution of species.</t>
  </si>
  <si>
    <t>[Saucede, Thomas; Pierrat, Benjamin; David, Bruno] Univ Bourgogne, CNRS, UMR Biogeosci 6282, F-21000 Dijon, France; [Diaz, Angie] Univ Magallanes, Fac Ciencias, Dept Ciencias &amp; Recursos Nat, Lab Macroalgas Antarticas &amp; Subantarticas, Punta Arenas, Chile; [Diaz, Angie; Poulin, Elie] Univ Chile, Fac Ciencias, Inst Ecol &amp; Biodiversidad, Dept Ciencias Ecol, Santiago, Chile; [Sellanes, Javier] Univ Catolica Norte, Fac Ciencias Mar, Dept Biol Marina, Coquimbo, Chile; [Feral, Jean-Pierre] Aix Marseille Univ, CNR, Inst Mediterraneen Biodiversite &amp; Ecol Marine &amp; C, IRD,Avignon Univ,UMR 7263, Marseille, France</t>
  </si>
  <si>
    <t>Centre National de la Recherche Scientifique (CNRS); Universite de Bourgogne; Universidad de Magallanes; Universidad de Chile; Universidad Catolica del Norte; Aix-Marseille Universite; Centre National de la Recherche Scientifique (CNRS); Institut de Recherche pour le Developpement (IRD); Avignon Universite; CNRS - Institute of Ecology &amp; Environment (INEE)</t>
  </si>
  <si>
    <t>Saucède, T (corresponding author), Univ Bourgogne, CNRS, UMR Biogeosci 6282, 6 Bd Gabriel, F-21000 Dijon, France.</t>
  </si>
  <si>
    <t>thomas.saucede@u-bourgogne.fr</t>
  </si>
  <si>
    <t>DAVID, Bruno/N-8798-2013; Sellanes, Javier/P-4699-2019; Sellanes, Javier/I-5722-2012; Poulin, Elie/C-2654-2012; FERAL, Jean-Pierre/M-9608-2019; Diaz, Angie/I-8033-2016</t>
  </si>
  <si>
    <t>Sellanes, Javier/0000-0002-6942-0762; Sellanes, Javier/0000-0002-6942-0762; Poulin, Elie/0000-0001-7736-0969; FERAL, Jean-Pierre/0000-0001-7627-0160; Diaz, Angie/0000-0003-4944-588X</t>
  </si>
  <si>
    <t>European Community [22779]; Belgian Science Policy Office (BELSPO) [BR/132/A1/vERSO]; [195 BENTHOS-MAC]; [345 BENTHADEL]; [1044 PROTEKER]; [INACH 13-05]; [INACH 02-02]; [INACH B01-07]; [ECOS C06B02]; [INIDEP 1608]</t>
  </si>
  <si>
    <t>European Community; Belgian Science Policy Office (BELSPO)(Belgian Federal Science Policy Office); ; ; ; ; ; ; ;</t>
  </si>
  <si>
    <t>Samples were collected during oceanographic campaigns through IPEV (formerly IFRTP) programmes No. 195 BENTHOS-MAC, No. 345 BENTHADEL, and No. 1044 PROTEKER; Chilean programmes INACH 13-05, INACH 02-02, INACH B01-07, ECOS C06B02, and INIDEP 1608; and oceanographic cruises INSPIRE, Antarktis XXIII/8, CEAMARC, CHESSO, BIOPEARL I, and Bentart'06. The authors are indebted to the staff of the Marine Research Station of Las Cruces (Chile), CBUCN (Biological Collection of Universidad Catolica del Norte, Coquimbo, Chile), ZMUC (Concepcion, Chile), NIWA (Wellington, New Zealand), BAS (Cambridge, UK), and AWI (Bremerhaven, Germany). This study was supported by the European Community through an ASSEMBLE Grant (Grant No. 22779). This is Contribution No. 4 to the vERSO project (www.versoproject.be), funded by the Belgian Science Policy Office (BELSPO, Contract No. BR/132/A1/vERSO). This is a contribution to team BioME of the CNRS laboratory Biogeosciences (UMR 6282).</t>
  </si>
  <si>
    <t>10.1007/s00300-015-1689-9</t>
  </si>
  <si>
    <t>WOS:000358041600012</t>
  </si>
  <si>
    <t>Wasilowska, A; Kopczynska, EE; Rzepecki, M</t>
  </si>
  <si>
    <t>Wasilowska, Agnieszka; Kopczynska, Elzbieta E.; Rzepecki, Marek</t>
  </si>
  <si>
    <t>Temporal and spatial variation of phytoplankton in Admiralty Bay, South Shetlands: the dynamics of summer blooms shown by pigment and light microscopy analysis</t>
  </si>
  <si>
    <t>Antarctica; Phytoplankton distribution; Pigment variability; Cell carbon</t>
  </si>
  <si>
    <t>KING-GEORGE-ISLAND; ICE ZONE WEST; ANTARCTIC PENINSULA; SEA-ICE; PHAEOCYSTIS-ANTARCTICA; COASTAL WATERS; MIXED-LAYER; BIOMASS; OCEAN; ASSEMBLAGES</t>
  </si>
  <si>
    <t>We conducted an integrated study of phytoplankton taxonomic composition, biomass and physicochemical properties of the water in Admiralty Bay, South Shetlands. The aim of the study was to provide detailed information on phytoplankton composition and diversity related to relevant environmental conditions. High-performance liquid chromatography pigment analysis and microscopy were performed in the summers of 2007 and 2009-2010. Results for 2007 showed a typical high-nutrient, low-chlorophyll system. Total carbon biomass and cell numbers were dominated by nanoflagellates, while diatoms made up 1.2-4.5 % of the total algal numbers and contributed a maximum of 23.4 % to the total cell carbon. A small algal bloom occurred in the center of the bay, with chlorophyll a values of similar to 1.0 A mu g l(-1). The prevalent pigment was 19'-hexanoyloxyfucoxanthin, characteristic of the Prymnesiophyceae. In January 2010, the values of chlorophyll a (8-24 A mu g l(-1)) and cell carbon (150 A mu g l(-1)) were the highest ever recorded for Admiralty Bay. In general the algal populations were dominated numerically by nanoflagellates, but a bloom of diatoms (maximum 30 % of total cells and 50 % of total cell carbon) was observed. Diatoms were dominated by those of micro-size: Thalassiosira ritscheri and T. antarctica. The dominant pigment was fucoxanthin, mainly found in diatoms. The diatom bloom could be related to the southeast wind direction, stable water column conditions and an inflow of diatom-rich waters from the Bransfield Strait, while the input of high-turbidity, low-salinity water from melting glaciers and strong katabatic northwest winds could favor nanoflagellates.</t>
  </si>
  <si>
    <t>[Wasilowska, Agnieszka] Warsaw Univ, Fac Geol, PL-02089 Warsaw, Poland; [Kopczynska, Elzbieta E.] Polish Acad Sci, Inst Biochem &amp; Biophys, Dept Antarctic Biol, PL-02141 Warsaw, Poland; [Rzepecki, Marek] Polish Acad Sci, Inst Expt Biol, PL-02093 Warsaw, Poland</t>
  </si>
  <si>
    <t>University of Warsaw; Polish Academy of Sciences; Institute of Biochemistry &amp; Biophysics - Polish Academy of Sciences; Polish Academy of Sciences</t>
  </si>
  <si>
    <t>Wasilowska, A (corresponding author), Warsaw Univ, Fac Geol, Zwirki &amp; Wigury 93, PL-02089 Warsaw, Poland.</t>
  </si>
  <si>
    <t>agawasilowska@wp.pl</t>
  </si>
  <si>
    <t>Wasilowska, Agnieszka/0000-0002-9538-593X</t>
  </si>
  <si>
    <t>IMCOAST Project European Partnership in Polar Climate Science [PolarCLIMATE-PP-001]; National Science Centre Poland [UMO-2012/05/B/ST10/01130]</t>
  </si>
  <si>
    <t>IMCOAST Project European Partnership in Polar Climate Science; National Science Centre Poland(National Science Centre, Poland)</t>
  </si>
  <si>
    <t>We thank our friends who helped us with the field and laboratory work: Tadeusz Ciesluk, Elzbieta Krystyna Gromadka, Joanna Zubek and Krzysztof Zubek. The work was carried out as part of the IMCOAST Project (PolarCLIMATE-PP-001) European Partnership in Polar Climate Science. We would like to thank Doris Abele, the coordinator of this project, and Valeria Bers for valuable discussions. We would also like to sincerely thank the anonymous reviewers for their constructive comments with respect to our manuscript. The paper was supported by the project UMO-2012/05/B/ST10/01130 financed by the National Science Centre Poland.</t>
  </si>
  <si>
    <t>10.1007/s00300-015-1691-2</t>
  </si>
  <si>
    <t>WOS:000358041600014</t>
  </si>
  <si>
    <t>Vanzan, M; Barrera-Alba, JJ; Tenório, MMB; Tenenbaum, DR</t>
  </si>
  <si>
    <t>Vanzan, Mariana; Barrera-Alba, Jose Juan; Barboza Tenorio, Marcio Murilo; Tenenbaum, Denise Rivera</t>
  </si>
  <si>
    <t>Picoplankton and nanoplankton variability in an Antarctic shallow coastal zone (Admiralty Bay) during the austral summer of 2010/2011</t>
  </si>
  <si>
    <t>Epifluorescence microscopy; King George Island; Plankton biomass; Size-fraction structure; Trophic category; West Antarctic Peninsula</t>
  </si>
  <si>
    <t>KING-GEORGE-ISLAND; SOUTH-SHETLAND-ISLANDS; SEA-ICE; BACTERIAL PRODUCTION; PHYTOPLANKTON COMMUNITIES; SPATIAL VARIABILITY; BRANSFIELD STRAIT; ATLANTIC SECTOR; ALGAL BIOMASS; SARGASSO SEA</t>
  </si>
  <si>
    <t>The distribution and variability of picoplankton and nanoplankton in Admiralty Bay (King George Island, South Shetland Islands, Antarctica) were studied by investigation of five sampling sites during the austral summer of 2010/2011. After a relatively warm winter, the water temperature in the early summer (&gt; 0.02 A degrees C) was higher than is normal in December. The spatial-temporal variability of salinity was low, whereas water temperature and chlorophyll a increased significantly (p &lt; 0.05) toward late summer. Nitrite and phosphate concentrations increased whereas nitrate and silicate decreased during the summer. Picoplankton increased by late summer and was dominated by heterotrophs (&gt; 96 %), with abundance and biomass tenfold (similar to 10(9) cells L-1) and twofold (similar to 60 A mu g C L-1) higher, respectively, than were observed in previous studies. In contrast, nanoplankton was dominated by photoautotrophs (&gt; 60 %), and values were highest in the early summer, with cell numbers (similar to 10(6) cells L-1) and biomass (similar to 90 A mu g C L-1) a factor of two lower than those found in a previous study. Temperature changes, inputs from ice melting, and grazing relationships between planktonic components seemed to have crucially important effects on the distribution patterns of these pico and nanoplankton communities. We suggest that additional study must be performed to develop a better understanding of abiotic and biotic factors that affect the abundance, biomass, and production of plankton smaller than 20 A mu m, their place in the microbial food web and the possible consequences of environmental changes on higher trophic levels in such Antarctic coastal environments as Admiralty Bay ASMA.</t>
  </si>
  <si>
    <t>[Vanzan, Mariana; Barboza Tenorio, Marcio Murilo; Tenenbaum, Denise Rivera] Univ Fed Rio de Janeiro, Inst Biol, Lab Fitoplancton Marinho, Ilha Fundao, BR-21949902 Rio de Janeiro, RJ, Brazil; [Barrera-Alba, Jose Juan] Univ Fed Sao Paulo UNIFESP, Dept Ciencias Mar, BR-11030400 Santos, SP, Brazil</t>
  </si>
  <si>
    <t>Universidade Federal do Rio de Janeiro; Universidade Federal de Sao Paulo (UNIFESP)</t>
  </si>
  <si>
    <t>Barrera-Alba, JJ (corresponding author), Univ Fed Sao Paulo UNIFESP, Dept Ciencias Mar, Campus Baixada Santista,Av Saldanha da Gama 89, BR-11030400 Santos, SP, Brazil.</t>
  </si>
  <si>
    <t>barreraalba75@gmail.com; deniser@biologia.ufrj.br</t>
  </si>
  <si>
    <t>Barrera Alba, Jose Juan/K-4729-2014</t>
  </si>
  <si>
    <t>Barrera Alba, Jose Juan/0000-0002-3485-638X</t>
  </si>
  <si>
    <t>National Council for Research and Development (CNPq) [574018/2008-5]; Research Support Foundation of the State of Rio de Janeiro (FAPERJ) [E-16/170.023/2008]; Brazilian Ministry of Science, Technology, and Innovation (MCTI); Brazilian Ministry of Environment (MMA); Inter-Ministry Commission for Sea Resources (CIRM); Brazilian Navy (MB); CNPq [385083/2013-0, 151651/2010-8]; FAPERJ/CAPES [E-26/102.015/2009]</t>
  </si>
  <si>
    <t>National Council for Research and Development (CNPq)(Conselho Nacional de Desenvolvimento Cientifico e Tecnologico (CNPQ)); Research Support Foundation of the State of Rio de Janeiro (FAPERJ)(Fundacao Carlos Chagas Filho de Amparo a Pesquisa do Estado do Rio De Janeiro (FAPERJ)); Brazilian Ministry of Science, Technology, and Innovation (MCTI); Brazilian Ministry of Environment (MMA); Inter-Ministry Commission for Sea Resources (CIRM); Brazilian Navy (MB); CNPq(Conselho Nacional de Desenvolvimento Cientifico e Tecnologico (CNPQ)); FAPERJ/CAPES(Coordenacao de Aperfeicoamento de Pessoal de Nivel Superior (CAPES)Fundacao Carlos Chagas Filho de Amparo a Pesquisa do Estado do Rio De Janeiro (FAPERJ))</t>
  </si>
  <si>
    <t>This work was developed as a part of the National Institute of Science and Technology Antarctic Environmental Research (INCT-APA), that receive scientific and financial supports of the National Council for Research and Development (CNPq process: no 574018/2008-5) and Research Support Foundation of the State of Rio de Janeiro (FAPERJ no E-16/170.023/2008). The authors are also grateful for support from the Brazilian Ministries of Science, Technology, and Innovation (MCTI) and from Environment (MMA), the Inter-Ministry Commission for Sea Resources (CIRM), and the Brazilian Navy (MB). Thanks are also extended to the Marine Organic Chemical Laboratory of the Oceanographic Institute of Sao Paulo University (LabQOM-IOUSP) for physical and chemical analysis, to Dr Terezinha Absher (CEM-UFPR) for in-situ wind speed and air temperature measurements, to Moura RB for the figure showing the study area (Fig. 1), and to the Marine Organic Chemical Laboratory of the Oceanographic Institute of Sao Paulo University (LabQOM-IOUSP). M. Vanzan thanks CNPq for the Technological and Industrial Development fellowship under grant no. 385083/2013-0. J.J. Barrera-Alba thanks CNPq for the post-doctoral fellowship under grant no. 151651/2010-8. M.M.B. Tenorio thanks FAPERJ/CAPES for the post-doctoral fellowship under grant no. E-26/102.015/2009.</t>
  </si>
  <si>
    <t>10.1007/s00300-015-1692-1</t>
  </si>
  <si>
    <t>WOS:000358041600015</t>
  </si>
  <si>
    <t>van den Hoff, J; Bell, E</t>
  </si>
  <si>
    <t>van den Hoff, John; Bell, Elanor</t>
  </si>
  <si>
    <t>The ciliate Mesodinium rubrum and its cryptophyte prey in Antarctic aquatic environments</t>
  </si>
  <si>
    <t>Endosymbiont; Mesodinium; Mixotrophic; Trophic relationship</t>
  </si>
  <si>
    <t>HILLS EASTERN ANTARCTICA; VESTFOLD HILLS; MYRIONECTA-RUBRA; SALINE LAKES; SEA-ICE; MARINE; CILIOPHORA; CRYPTOMONAD; EVOLUTION; POPULATIONS</t>
  </si>
  <si>
    <t>For growth, the mixotrophic ciliate Mesodinium rubrum sequesters organelles from ingested prey. Feeding in the field is poorly known; however, isolates of an Antarctic M. rubrum strain are maintained in culture on a diet of Teleaulex/Plagioselmis/Geminigera-like cryptophytes, suggesting that cryptophyte presence may be an important factor controlling M. rubrum distribution and abundance in nature. We augmented field surveys with published findings to establish the distribution of both M. rubrum and a Geminigera-like cryptophyte in a range of East Antarctic aquatic environments. We also studied their overwinter abundances in Ace Lake to determine whether a predator-prey relationship existed between the two species in this natural enclosed ecosystem. The ciliate and the cryptophyte co-occurred in the majority of sites sampled which ranged widely in salinity (2.2-150 aEuro degrees) and temperature (-3.0-16 A degrees C). We observed a cyclic relationship in species abundances in Ace Lake, implying population growth for M. rubrum responded to changed cryptophyte abundance. Mesodinium rubrum likely exerts top-down pressure on cryptophyte abundances in natural enclosed ecosystems especially under low-light winter conditions. The ciliate can be considered an apex predator in highly truncated food webs.</t>
  </si>
  <si>
    <t>[van den Hoff, John; Bell, Elanor] Australian Antarctic Div, Kingston, Tas 7050, Australia</t>
  </si>
  <si>
    <t>Australian Antarctic Division</t>
  </si>
  <si>
    <t>van den Hoff, J (corresponding author), Australian Antarctic Div, 203 Channel Highway, Kingston, Tas 7050, Australia.</t>
  </si>
  <si>
    <t>john_van@aad.gov.au</t>
  </si>
  <si>
    <t>Australian Scientific Advisory Committee (ASAC) [40]; Scientific Committee for Antarctic Research (SCAR) Prince of Asturias Fellowship; Deutsche Forschungsgemeinschaft (DFG) [BE 2579/3-1]</t>
  </si>
  <si>
    <t>Australian Scientific Advisory Committee (ASAC); Scientific Committee for Antarctic Research (SCAR) Prince of Asturias Fellowship; Deutsche Forschungsgemeinschaft (DFG)(German Research Foundation (DFG))</t>
  </si>
  <si>
    <t>Dr. John Ferris and Harry Burton conceived the early field survey. EMB was supported by an Australian Scientific Advisory Committee (ASAC) grant (#40) with additional support provided by a Scientific Committee for Antarctic Research (SCAR) Prince of Asturias Fellowship (2003) and a Deutsche Forschungsgemeinschaft (DFG) overseas stipend (#BE 2579/3-1). Drs John Gibson, Fiona Scott and Andrew Davidson improved early versions of the manuscript. David Smith of the Australian Antarctic Data Centre produced Online Resource 2. Sarah Payne collected and photographed Mesodinium from Ace Lake for Fig. 1b and c in August, 2014.</t>
  </si>
  <si>
    <t>10.1007/s00300-015-1686-z</t>
  </si>
  <si>
    <t>WOS:000358041600019</t>
  </si>
  <si>
    <t>Miranda-Urbina, D; Portflitt-Toro, M; Serratosa, J; Luna-Jorquera, G</t>
  </si>
  <si>
    <t>Miranda-Urbina, Diego; Portflitt-Toro, Matias; Serratosa, Juan; Luna-Jorquera, Guillermo</t>
  </si>
  <si>
    <t>Vagrant Antarctic fur seal, Arctocephalus gazella, in northern Chile</t>
  </si>
  <si>
    <t>Antarctic fur seal; Vagrant; Northern Chile; SE South Pacific</t>
  </si>
  <si>
    <t>The Antarctic fur seal, Arctocephalus gazella, has a wide distribution range and breeds primarily in subantarctic and Antarctic locations of the Southern Ocean. We report the first record of this species in northern Chile in August, 2014. Although no external trauma was observed, the seal was presumed to be sick because it appeared to be underweight. This sighting is the northernmost record of this species on islands and the continental coastal areas of the southeastern South Pacific.</t>
  </si>
  <si>
    <t>[Miranda-Urbina, Diego; Portflitt-Toro, Matias; Luna-Jorquera, Guillermo] Univ Catolica Norte, Coquimbo, Chile; [Miranda-Urbina, Diego; Luna-Jorquera, Guillermo] MN Ecol &amp; Sustainable Management Ocean Isl ESMOI, Coquimbo, Chile; [Miranda-Urbina, Diego] Univ Catolica Norte, Fac Ciencias Mar, Programa Magister Ciencias Mar Menc Recursos Cost, Coquimbo, Chile; [Serratosa, Juan] Univ Catolica Norte, Biol &amp; Ecol Aplicada, Coquimbo, Chile; [Luna-Jorquera, Guillermo] CEAZA, Coquimbo, Chile</t>
  </si>
  <si>
    <t>Universidad Catolica del Norte; Universidad Catolica del Norte; Universidad Catolica del Norte</t>
  </si>
  <si>
    <t>Luna-Jorquera, G (corresponding author), Univ Catolica Norte, Larrondo 1281, Coquimbo, Chile.</t>
  </si>
  <si>
    <t>gluna@ucn.cl</t>
  </si>
  <si>
    <t>Serratosa, Juan/JVZ-5073-2024; Luna-Jorquera, Guillermo/B-4350-2010; Serratosa, Juan/KDO-0236-2024</t>
  </si>
  <si>
    <t>Portflitt-Toro, Matias/0000-0001-7850-0628; Guillermo, Luna-Jorquera/0000-0003-4274-7025; Serratosa, Juan/0000-0001-9980-919X</t>
  </si>
  <si>
    <t>Millennium Nucleus ESMOI of the Millennium Scientific Initiative of the Chilean government [NC120030]; CONICYT</t>
  </si>
  <si>
    <t>Millennium Nucleus ESMOI of the Millennium Scientific Initiative of the Chilean government; CONICYT(Comision Nacional de Investigacion Cientifica y Tecnologica (CONICYT))</t>
  </si>
  <si>
    <t>The Millennium Nucleus ESMOI NC120030 of the Millennium Scientific Initiative of the Chilean government funded this research. A CONICYT Scholarship funded DM-U. E.E. Easton makes useful suggestions to an early version of the manuscript. Many thanks to R.N.P. Goodall, M.N. Bester and D. Piepenburg (Editor in Chief) for their comments and suggestions to improve the final version of the manuscript.</t>
  </si>
  <si>
    <t>10.1007/s00300-015-1693-0</t>
  </si>
  <si>
    <t>WOS:000358041600020</t>
  </si>
  <si>
    <t>Treasure, AM; Ruzicka, JJ; Moloney, CL; Gurney, LJ; Ansorge, IJ</t>
  </si>
  <si>
    <t>Treasure, Anne M.; Ruzicka, James J.; Moloney, Coleen L.; Gurney, Leigh J.; Ansorge, Isabelle J.</t>
  </si>
  <si>
    <t>Land-Sea Interactions and Consequences for Sub-Antarctic Marine Food Webs</t>
  </si>
  <si>
    <t>ECOSYSTEMS</t>
  </si>
  <si>
    <t>ECOPATH; ECOTRAN; resource subsidies; Prince Edward Islands; end-to-end modelling; phytoplankton blooms; nutrient runoff</t>
  </si>
  <si>
    <t>PRINCE-EDWARD-ISLANDS; GULF-OF-CALIFORNIA; END-TO-END; SOUTHERN-OCEAN; CLIMATE-CHANGE; COMMUNITY STRUCTURE; PELAGIC PRODUCTION; TROPHIC STRUCTURE; SEABIRD GUANO; ECOSYSTEM</t>
  </si>
  <si>
    <t>Resource subsidies can influence the structure and dynamics of recipient food webs in a wide range of ecosystems through direct and indirect effects. On the sub-Antarctic Prince Edward Islands (PEIs), large populations of top predators import substantial amounts of nutrients from the oceans to the islands. Guano runoff from the islands increases the availability of nutrients in the nearshore marine environment, supporting phytoplankton blooms. We apply food web models to the PEIs marine ecosystem to investigate food web responses to variability in resource subsidies. Modelled scenarios of island-associated blooms indicated small effects on the ecosystem under both normal bloom conditions and when the input of blooms was removed entirely. Benthic communities benefited most strongly from blooms and a fivefold increase in bloom production had broadly positive impacts throughout the entire food web, including the pelagic food web. Land-based predators were shown to contribute significantly to nearshore ecosystem production via their contributions to ammonia runoff. Transfers of material across the land-sea interface were estimated to contribute 0.73 t N km(-2) y(-1) to the nearshore ammonium pool. The effects of removing terrestrial nutrient input were very small when 100% of nutrient runoff was converted to island-associated bloom phytoplankton while the macrophyte production rate was held constant. If, however, macrophyte production was also supported in part or wholly by terrestrial nutrient runoff, the ecosystem-level effects of runoff variability were much greater and more broadly distributed throughout the food web. Given the potential of habitat linkages to alter or structure communities, populations, and environments, it is important to incorporate land-sea linkages into ecological models.</t>
  </si>
  <si>
    <t>[Treasure, Anne M.; Ansorge, Isabelle J.] Univ Cape Town, Dept Oceanog, ZA-7925 Cape Town, South Africa; [Treasure, Anne M.; Moloney, Coleen L.; Ansorge, Isabelle J.] Univ Cape Town, Marine Res Inst Ma Re, ZA-7925 Cape Town, South Africa; [Ruzicka, James J.] Oregon State Univ, Cooperat Inst Marine Resources Studies, Newport, OR 97365 USA; [Moloney, Coleen L.] Univ Cape Town, Dept Biol Sci, ZA-7925 Cape Town, South Africa; [Gurney, Leigh J.] Univ British Columbia, Dept Earth &amp; Ocean Sci, Vancouver, BC V5Z 1M9, Canada</t>
  </si>
  <si>
    <t>University of Cape Town; University of Cape Town; Oregon State University; University of Cape Town; University of British Columbia</t>
  </si>
  <si>
    <t>Treasure, AM (corresponding author), Univ Cape Town, Dept Oceanog, ZA-7925 Cape Town, South Africa.</t>
  </si>
  <si>
    <t>anne.m.treasure@gmail.com</t>
  </si>
  <si>
    <t>ANSORGE, ISABELLE/AAY-7396-2020; Moloney, Coleen/B-4363-2009</t>
  </si>
  <si>
    <t>Moloney, Coleen/0000-0001-6663-8814; Treasure, Anne/0000-0002-8345-4811; Ansorge, Isabelle/0000-0001-7071-8147</t>
  </si>
  <si>
    <t>South African National Research Foundation (NRF); USA National Science Foundation [OCE-1259057]; Directorate For Geosciences; Division Of Ocean Sciences [1259057] Funding Source: National Science Foundation</t>
  </si>
  <si>
    <t>South African National Research Foundation (NRF)(National Research Foundation - South Africa); USA National Science Foundation(National Science Foundation (NSF)); Directorate For Geosciences; Division Of Ocean Sciences(National Science Foundation (NSF)NSF - Directorate for Geosciences (GEO))</t>
  </si>
  <si>
    <t>Eugene Murphy is thanked for useful discussion. AMT is supported by the South African National Research Foundation (NRF). JJR is supported by a grant from the USA National Science Foundation (OCE-1259057).</t>
  </si>
  <si>
    <t>1432-9840</t>
  </si>
  <si>
    <t>1435-0629</t>
  </si>
  <si>
    <t>Ecosystems</t>
  </si>
  <si>
    <t>10.1007/s10021-015-9860-2</t>
  </si>
  <si>
    <t>CN0FI</t>
  </si>
  <si>
    <t>WOS:000358089100003</t>
  </si>
  <si>
    <t>VishnuRadhan, R; Thresyamma, DD; Sarma, K; George, G; Shirodkar, P; Vethamony, P</t>
  </si>
  <si>
    <t>VishnuRadhan, Renjith; Thresyamma, Divya David; Sarma, Kamal; George, Grinson; Shirodkar, Prabhakar; Vethamony, Ponnumony</t>
  </si>
  <si>
    <t>Influence of natural and anthropogenic factors on the water quality of the coastal waters around the South Andaman in the Bay of Bengal</t>
  </si>
  <si>
    <t>NATURAL HAZARDS</t>
  </si>
  <si>
    <t>Factor analysis; Cluster analysis; Developmental issues; Andaman Sea; Population pressure; Coastal monitoring</t>
  </si>
  <si>
    <t>PORT-BLAIR BAY; NORTH ANDAMAN; NICOBAR ISLANDS; TOURISM; PARAMETERS; POLLUTION; AERIAL</t>
  </si>
  <si>
    <t>During the last decade, the Andaman and Nicobar Islands (ANI) have witnessed a marginal population growth with associated variations and degradation in the water quality of the inhabited coastal region. Monthly water quality data collected from six coastal locations in ANI were used to evaluate the anthropogenic influence in an otherwise pristine island environment. Exceptionally low dissolved oxygen (0.7-2.0 mg/L) at the Phoenix Jetty (PJ) and mangrove site indicates hypoxic conditions. Among the nutrients, nitrate shows high values at PJ due to heavy nutrient loading from domestic sewage. The cluster analysis segregated PJ from the remaining sites, indicating deterioration in the water quality. On the other hand, water quality at Sippighat, a low-intensity aquaculture site, does not indicate any deterioration. Apart from the large modulations in the water quality of the study area by the Bay of Bengal waters, the effect of domestic waste discharges significantly affects the coastal waters of Andaman. Though the present water quality at most of the study sites appears acceptable, the increased volume of tourism and allied activities poses a potential threat to the island ecosystem. Besides the anthropogenic influences, the long-term trends in oceanographic factors were analyzed in order to decipher the expected natural effect on future water quality of the region. Based on the increasing sea surface temperature as well as the decreasing chlorophyll-a, eddy kinetic energy, and zonal kinetic energy, we propose that the combined effect of both natural and anthropogenic factors can ultimately distress the present ambient water quality of ANI.</t>
  </si>
  <si>
    <t>[VishnuRadhan, Renjith; Shirodkar, Prabhakar; Vethamony, Ponnumony] CSIR NIO, Panaji 403004, Goa, India; [Thresyamma, Divya David] ESSO Natl Ctr Antarctic &amp; Ocean Res MoES, Headland Sada 403804, Goa, India; [Sarma, Kamal; George, Grinson] ICAR Res Complex, Cent Agr Res Inst, Div Fisheries Sci, Marine Res Lab, Port Blair 744101, Andaman &amp; Nicob, India; [George, Grinson] Cent Marine Fisheries Res Inst, Fishery Resources Assessment Div, Kochi 682018, Kerala, India; [VishnuRadhan, Renjith] Univ KwaZulu Natal, Sch Civil Engn Surveying &amp; Construct, ZA-4041 Durban, South Africa</t>
  </si>
  <si>
    <t>Council of Scientific &amp; Industrial Research (CSIR) - India; CSIR - National Institute of Oceanography (NIO); Ministry of Earth Sciences (MoES) - India; National Centre for Polar and Ocean Research (NCPOR); Indian Council of Agricultural Research (ICAR); ICAR - Central Island Agricultural Research Institute; Indian Council of Agricultural Research (ICAR); ICAR - Central Marine Fisheries Research Institute; University of Kwazulu Natal</t>
  </si>
  <si>
    <t>VishnuRadhan, R (corresponding author), CSIR NIO, Panaji 403004, Goa, India.</t>
  </si>
  <si>
    <t>renjitvishnu@gmail.com</t>
  </si>
  <si>
    <t>VishnuRadhan, Renjith/HLH-1566-2023; George, Grinson/M-1484-2019; Sarma, Kamal/ABE-2342-2020</t>
  </si>
  <si>
    <t>George, Grinson/0000-0002-0136-5445; VishnuRadhan, Renjith/0000-0001-6442-824X; David T, Divya/0000-0002-8385-839X; Ponnumony, Vethamony/0000-0002-2747-7568</t>
  </si>
  <si>
    <t>Council of Scientific and Industrial Research (CSIR), India; NAIP international fellowship</t>
  </si>
  <si>
    <t>Council of Scientific and Industrial Research (CSIR), India(Council of Scientific &amp; Industrial Research (CSIR) - India); NAIP international fellowship</t>
  </si>
  <si>
    <t>The authors express sincere thanks to Directors, CSIR-NIO, Goa; NCAOR, Goa, and ICAR-CIARI, Port Blair, for their encouragement in the study. Renjith VishnuRadhan acknowledges the research fellowship from Council of Scientific and Industrial Research (CSIR), India. Dr. Grinson George would like to acknowledge NAIP international fellowship for facilitating part of this work at PML, UK.</t>
  </si>
  <si>
    <t>0921-030X</t>
  </si>
  <si>
    <t>1573-0840</t>
  </si>
  <si>
    <t>NAT HAZARDS</t>
  </si>
  <si>
    <t>Nat. Hazards</t>
  </si>
  <si>
    <t>10.1007/s11069-015-1715-9</t>
  </si>
  <si>
    <t>Geosciences, Multidisciplinary; Meteorology &amp; Atmospheric Sciences; Water Resources</t>
  </si>
  <si>
    <t>Geology; Meteorology &amp; Atmospheric Sciences; Water Resources</t>
  </si>
  <si>
    <t>CM2KE</t>
  </si>
  <si>
    <t>WOS:000357507900018</t>
  </si>
  <si>
    <t>Feng, J; Li, JP; Yun, L; Zhu, JL; Xie, F</t>
  </si>
  <si>
    <t>Feng Juan; Li Jianping; Yun Li; Zhu Jianlei; Xie Fei</t>
  </si>
  <si>
    <t>Relationships among the Monsoon-like Southwest Australian Circulation, the Southern Annular Mode, and Winter Rainfall over Southwest Western Australia</t>
  </si>
  <si>
    <t>ADVANCES IN ATMOSPHERIC SCIENCES</t>
  </si>
  <si>
    <t>monsoon-like Southwest Australian Circulation; Southern Annular Mode; southwest Western Australian winter rainfall</t>
  </si>
  <si>
    <t>SEA-SURFACE TEMPERATURE; ANTARCTIC CIRCUMPOLAR WAVE; OCEAN CLIMATE VARIABILITY; ASIAN SUMMER MONSOON; PART I; INDEX; PRECIPITATION; ASSOCIATION; PRESSURE; IMPACT</t>
  </si>
  <si>
    <t>This study examines the relationships among the monsoon-like southwest Australian circulation (SWAC), the Southern Annular Mode (SAM), and southwest Western Australia winter rainfall (SWR), based on observed rainfall, reanalysis datasets, and the results of numerical modeling. By decomposing the SWAC into two components using a linear model, i.e. the component related to SAM (RSAM) and the component unrelated to SAM (SWACI*), we find it is the SWACI* that shows a significant influence on SWR. Similarly, it is the component of SAM associated with SWAC that exhibits an impact on SWR, whereas the component unrelated to SAM. A similar result is obtained in terms of the circulation associated with SWAC and the SAM. These facts suggest the SAM plays an indirect role in influencing SWR, and raise the possibility that SWAC acts as a bridge between the SAM and SWR, by which the SAM passes its influences onto SWR. This is due to the fact that the variations of SWAC are closely linked to the thermal contrast between land and sea across the southern Indian Ocean and southwest Australia. By contrast, the SAM does not significantly relate to this thermal structure, particularly for the component unrelated to SWAC. The variations of surface sea temperature over the southern Indian Ocean contribute to the favored rainfall circulation patterns. This finding is supported by the numerical modeling results. The strong coupling between SWAC and SWR may be instrumental for understanding the interactions between SWR and the southern Indian Ocean, and provides another perspective in examining the variations in SWR.</t>
  </si>
  <si>
    <t>[Feng Juan; Li Jianping; Xie Fei] Beijing Normal Univ, Coll Global Change &amp; Earth Syst Sci, Beijing 100875, Peoples R China; [Feng Juan; Zhu Jianlei] Chinese Acad Sci, Inst Atmospher Phys, State Key Lab Numer Modeling Atmospher Sci &amp; Geop, Beijing 100029, Peoples R China; [Feng Juan; Li Jianping] Joint Ctr Global Change Studies, Beijing 1000875, Peoples R China; [Yun Li] CSIRO Digital Prod FlagshipFloreat, Data Analyt, Floreat, WA 6083, Australia</t>
  </si>
  <si>
    <t>Beijing Normal University; Chinese Academy of Sciences; Institute of Atmospheric Physics, CAS; Commonwealth Scientific &amp; Industrial Research Organisation (CSIRO)</t>
  </si>
  <si>
    <t>Li, Yun/E-8569-2010; Xie, Fei/I-9766-2016; Li, Jianping/I-2661-2012; Li, Yun/ABZ-6481-2022</t>
  </si>
  <si>
    <t>Li, Yun/0000-0001-9925-7372; Xie, Fei/0000-0003-2891-3883; Li, Yun/0000-0001-9925-7372</t>
  </si>
  <si>
    <t>973 Program [2013CB430203]; National Natural Science Foundation of China [41205046, 41475076]; Australia-China Bilateral Climate Change Partnerships Program of Australian Department of Climate Change and Energy Efficiency</t>
  </si>
  <si>
    <t>973 Program(National Basic Research Program of China); National Natural Science Foundation of China(National Natural Science Foundation of China (NSFC)); Australia-China Bilateral Climate Change Partnerships Program of Australian Department of Climate Change and Energy Efficiency</t>
  </si>
  <si>
    <t>This work was jointly supported by the 973 Program (Grant No. 2013CB430203), the National Natural Science Foundation of China (Grant Nos. 41205046 and 41475076), and the Australia-China Bilateral Climate Change Partnerships Program of Australian Department of Climate Change and Energy Efficiency.</t>
  </si>
  <si>
    <t>0256-1530</t>
  </si>
  <si>
    <t>1861-9533</t>
  </si>
  <si>
    <t>ADV ATMOS SCI</t>
  </si>
  <si>
    <t>Adv. Atmos. Sci.</t>
  </si>
  <si>
    <t>10.1007/s00376-014-4142-z</t>
  </si>
  <si>
    <t>CJ9XU</t>
  </si>
  <si>
    <t>WOS:000355857900004</t>
  </si>
  <si>
    <t>Marine biological diversity beyond areas of national jurisdiction</t>
  </si>
  <si>
    <t>10.1017/S0954102015000322</t>
  </si>
  <si>
    <t>WOS:000360201200001</t>
  </si>
  <si>
    <t>Queste, BY; Heywood, KJ; Smith, WO; Kaufman, DE; Jickells, TD; Dinniman, MS</t>
  </si>
  <si>
    <t>Queste, Bastien Y.; Heywood, Karen J.; Smith, Walker O., Jr.; Kaufman, Daniel E.; Jickells, Timothy D.; Dinniman, Michael S.</t>
  </si>
  <si>
    <t>Dissolved oxygen dynamics during a phytoplankton bloom in the Ross Sea polynya</t>
  </si>
  <si>
    <t>carbon; chlorophyll; productivity; Seaglider; stratification; trophic state</t>
  </si>
  <si>
    <t>NET COMMUNITY PRODUCTION; SOUTHERN-OCEAN; HIGH-RESOLUTION; WATER-COLUMN; GAS-EXCHANGE; VARIABILITY; ANTARCTICA; NUTRIENTS; CYCLES; CARBON</t>
  </si>
  <si>
    <t>The Ross Sea polynya is one of the most productive regions in the Southern Ocean. However, limited access and high spatio-temporal variability of physical and biological processes limit the use of conventional oceanographic methods to measure early season primary productivity. High-resolution observations from two Seagliders provide insights into the timing of a bloom in the southern Ross Sea polynya in December 2010. Changes in chlorophyll and oxygen concentrations are used to assess bloom dynamics. Using a ratio of dissolved oxygen to carbon, net primary production is estimated over the duration of the bloom showing a sensitive balance between net autotrophy and heterotrophy. The two gliders, observing spatially distinct regions during the same period, found net community production rates of -0.9 +/- 0.7 and 0.7 +/- 0.4 g Cm-2 d(-1). The difference highlights the spatial variability of biological processes and is probably caused by observing different stages of the bloom. The challenge of obtaining accurate primary productivity estimates highlights the need for increased observational efforts, particularly focusing on subsurface processes not resolved using surface or remote observations. Without an increased observational effort and the involvement of emerging technologies, it will not be possible to determine the seasonal trophic balance of the Ross Sea polynya and quantify the shelf's importance in carbon export.</t>
  </si>
  <si>
    <t>[Queste, Bastien Y.; Heywood, Karen J.; Jickells, Timothy D.] Univ E Anglia, Sch Environm Sci, COAS, Norwich NR4 7TJ, Norfolk, England; [Smith, Walker O., Jr.; Kaufman, Daniel E.] Virginia Inst Marine Sci, Coll William &amp; Mary, Gloucester Point, VA 23062 USA; [Dinniman, Michael S.] Old Dominion Univ, Ctr Coastal Phys Oceanog, Norfolk, VA 23508 USA</t>
  </si>
  <si>
    <t>University of East Anglia; William &amp; Mary; Virginia Institute of Marine Science; Old Dominion University</t>
  </si>
  <si>
    <t>Queste, BY (corresponding author), Univ E Anglia, Sch Environm Sci, COAS, Norwich NR4 7TJ, Norfolk, England.</t>
  </si>
  <si>
    <t>B.Queste@uea.ac.uk</t>
  </si>
  <si>
    <t>Kaufman, Daniel/L-5720-2019; Heywood, Karen/L-1757-2016</t>
  </si>
  <si>
    <t>Kaufman, Daniel/0000-0002-1487-7298; Queste, Bastien/0000-0002-3786-2275; Dinniman, Michael/0000-0001-7519-9278; Heywood, Karen/0000-0001-9859-0026</t>
  </si>
  <si>
    <t>NERC CASE PhD studentship; Antarctic Science International Bursary; National Science Foundation's Office of Polar Programs [NSF-ANT-0838980]; US National Science Foundation grant [NSF-ANT-0838948]; NERC grant GENTOO (Gliders: Excellent New Tools for Observing the Ocean) [NE/H01439X/1]; Natural Environment Research Council [NE/H01439X/1] Funding Source: researchfish; NERC [NE/H01439X/1] Funding Source: UKRI</t>
  </si>
  <si>
    <t>NERC CASE PhD studentship; Antarctic Science International Bursary; National Science Foundation's Office of Polar Programs(National Science Foundation (NSF)); US National Science Foundation grant(National Science Foundation (NSF)); NERC grant GENTOO (Gliders: Excellent New Tools for Observing the Ocean); Natural Environment Research Council(UK Research &amp; Innovation (UKRI)Natural Environment Research Council (NERC)); NERC(UK Research &amp; Innovation (UKRI)Natural Environment Research Council (NERC))</t>
  </si>
  <si>
    <t>Bastien Queste was funded by a NERC CASE PhD studentship and an Antarctic Science International Bursary (http://www.antarcticsciencebursary.org.uk). This work was funded by the National Science Foundation's Office of Polar Programs (NSF-ANT-0838980). Michael Dinniman was funded by US National Science Foundation grant NSF-ANT-0838948. We acknowledge funding support from NERC grant GENTOO (Gliders: Excellent New Tools for Observing the Ocean, NE/H01439X/1). We thank Craig Lee, Jason Gobat and Vernon Asper for technical assistance and help with the Seagliders. This paper is Contribution No. 3418 of the Virginia Institute of Marine Science, College of William &amp; Mary. Bathymetric data were obtained from the GEBCO_08 Grid, version 20100927. Wind and atmospheric data were obtained from the European Centre for Medium-Range Weather Forecasts (ECMWF). Satellite chlorophyll data were obtained from the Ocean Biology Processing Group (OBPG) at the Goddard Space Flight and sea ice data from the Special Sensor Microwave Imager/Sounder of the US National Snow and Ice Data Center. We would like to thank our reviewers, Dr Elizabeth Shadwick and the Antarctic Science editorial team for their hard work and helpful comments.</t>
  </si>
  <si>
    <t>10.1017/S0954102014000881</t>
  </si>
  <si>
    <t>WOS:000360201200006</t>
  </si>
  <si>
    <t>Hafsteinsdóttir, EG; Camenzuli, D; Rocavert, AL; Walworth, J; Gore, DB</t>
  </si>
  <si>
    <t>Hafsteinsdottir, Erla G.; Camenzuli, Danielle; Rocavert, Amy L.; Walworth, James; Gore, Damian B.</t>
  </si>
  <si>
    <t>Chemical immobilization of metals and metalloids by phosphates</t>
  </si>
  <si>
    <t>APPLIED GEOCHEMISTRY</t>
  </si>
  <si>
    <t>IN-SITU STABILIZATION; LEAD-CONTAMINATED SOIL; PB-ZN MINE; AQUEOUS-SOLUTIONS; POLLUTED SOILS; HEAVY-METALS; SYNTHETIC HYDROXYAPATITES; SOLUBILIZING BACTERIA; DISSOLUTION KINETICS; CALCIUM-PHOSPHATE</t>
  </si>
  <si>
    <t>Remediation of metal contaminated media using orthophosphate fixation forms insoluble and nonbioavailable salts from metal and phosphate sources. The main focus has been on fixation of Pb, where the formation of pyromorphite, the most insoluble lead phosphate, has shown the great potential of this remediation technique. Other metals (Ba, Cd, Co, Cu, Eu, Ni, U, Zn) also have potential for effective fixation by orthophosphate. We review the applicability of the treatment across wider environmental conditions, particularly in surface soil, its use with elements other than Pb, product stability and efficiency with mixed contaminants. (C) 2015 Elsevier Ltd. All rights reserved.</t>
  </si>
  <si>
    <t>[Hafsteinsdottir, Erla G.; Camenzuli, Danielle; Rocavert, Amy L.; Gore, Damian B.] Macquarie Univ, Dept Environm Sci, N Ryde, NSW 2109, Australia; [Walworth, James] Univ Arizona, Dept Soil Water &amp; Environm Sci, Tucson, AZ 85721 USA</t>
  </si>
  <si>
    <t>Macquarie University; University of Arizona</t>
  </si>
  <si>
    <t>Hafsteinsdóttir, EG (corresponding author), URS Australia, 53 Cleary St, Hamilton, NSW 2302, Australia.</t>
  </si>
  <si>
    <t>erla.hafsteinsdottir@gmail.com; danielle.camenzuli@mq.edu.au; amy.r@bigpond.net.au; walworth@ag.arizona.edu; damian.gore@mq.edu.au</t>
  </si>
  <si>
    <t>Toase, Danielle/0000-0003-2259-7883; Gore, Damian/0000-0002-0377-8518</t>
  </si>
  <si>
    <t>Australian Research Council; PANalytical; Veolia Environmental Services; Australian Antarctic Division [LP0776373, AAS2937, AAS4029]; Australian Research Council [LP0776373] Funding Source: Australian Research Council</t>
  </si>
  <si>
    <t>Australian Research Council(Australian Research Council); PANalytical; Veolia Environmental Services; Australian Antarctic Division; Australian Research Council(Australian Research Council)</t>
  </si>
  <si>
    <t>We thank the Australian Research Council, PANalytical, Veolia Environmental Services and the Australian Antarctic Division for financial support (Grants LP0776373, AAS2937, and AAS4029), and Kirstie Fryirs, Duanne White, Scott Stark and anonymous reviewers for helpful comments.</t>
  </si>
  <si>
    <t>0883-2927</t>
  </si>
  <si>
    <t>APPL GEOCHEM</t>
  </si>
  <si>
    <t>Appl. Geochem.</t>
  </si>
  <si>
    <t>10.1016/j.apgeochem.2015.03.014</t>
  </si>
  <si>
    <t>CL4YD</t>
  </si>
  <si>
    <t>WOS:000356962700005</t>
  </si>
  <si>
    <t>Devillers, R; Pressey, RL; Grech, A; Kittinger, JN; Edgar, GJ; Ward, T; Watson, R</t>
  </si>
  <si>
    <t>Devillers, Rodolphe; Pressey, Robert L.; Grech, Alana; Kittinger, John N.; Edgar, Graham J.; Ward, Trevor; Watson, Reg</t>
  </si>
  <si>
    <t>Reinventing residual reserves in the sea: are we favouring ease of establishment over need for protection?</t>
  </si>
  <si>
    <t>AQUATIC CONSERVATION-MARINE AND FRESHWATER ECOSYSTEMS</t>
  </si>
  <si>
    <t>marine protected area (MPA); systematic conservation planning; conservation priority; biodiversity; extractive activities; fisheries</t>
  </si>
  <si>
    <t>GREAT-BARRIER-REEF; NEW-SOUTH-WALES; MARINE CONSERVATION; AREAS; BIODIVERSITY; TARGETS; MANAGEMENT; IMPACTS; LESSONS; SHORTCOMINGS</t>
  </si>
  <si>
    <t>As systems of marine protected areas (MPAs) expand globally, there is a risk that new MPAs will be biased toward places that are remote or unpromising for extractive activities, and hence follow the trend of terrestrial protected areas in being residual' to commercial uses. Such locations typically provide little protection to the species and ecosystems that are most exposed to threatening processes. There are strong political motivations to establish residual reserves that minimize costs and conflicts with users of natural resources. These motivations will likely remain in place as long as success continues to be measured in terms of area (km(2)) protected. The global pattern of MPAs was reviewed and appears to be residual, supported by a rapid growth of large, remote MPAs. The extent to which MPAs in Australia are residual nationally and also regionally within the Great Barrier Reef (GBR) Marine Park was also examined. Nationally, the recently announced Australian Commonwealth marine reserves were found to be strongly residual, making almost no difference to business as usual' for most ocean uses. Underlying this result was the imperative to minimize costs, but without the spatial constraints of explicit quantitative objectives for representing bioregions or the range of ecological features in highly protected zones. In contrast, the 2004 rezoning of the GBR was exemplary, and the potential for residual protection was limited by applying a systematic set of planning principles, such as representing a minimum percentage of finely subdivided bioregions. Nonetheless, even at this scale, protection was uneven between bioregions. Within-bioregion heterogeneity might have led to no-take zones being established in areas unsuitable for trawling with a risk that species assemblages differ between areas protected and areas left available for trawling. A simple four-step framework of questions for planners and policy makers is proposed to help reverse the emerging residual tendency of MPAs and maximize their effectiveness for conservation. This involves checks on the least-cost approach to establishing MPAs in order to avoid perverse outcomes. (c) 2014 The Authors. Aquatic Conservation: Marine and Freshwater Ecosystems published by John Wiley &amp; Sons, Ltd.</t>
  </si>
  <si>
    <t>[Devillers, Rodolphe; Pressey, Robert L.; Grech, Alana] James Cook Univ, Australian Res Council Ctr Excellence Coral Reef, Townsville, Qld 4811, Australia; [Devillers, Rodolphe] Mem Univ Newfoundland, Dept Geog, St John, NF A1B 3X9, Canada; [Kittinger, John N.] Stanford Univ, Woods Inst Environm, Ctr Ocean Solut, Monterey, CA USA; [Edgar, Graham J.; Watson, Reg] Univ Tasmania, Inst Marine &amp; Antarctic Studies, Hobart, Tas, Australia; [Ward, Trevor] Univ Technol Sydney, Ctr Environm Sustainabil, Ultimo, Australia</t>
  </si>
  <si>
    <t>James Cook University; Memorial University Newfoundland; Stanford University; University of Tasmania; University of Technology Sydney</t>
  </si>
  <si>
    <t>Devillers, R (corresponding author), Mem Univ Newfoundland, Dept Geog, St John, NF A1B 3X9, Canada.</t>
  </si>
  <si>
    <t>rdeville@mun.ca</t>
  </si>
  <si>
    <t>Edgar, Graham/AAY-3797-2020; Grech, Alana/U-7776-2019; Devillers, Rodolphe/R-3700-2019; Watson, Reg A/F-4850-2012; Devillers, Rodolphe/AAR-3509-2021</t>
  </si>
  <si>
    <t>Edgar, Graham/0000-0003-0833-9001; Grech, Alana/0000-0003-4117-3779; Devillers, Rodolphe/0000-0003-0784-847X; Watson, Reg A/0000-0001-7201-8865; Devillers, Rodolphe/0000-0003-0784-847X</t>
  </si>
  <si>
    <t>Pew Charitable Trusts; Pitney Bowes Australia; Canadian National Science and Engineering Research Council (NSERC); NSERC CHONe network; Australian Research Council</t>
  </si>
  <si>
    <t>Pew Charitable Trusts; Pitney Bowes Australia; Canadian National Science and Engineering Research Council (NSERC)(Natural Sciences and Engineering Research Council of Canada (NSERC)); NSERC CHONe network; Australian Research Council(Australian Research Council)</t>
  </si>
  <si>
    <t>We thank Evan Edinger and three anonymous reviewers for critical comments on the manuscript. We also thank Leanne Fernandes and Jon Day for providing information about the Great Barrier Reef and clarifying some points based on an early draft of the paper. Thanks are also due to a number of organizations and individuals for providing data used in this study, namely the Australian Fisheries Management Authority (AFMA), Michael Fuller and Roland Pitcher at the Commonwealth Scientific and Industrial Research Organisation (CSIRO), the Queensland Department of Employment, Economic Development and Innovation (DEEDI) and Department of Agriculture, Fisheries and Forestry (DAAF), the Great Barrier Reef Marine Park Authority (GBRMPA), the Sea Around Us project funded by Pew Charitable Trusts, and Pitney Bowes Australia. RD acknowledges the support of the Canadian National Science and Engineering Research Council (NSERC) and the NSERC CHONe network. RLP, AG and GJE acknowledge the support of the Australian Research Council.</t>
  </si>
  <si>
    <t>1052-7613</t>
  </si>
  <si>
    <t>1099-0755</t>
  </si>
  <si>
    <t>AQUAT CONSERV</t>
  </si>
  <si>
    <t>Aquat. Conserv.-Mar. Freshw. Ecosyst.</t>
  </si>
  <si>
    <t>10.1002/aqc.2445</t>
  </si>
  <si>
    <t>Environmental Sciences; Marine &amp; Freshwater Biology; Water Resources</t>
  </si>
  <si>
    <t>CQ2QC</t>
  </si>
  <si>
    <t>WOS:000360445100003</t>
  </si>
  <si>
    <t>Gupta, P; Sangwan, N; Lal, R; Vakhlu, J</t>
  </si>
  <si>
    <t>Gupta, Puja; Sangwan, Naseer; Lal, Rup; Vakhlu, Jyoti</t>
  </si>
  <si>
    <t>Bacterial diversity of Drass, cold desert in Western Himalaya, and its comparison with Antarctic and Arctic</t>
  </si>
  <si>
    <t>ARCHIVES OF MICROBIOLOGY</t>
  </si>
  <si>
    <t>Bacterial diversity; Cold desert; Pyrosequencing; Drass; Himalayas</t>
  </si>
  <si>
    <t>COMMUNITY COMPOSITION; MICROBIAL DIVERSITY; TUNDRA SOIL; DNA; SAMPLE; CULTIVATION; EXTRACTION; CONFIDENCE; GLACIER; CULTURE</t>
  </si>
  <si>
    <t>Drass is the coldest inhabited place in India and the second coldest, inhabited place in the world, after Siberia. Using the 16SrDNA amplicon pyrosequencing, bacterial diversity patterns were cataloged across the Drass cold desert. In order to identify the ecotype abundance across cold desert environment, bacterial diversity patterns of Drass were further compared with the bacterial diversity of two other cold deserts, i.e., Antarctic and Arctic. Acidobacteria, Proteobacteria, Actinobacteria, Bacteroidetes, Cyanobacteria and Gemmatimonadetes were among the highly abundant taxonomic groups present across all the three cold deserts and were designated as the core phyla. However, Firmicutes, Nitrospirae, Armatimonadetes (former candidate division OP10), Planctomycetes, TM7, Chloroflexi, Deinococcus-Thermus, Tenericutes and candidate phyla WS3 were identified as rare phyla in Drass, Antarctic and Arctic samples. Differential abundance patterns were also computed across all the three samples, i.e., Acidobacteria (32.1 %) were dominant in Drass and Firmicutes (52.9 +/- A 17.6 %) and Proteobacteria (42 +/- A 1.3 %) were dominant in Antarctic and Arctic reference samples, respectively. Alpha diversity values Shannon's (H) and Simpson's (1-D) diversity indices were highest for Antarctic samples, whereas richness estimators (ACE and Chao1) were maximum for Drass soil suggesting greater species richness in bacterial communities in Drass than the Antarctic and Arctic samples.</t>
  </si>
  <si>
    <t>[Gupta, Puja; Vakhlu, Jyoti] Univ Jammu, Sch Biotechnol, Jammu 180004, India; [Sangwan, Naseer; Lal, Rup] Univ Delhi, Dept Zool, Delhi 110007, India</t>
  </si>
  <si>
    <t>University of Jammu; University of Delhi</t>
  </si>
  <si>
    <t>Vakhlu, J (corresponding author), Univ Jammu, Sch Biotechnol, Jammu 180004, India.</t>
  </si>
  <si>
    <t>jyotimetagenomic@gmail.com</t>
  </si>
  <si>
    <t>Gupta, Puja/AAT-8970-2020; Lal, Rup/AFP-1009-2022</t>
  </si>
  <si>
    <t>Gupta, Puja/0000-0002-9766-1053; Sangwan, Naseer/0000-0002-2407-769X</t>
  </si>
  <si>
    <t>DBT Government of India [BT/PR11727/BCE/08/720/2008]</t>
  </si>
  <si>
    <t>DBT Government of India(Department of Biotechnology (DBT) India)</t>
  </si>
  <si>
    <t>Authors are thankful to DBT Government of India (BT/PR11727/BCE/08/720/2008) for funding of this project. PG is thankful to CSIR (9/100/0177) 2K13-EMR-I, Government of India for CSIR-SRF. Ms. Sneha Ganjoo, project fellow in the school, is acknowledged for her suggestions in the preparation of Manuscript. Resources used in the Bioinformatic Centre funded by DBT Government of India are also acknowledged.</t>
  </si>
  <si>
    <t>0302-8933</t>
  </si>
  <si>
    <t>1432-072X</t>
  </si>
  <si>
    <t>ARCH MICROBIOL</t>
  </si>
  <si>
    <t>Arch. Microbiol.</t>
  </si>
  <si>
    <t>10.1007/s00203-015-1121-4</t>
  </si>
  <si>
    <t>CN0EH</t>
  </si>
  <si>
    <t>WOS:000358086200014</t>
  </si>
  <si>
    <t>Soñora, M; Moreno, P; Echeverría, N; Fischer, S; Comas, V; Fajardo, A; Cristina, J</t>
  </si>
  <si>
    <t>Sonora, Martin; Moreno, Pilar; Echeverria, Natalia; Fischer, Sabrina; Comas, Victoria; Fajardo, Alvaro; Cristina, Juan</t>
  </si>
  <si>
    <t>An evolutionary insight into Newcastle disease viruses isolated in Antarctica</t>
  </si>
  <si>
    <t>ARCHIVES OF VIROLOGY</t>
  </si>
  <si>
    <t>FUSION PROTEIN; COMPLETE GENOME; CLEAVAGE SITE; CLINICOPATHOLOGICAL CHARACTERIZATION; PHYLOGENETIC CHARACTERIZATION; GENETIC DIVERSITY; RECENT OUTBREAKS; GENOTYPE VII; VIRULENCE; SEQUENCE</t>
  </si>
  <si>
    <t>The disease caused by Newcastle disease virus (NDV) is a severe threat to the poultry industry worldwide. Recently, NDV has been isolated in the Antarctic region. Detailed studies on the mode of evolution of NDV strains isolated worldwide are relevant for our understanding of the evolutionary history of NDV. For this reason, we have performed Bayesian coalescent analysis of NDV strains isolated in Antarctica to study evolutionary rates, population dynamics, and patterns of evolution. Analysis of F protein cleavage-site sequences of NDV isolates from Antarctica suggested that these strains are lentogenic. Strains isolated in Antarctica and genotype I reference strain Ulster/67 diverged from ancestors that existed around 1958. The time of the most recent common ancestor (MRCA) was established to be around 1883 for all class II viruses. A mean rate of evolution of 1.78 x 10(-3) substitutions per site per year (s/s/y) was obtained for the F gene sequences of NDV strains examined in this study. A Bayesian skyline plot indicated a decline in NDV population size in the last 25 years. The results are discussed in terms of the possible role of Antarctica in emerging or re-emerging viruses and the evolution of NDV populations worldwide.</t>
  </si>
  <si>
    <t>[Sonora, Martin; Moreno, Pilar; Echeverria, Natalia; Fischer, Sabrina; Comas, Victoria; Fajardo, Alvaro; Cristina, Juan] Univ Republica, Fac Ciencias, Ctr Invest Nucl, Lab Virol Mol, Montevideo 11400, Uruguay</t>
  </si>
  <si>
    <t>Universidad de la Republica, Uruguay</t>
  </si>
  <si>
    <t>Cristina, J (corresponding author), Univ Republica, Fac Ciencias, Ctr Invest Nucl, Lab Virol Mol, Igua 4225, Montevideo 11400, Uruguay.</t>
  </si>
  <si>
    <t>cristina@cin.edu.uy</t>
  </si>
  <si>
    <t>Moreno, Pilar/0000-0001-6155-7206; Echeverria, Natalia/0000-0002-4745-6051; Fajardo, Alvaro/0000-0003-3998-6703; Comas, Victoria/0000-0002-4178-6981</t>
  </si>
  <si>
    <t>Instituto Antartico Uruguayo; Base Cientifica Antartica Artigas, Uruguay; Agencia Nacional de Investigacion e Innovacion (ANII) [PE_ALI_2009_1_1603]; PEDECIBA, Uruguay</t>
  </si>
  <si>
    <t>Instituto Antartico Uruguayo; Base Cientifica Antartica Artigas, Uruguay; Agencia Nacional de Investigacion e Innovacion (ANII); PEDECIBA, Uruguay</t>
  </si>
  <si>
    <t>We thank Instituto Antartico Uruguayo and Base Cientifica Antartica Artigas, Uruguay, for encouragement and support. We also thank Agencia Nacional de Investigacion e Innovacion (ANII) for support through project PE_ALI_2009_1_1603 and PEDECIBA, Uruguay.</t>
  </si>
  <si>
    <t>0304-8608</t>
  </si>
  <si>
    <t>1432-8798</t>
  </si>
  <si>
    <t>ARCH VIROL</t>
  </si>
  <si>
    <t>Arch. Virol.</t>
  </si>
  <si>
    <t>10.1007/s00705-015-2434-y</t>
  </si>
  <si>
    <t>Virology</t>
  </si>
  <si>
    <t>CO8QA</t>
  </si>
  <si>
    <t>WOS:000359434000002</t>
  </si>
  <si>
    <t>Bisson, KM; Welch, KA; Welch, SA; Sheets, JM; Lyons, WB; Levy, JS; Fountain, AG</t>
  </si>
  <si>
    <t>Bisson, K. M.; Welch, K. A.; Welch, S. A.; Sheets, J. M.; Lyons, W. B.; Levy, J. S.; Fountain, A. G.</t>
  </si>
  <si>
    <t>Patterns and processes of salt efflorescences in the McMurdo region, Antarctica</t>
  </si>
  <si>
    <t>TAYLOR VALLEY; DRY VALLEYS; GEOCHEMISTRY; ORIGIN; CHEMISTRY; STREAMS; SOILS; AEROSOL; COASTAL; WATER</t>
  </si>
  <si>
    <t>Evaporite salts are abundant around the McMurdo region, Antarctica (similar to 78 degrees S) due to very low precipitation, low relative humidity, and limited overland flow. Hygroscopic salts in the McMurdo Dry Valleys (MDVs) are preferentially formed in locations where liquid water is present in the austral summer, including along ephemeral streams, ice-covered lake boundaries, or shallow groundwater tracks. In this study, we collected salts from the Miers, Garwood, and Taylor Valleys on the Antarctic continent, as well as around McMurdo Station on Ross Island in close proximity to water sources with the goal of understanding salt geochemistry in relationship to the hydrology of the area. Halite is ubiquitous; sodium is the major cation (ranging from 70%-90% of cations by meq kg(-1) sediment) and chloride is the major anion (&gt;50%) in nearly all samples. However, a wide variety of salt phases and morphologies are tentatively identified through scanning electron microscopy (SEM) and X-ray diffraction (XRD) work. We present new data that identifies trona (Na-3(CO3)(HCO3)center dot 2H(2)O), tentative gaylussite (Na2Ca(CO3)(2)center dot 5H(2)O), and tentative glauberite (Na2Ca(SO4)(2)) in the MDV, of which the later one has not been documented previously. Our work allows for the evaluation of processes that influence brine evolution on a local scale, consequently informing assumptions underlying large-scale processes (such as paleoclimate) in the MDV. Hydrological modeling conducted in FREZCHEM and PHREEQC suggests that a model based on aerosol deposition alone in low elevations on the valley floor inadequately characterizes salt distributions found on the surfaces of the soil because it does not account for other hydrologic inputs/outputs. Implications for the salt distributions include their use as tracers for paleolake levels, geochemical tracers of ephemeral water tracks or wet patches in the soil, indicators of chemical weathering products, and potential delineators of ecological communities.</t>
  </si>
  <si>
    <t>[Bisson, K. M.; Welch, K. A.; Welch, S. A.; Sheets, J. M.; Lyons, W. B.] Ohio State Univ, Sch Earth Sci, Columbus, OH 43210 USA; [Bisson, K. M.; Welch, K. A.; Lyons, W. B.] Ohio State Univ, Byrd Polar Res Ctr, Columbus, OH 43210 USA; [Levy, J. S.] Univ Texas Austin, Inst Geophys, Austin, TX 78758 USA; [Fountain, A. G.] Portland State Univ, Dept Geol, Portland, OR 97207 USA</t>
  </si>
  <si>
    <t>University System of Ohio; Ohio State University; University System of Ohio; Ohio State University; University of Texas System; University of Texas Austin; Portland State University</t>
  </si>
  <si>
    <t>Bisson, KM (corresponding author), Ohio State Univ, Sch Earth Sci, 125 South Oval Mall, Columbus, OH 43210 USA.</t>
  </si>
  <si>
    <t>kelsey.bisson@lifesci.ucsb.edu</t>
  </si>
  <si>
    <t>Welch, Kathleen/0000-0003-1028-3086; Levy, Joseph/0000-0002-6222-139X; Bisson, Kelsey/0000-0003-4230-3467; Welch, Susan/0000-0002-2890-0065</t>
  </si>
  <si>
    <t>NSF [ANT 1115245]; Office of Polar Programs (OPP); Directorate For Geosciences [1343649] Funding Source: National Science Foundation; Office of Polar Programs (OPP); Directorate For Geosciences [1115245] Funding Source: National Science Foundation</t>
  </si>
  <si>
    <t>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</si>
  <si>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Many thanks to the National Science Foundation and the U.S. Antarctic Program, as partial financial support for this research was provided by NSF ANT 1115245. We also thank PHI, Inc., and Lockheed Martin for their assistance in sample collection and transport. This work could not have been accomplished without the use of the Subsurface Energy Materials Characterization &amp; Analysis Laboratory (SEMCAL) at Ohio State University. We also graciously thank Devin Castendyk and Jonathan Toner, reviewers of the original manuscript, who greatly improved its content. Many thanks to members of the Lyons group as well as Michael Poole, Chris Jaros, and Jie Chen, who assisted in the collection of samples.</t>
  </si>
  <si>
    <t>10.1657/AAAR0014-024</t>
  </si>
  <si>
    <t>WOS:000359679000001</t>
  </si>
  <si>
    <t>Murray, T; Scharrer, K; Selmes, N; Booth, AD; James, TD; Bevan, SL; Bradley, J; Cook, S; Llana, LC; Drocourt, Y; Dyke, L; Goldsack, A; Hughes, AL; Luckman, AJ; McGovern, J</t>
  </si>
  <si>
    <t>Murray, T.; Scharrer, K.; Selmes, N.; Booth, A. D.; James, T. D.; Bevan, S. L.; Bradley, J.; Cook, S.; Llana, L. Cordero; Drocourt, Y.; Dyke, L.; Goldsack, A.; Hughes, A. L.; Luckman, A. J.; McGovern, J.</t>
  </si>
  <si>
    <t>Extensive retreat of Greenland tidewater glaciers, 2000-2010</t>
  </si>
  <si>
    <t>ICE-MASS-LOSS; EAST GREENLAND; VARIABILITY; ACCELERATION; CIRCULATION; TERMINUS; DYNAMICS; WATERS; FJORD; SHEET</t>
  </si>
  <si>
    <t>Overall mass loss from the Greenland ice sheet nearly doubled during the early 2000s resulting in an increased contribution to sea-level rise, with this step-change being mainly attributed to the widespread frontal retreat and accompanying dynamic thinning of tidewater glaciers. Changes in glacier calving-front positions are easily derived from remotely sensed imagery and provide a record of dynamic change. However, ice-sheet-wide studies of calving fronts have been either spatially or temporally limited. In this study multiple calving-front positions were derived for 199 Greenland marine-terminating outlet glaciers with width greater than 1 km using Landsat imagery for the 11-year period 2000-2010 in order to identify regional seasonal and inter-annual variations. During this period, outlet glaciers were characterized by sustained and substantial retreat summing to more than 267 km, with only 11 glaciers showing overall advance. In general, the pattern of mass loss detected by GRACE (Gravity Recovery and Climate Experiment) and other measurements is reflected in the calving record of Greenland glaciers. Our results suggest several regions in the south and east of the ice sheet likely share controls on their dynamic changes, but no simple single control is apparent.</t>
  </si>
  <si>
    <t>[Murray, T.; Scharrer, K.; Selmes, N.; Booth, A. D.; James, T. D.; Bevan, S. L.; Bradley, J.; Cook, S.; Llana, L. Cordero; Drocourt, Y.; Dyke, L.; Goldsack, A.; Hughes, A. L.; Luckman, A. J.; McGovern, J.] Swansea Univ, Swansea Glaciol Grp, Swansea SA2 8PP, W Glam, Wales</t>
  </si>
  <si>
    <t>Swansea University</t>
  </si>
  <si>
    <t>Murray, T (corresponding author), Swansea Univ, Swansea Glaciol Grp, Singleton Pk, Swansea SA2 8PP, W Glam, Wales.</t>
  </si>
  <si>
    <t>t.murray@swansea.ac.uk</t>
  </si>
  <si>
    <t>Luckman, Adrian/GVS-1716-2022; Hughes, Anna L. C./J-5628-2015; Cook, Sue/T-1028-2019; Cook, Sue/E-8390-2018; James, Timothy/C-9219-2013; Selmes, Nick/N-3634-2013</t>
  </si>
  <si>
    <t>Hughes, Anna L. C./0000-0001-8584-5202; Cook, Sue/0000-0001-9878-4218; Luckman, Adrian/0000-0002-9618-5905; James, Timothy/0000-0003-4082-7822; Murray, Tavi/0000-0001-6714-6512; Dyke, Laurence/0000-0003-4306-6125; Booth, Adam/0000-0002-8166-9608; Selmes, Nick/0000-0002-6557-1379</t>
  </si>
  <si>
    <t>Leverhulme Trust [F/00391/J]; Swansea University; Climate Change Consortium of Wales (C3W); European Space Agency (ESA); Natural Environment Research Council [NE/I007148/1]; Royal Society Leverhulme Trust; NERC [NE/I007148/1] Funding Source: UKRI; Natural Environment Research Council [985311, NE/I007148/1] Funding Source: researchfish</t>
  </si>
  <si>
    <t>Leverhulme Trust(Leverhulme Trust); Swansea University; Climate Change Consortium of Wales (C3W); European Space Agency (ESA)(European Space Agency); Natural Environment Research Council(UK Research &amp; Innovation (UKRI)Natural Environment Research Council (NERC)); Royal Society Leverhulme Trust(Royal SocietyLeverhulme Trust); NERC(UK Research &amp; Innovation (UKRI)Natural Environment Research Council (NERC)); Natural Environment Research Council(UK Research &amp; Innovation (UKRI)Natural Environment Research Council (NERC))</t>
  </si>
  <si>
    <t>The GLIMPSE project was funded through the Leverhulme Trust Research Leadership Scheme F/00391/J. Cook, Bradley, and Drocourt were funded by Swansea University scholarships. James, Selmes, and Booth were partially funded by the Climate Change Consortium of Wales (C3W), Scharrer was partly funded by the European Space Agency (ESA) Support to Science Element (STSE) project EXCITING. Selmes was also funded by Natural Environment Research Council grant NE/I007148/1 and the paper was completed during a Royal Society Leverhulme Trust Senior Research Fellowship held by Murray.</t>
  </si>
  <si>
    <t>10.1657/AAAR0014-049</t>
  </si>
  <si>
    <t>WOS:000359679000002</t>
  </si>
  <si>
    <t>Wang, Q; Yang, XD; Anderson, NJ; Ji, JF</t>
  </si>
  <si>
    <t>Wang, Qian; Yang, Xiangdong; Anderson, N. John; Ji, Junfeng</t>
  </si>
  <si>
    <t>Diatom seasonality and sedimentation in a subtropical alpine lake (Lugu Hu, Yunnan-Sichuan, Southwest China)</t>
  </si>
  <si>
    <t>PHYTOPLANKTON COMMUNITY; ASTERIONELLA-FORMOSA; VARIABILITY; ECOSYSTEM; WINDERMERE; RESPONSES; BASIN; BACILLARIOPHYCEAE; EUTROPHICATION; PALEOLIMNOLOGY</t>
  </si>
  <si>
    <t>The diatom succession and sedimentation during 2011 in a subtropical, deep alpine lake (Lugu Hu, Southwest China) were studied. The seasonal patterns in diatom assemblages were related to light, nutrient availability, and thermal regime. Peaks in the concentration of the planktonic diatoms (Asterionella formosa and Cyclotella ocellata) occurred in the metalimnion during autumn when light penetration was greater and silica concentrations were higher. The spring peak of Cyclostephanos dubius appeared to be a result of the combination of a well-mixed water column, higher nutrient concentration, and low light availability. Its sedimentation in late spring suggests that the sinking rates of C. dubius increased rapidly with the onset of stratification. However, the minimal catches of A. formosa and C. ocellata in sediment traps during autumn suggest they were still actively growing with very low sedimentation losses. The catch of benthic Fragilaria species in sediment traps during early spring and autumn reflected their resuspension from shallow water and transfer into pelagic zone as thermal stratification breaks down. The results provide important information for the interpretation of paleolimnological records from the lakes in Southwest China.</t>
  </si>
  <si>
    <t>[Wang, Qian; Ji, Junfeng] Nanjing Univ, Sch Earth Sci &amp; Engn, Key Lab Surficial Geochem, Minist Educ, Nanjing 210046, Jiangsu, Peoples R China; [Wang, Qian; Yang, Xiangdong] Chinese Acad Sci, Nanjing Inst Geog &amp; Limnol, State Key Lab Lake Sci &amp; Environm, Nanjing 210008, Jiangsu, Peoples R China; [Anderson, N. John] Univ Loughborough, Dept Geog, Loughborough LE11 3TU, Leics, England</t>
  </si>
  <si>
    <t>Nanjing University; Chinese Academy of Sciences; Nanjing Institute of Geography &amp; Limnology, CAS; Loughborough University</t>
  </si>
  <si>
    <t>Wang, Q (corresponding author), Nanjing Univ, Sch Earth Sci &amp; Engn, Key Lab Surficial Geochem, Minist Educ, 22 Hankou Rd, Nanjing 210046, Jiangsu, Peoples R China.</t>
  </si>
  <si>
    <t>wangqian015@126.com</t>
  </si>
  <si>
    <t>Research Funding Plan for Post-doctoral fellowships in Jiangsu Province [1301006C]; National Basic Research Program of China [2010CB950201]; Jiangsu Collaborative Innovation Center for Climate Change, China; Royal Society (London); Chinese Academy of Sciences</t>
  </si>
  <si>
    <t>Research Funding Plan for Post-doctoral fellowships in Jiangsu Province; National Basic Research Program of China(National Basic Research Program of China); Jiangsu Collaborative Innovation Center for Climate Change, China; Royal Society (London)(Royal Society); Chinese Academy of Sciences(Chinese Academy of Sciences)</t>
  </si>
  <si>
    <t>This work was supported by the Research Funding Plan for Post-doctoral fellowships in Jiangsu Province (1301006C), the National Basic Research Program of China (2010CB950201), and the Jiangsu Collaborative Innovation Center for Climate Change, China. Anderson acknowledges the support of the Royal Society (London) and the Chinese Academy of Sciences (visiting professorship scheme).</t>
  </si>
  <si>
    <t>10.1657/AAAR0014-039</t>
  </si>
  <si>
    <t>WOS:000359679000004</t>
  </si>
  <si>
    <t>Köster, K; Berninger, F; Köster, E; Pumpanen, J</t>
  </si>
  <si>
    <t>Koster, Kajar; Berninger, Frank; Koster, Egle; Pumpanen, Jukka</t>
  </si>
  <si>
    <t>Influences of reindeer grazing on above- and belowground biomass and soil carbon dynamics</t>
  </si>
  <si>
    <t>SEMI-DOMESTICATED REINDEER; MICROBIAL BIOMASS; SCOTS PINE; FOREST SOILS; BOREAL; VEGETATION; NITROGEN; TUNDRA; CONSEQUENCES; RESPIRATION</t>
  </si>
  <si>
    <t>Reindeer (Rangifer tarandus L.) are the most important large mammalian herbivores in Lapland, strongly affecting the dynamics of vegetation by grazing and trampling, and this is likely in turn to have consequences for the soil processes. We have investigated the changes occurring in above-and belowground biomasses, and soil C dynamics (CO2 efflux, soil C content, soil microbial biomass) among areas grazed and not grazed by reindeer. Our study areas are located in the northern boreal subarctic coniferous forest (undisturbed Scots pine [Pinus sylvestris L.] forests that are naturally lichen-dominated). Our study showed that grazing by reindeer decreased the biomass and cover of lichens in the area significantly. Also the tree regeneration was affected by grazing, as we had much less tree regeneration in the grazed areas. In subarctic mature pine forest, grazing did not affect the soil temperature or the soil moisture. We found no statistically significant effect of grazing on the soil CO2 efflux, soil C stock, and the soil microbial C biomass. Soil microbial N biomass was significantly lower in the grazed areas compared to the non-grazed areas. Our results indicate that in the northern boreal subarctic coniferous forests, grazing by reindeer can be considered as C neutral.</t>
  </si>
  <si>
    <t>[Koster, Kajar; Berninger, Frank; Koster, Egle; Pumpanen, Jukka] Univ Helsinki, Dept Forest Sci, FI-00014 Helsinki, Finland; [Koster, Kajar] Estonian Univ Life Sci, Inst Forestry &amp; Rural Engn, EE-51014 Tartu, Estonia</t>
  </si>
  <si>
    <t>University of Helsinki; Estonian University of Life Sciences</t>
  </si>
  <si>
    <t>Köster, K (corresponding author), Estonian Univ Life Sci, Inst Forestry &amp; Rural Engn, Kreutzwaldi 5, EE-51014 Tartu, Estonia.</t>
  </si>
  <si>
    <t>kajar.koster@emu.ee</t>
  </si>
  <si>
    <t>Pumpanen, Jukka/B-1254-2012; Köster, Kajar/C-8397-2012; Köster, Egle/AAH-8618-2021; Berninger, Frank/A-8891-2010</t>
  </si>
  <si>
    <t>Pumpanen, Jukka/0000-0003-4879-3663; Köster, Kajar/0000-0003-1988-5788; Berninger, Frank/0000-0001-7718-1661</t>
  </si>
  <si>
    <t>Academy of Finland Centre of Excellence [218094, 1255576]; Finnish Cultural Foundation; Lapland Regional Fund; Kone Foundation; European Social Fund; Estonian Science Foundation [MJD94]; Academy of Finland [138575]; Academy of Finland (AKA) [138575] Funding Source: Academy of Finland (AKA)</t>
  </si>
  <si>
    <t>Academy of Finland Centre of Excellence(Research Council of Finland); Finnish Cultural Foundation(Finnish Cultural FoundationFinnish IT center for science); Lapland Regional Fund; Kone Foundation; European Social Fund(European Social Fund (ESF)); Estonian Science Foundation; Academy of Finland(Research Council of Finland); Academy of Finland (AKA)(Research Council of Finland)</t>
  </si>
  <si>
    <t>K. Koster and J. Pumpanen acknowledge the Academy of Finland Centre of Excellence program (project number 218094, 1255576) for funding. K. Koster acknowledges the Finnish Cultural Foundation, Lapland Regional Fund, Kone Foundation, the European Social Fund and Estonian Science Foundation Mobilitas grant (MJD94), and Academy of Finland project number 138575 for financial support.</t>
  </si>
  <si>
    <t>10.1657/AAAR0014-062</t>
  </si>
  <si>
    <t>WOS:000359679000007</t>
  </si>
  <si>
    <t>Cooper, DJ; Kaczynski, K; Slayback, D; Yager, K</t>
  </si>
  <si>
    <t>Cooper, David J.; Kaczynski, Kristen; Slayback, Daniel; Yager, Karina</t>
  </si>
  <si>
    <t>Growth and organic carbon production in peatlands dominated by Distichia muscoides, Bolivia, South America</t>
  </si>
  <si>
    <t>CLIMATE-CHANGE; TROPICAL ANDES; PEAT; SPHAGNUM; ECOSYSTEMS; ALTIPLANO; PATTERNS</t>
  </si>
  <si>
    <t>Little is known about the growth or production of alpine cushion plant communities in the southern hemisphere, even though they dominate many high elevation peat-accumulating ecosystems in this region. We measured the growth and organic carbon production in four Distichia muscoides cushion plant-dominated peatlands in the tropical Andes of Bolivia, South America. Height growth was measured using the modified crank wire system. Cores were collected at the end of the 18-month study period to determine the biomass and organic carbon production rate. Bulk density averaged 0.081 g cm(-3). Total height increase ranged from 0.96 to 5.37 cm yr(-1), indicating very rapid growth. Most growth occurred during the austral summer wet season. Mean organic carbon production for the four sites ranged from 1.5 to 4.0 kg C m(-2) yr(-1) and is among the most rapid rates of potential peat accumulation known for high elevation or high latitude ecosystems on Earth.</t>
  </si>
  <si>
    <t>[Cooper, David J.; Kaczynski, Kristen] Colorado State Univ, Dept Forest &amp; Rangeland Stewardship, Ft Collins, CO 80523 USA; [Slayback, Daniel; Yager, Karina] NASA, Goddard Space Flight Ctr, Sci Syst &amp; Applicat Inc, Greenbelt, MD 20771 USA</t>
  </si>
  <si>
    <t>Colorado State University; National Aeronautics &amp; Space Administration (NASA); NASA Goddard Space Flight Center; Science Systems and Applications Inc</t>
  </si>
  <si>
    <t>Cooper, DJ (corresponding author), Colorado State Univ, Dept Forest &amp; Rangeland Stewardship, Campus Box 1461, Ft Collins, CO 80523 USA.</t>
  </si>
  <si>
    <t>David.Cooper@colostate.edu</t>
  </si>
  <si>
    <t>Yager, Karina/ISS-4961-2023; Slayback, Daniel/E-7465-2011</t>
  </si>
  <si>
    <t>Yager, Karina/0000-0003-4938-5012; Slayback, Daniel/0000-0002-4291-843X</t>
  </si>
  <si>
    <t>NASA; Department of Forest and Rangeland Stewardship at Colorado State University; Colorado State University</t>
  </si>
  <si>
    <t>NASA(National Aeronautics &amp; Space Administration (NASA)); Department of Forest and Rangeland Stewardship at Colorado State University; Colorado State University</t>
  </si>
  <si>
    <t>This research was funded in part by NASA's Land Cover/Land Use change program. Additional funds were provided by the Department of Forest and Rangeland Stewardship at Colorado State University. We acknowledge support from the Colorado State University Libraries Open Access Research and Scholarship Fund. We acknowledge field assistance from Humber Alberto, Julieta Acho, Oscar Plata, Dr. Jaime Argollo, Gabriel Zeballos Castellon, and Marcelo Cabero Caballero. We appreciate access to the pastures of Manasaya allowed by Don Aurelio.</t>
  </si>
  <si>
    <t>10.1657/AAAR0014-060</t>
  </si>
  <si>
    <t>WOS:000359679000008</t>
  </si>
  <si>
    <t>De Luca, V; Vullo, D; Del Prete, S; Carginale, V; Scozzafava, A; Osman, SM; AlOthman, Z; Supuran, CT; Capasso, C</t>
  </si>
  <si>
    <t>De Luca, Viviana; Vullo, Daniela; Del Prete, Sonia; Carginale, Vincenzo; Scozzafava, Andrea; Osman, Sameh M.; AlOthman, Zeid; Supuran, Claudiu T.; Capasso, Clemente</t>
  </si>
  <si>
    <t>Cloning, characterization and anion inhibition studies of a new γ-carbonic anhydrase from the Antarctic bacterium Pseudoalteromonas haloplanktis</t>
  </si>
  <si>
    <t>BIOORGANIC &amp; MEDICINAL CHEMISTRY</t>
  </si>
  <si>
    <t>Carbonic anhydrase; Metalloenzymes; Inhibitors; Anions; Psychrophiles; Hydratase activity; Antarctic carbonic anhydrase; Cold adaptation; Cold-enzymes</t>
  </si>
  <si>
    <t>RAY CRYSTAL-STRUCTURE; SULFONAMIDE INHIBITION; ISOZYME-II; PORPHYROMONAS-GINGIVALIS; PATHOGENIC BACTERIUM; PLASMODIUM-FALCIPARUM; HELICOBACTER-PYLORI; VIBRIO-CHOLERAE; DRUG TARGETS; CLASS ENZYME</t>
  </si>
  <si>
    <t>A new c-class carbonic anhydrase (CA, EC 4.2.1.1) was cloned, purified and characterized from the Antarctic bacterium Pseudoalteromonas haloplanktis, PhaCA gamma. The enzyme has a medium-low catalytic activity for the physiologic reaction of CO2 hydration to bicarbonate and protons, with a k(cat) of 1.4 x 10(5) s (1) and a k(cat)/K-m of 1.9 x 10(6) M (1) s (1). An anion inhibition study of PhaCA gamma with inorganic anions and small molecule inhibitors is also reported. Many anions present in sea water, such as chloride, fluoride, sulfate, iodide, but also others such as azide, perchlorate and tetrafluoroborate did not inhibit this enzyme. Pseudohalides such as cyanate, thiocyanate, cyanide, selenocyanide, and also bicarbonate, nitrate, nitrite and many complex inorganic anions showed inhibition in the millimolar range (K-I in the range of 1.7-9.3 mM). The best PhaCA gamma inhibitors detected in this study were diethyldithiocarbamate (K-I of 0.96 mM) as well as sulfamide, sulfamate, phenylboronic acid and phenylarsonic acid (K-I in the range of 82-91 mu M). Since gamma-CAs are poorly understood at this moment, being present in carboxysomes and thus involved in photosynthesis, this study may be relevant for a better understanding of these processes in Antarctic bacteria/cyanobacteria. (C) 2015 Elsevier Ltd. All rights reserved.</t>
  </si>
  <si>
    <t>[De Luca, Viviana; Del Prete, Sonia; Carginale, Vincenzo; Capasso, Clemente] CNR, Ist Biosci &amp; Biorisorse, I-80125 Naples, Italy; [Vullo, Daniela; Del Prete, Sonia; Scozzafava, Andrea; Supuran, Claudiu T.] Univ Florence, Lab Chim Bioinorgan, Dipartimento Chim, Polo Sci, I-50019 Florence, Italy; [Osman, Sameh M.; AlOthman, Zeid] King Saud Univ, Coll Sci, Dept Chem, Riyadh 11451, Saudi Arabia; [Supuran, Claudiu T.] Univ Florence, Dipartimento Neurofarba, Sez Sci Farmaceut, I-50019 Florence, Italy</t>
  </si>
  <si>
    <t>Consiglio Nazionale delle Ricerche (CNR); Istituto di Bioscienze e Biorisorse (IBBR-CNR); University of Florence; King Saud University; University of Florence</t>
  </si>
  <si>
    <t>Supuran, CT (corresponding author), Univ Florence, Lab Chim Bioinorgan, Dipartimento Chim, Polo Sci, Via Lastruccia 3, I-50019 Florence, Italy.</t>
  </si>
  <si>
    <t>claudiu.supuran@unifi.it; clemente.capasso@ibbr.cnr.it</t>
  </si>
  <si>
    <t>Osman, Sameh/O-1800-2013; ALOthman, Zeid A./E-7333-2014; De Luca, Viviana/Q-2911-2016; Carginale, Vincenzo/N-2531-2014; CAPASSO, CLEMENTE/P-3522-2016</t>
  </si>
  <si>
    <t>Osman, Sameh/0000-0003-1564-7301; ALOthman, Zeid A./0000-0001-9970-2480; Carginale, Vincenzo/0000-0002-1842-494X; CAPASSO, CLEMENTE/0000-0003-3314-2411; Supuran, Claudiu/0000-0003-4262-0323; VULLO, Daniela/0000-0002-1352-1900; DE LUCA, Viviana/0000-0003-3406-833X; Scozzafava, Andrea/0000-0001-5020-3322</t>
  </si>
  <si>
    <t>Italian National Antarctic Research Project PNRA [2013/AZ1.02]</t>
  </si>
  <si>
    <t>Italian National Antarctic Research Project PNRA</t>
  </si>
  <si>
    <t>This work was financed by the Italian National Antarctic Research Project PNRA 2013/AZ1.02.</t>
  </si>
  <si>
    <t>0968-0896</t>
  </si>
  <si>
    <t>1464-3391</t>
  </si>
  <si>
    <t>BIOORGAN MED CHEM</t>
  </si>
  <si>
    <t>Bioorg. Med. Chem.</t>
  </si>
  <si>
    <t>10.1016/j.bmc.2015.06.021</t>
  </si>
  <si>
    <t>Biochemistry &amp; Molecular Biology; Chemistry, Medicinal; Chemistry, Organic</t>
  </si>
  <si>
    <t>Biochemistry &amp; Molecular Biology; Pharmacology &amp; Pharmacy; Chemistry</t>
  </si>
  <si>
    <t>CN4ZV</t>
  </si>
  <si>
    <t>WOS:000358440000030</t>
  </si>
  <si>
    <t>Grant, ER; Ross, AN; Gardiner, BA; Mobbs, SD</t>
  </si>
  <si>
    <t>Grant, Eleanor R.; Ross, Andrew N.; Gardiner, Barry A.; Mobbs, Stephen D.</t>
  </si>
  <si>
    <t>Field Observations of Canopy Flows over Complex Terrain</t>
  </si>
  <si>
    <t>BOUNDARY-LAYER METEOROLOGY</t>
  </si>
  <si>
    <t>Atmospheric boundary layer; Complex terrain; Flow separation; Forest canopy; Hills</t>
  </si>
  <si>
    <t>LARGE-EDDY SIMULATION; NEUTRAL TURBULENT-FLOW; AIR-FLOW; HILL; TRANSPORT; LAYER</t>
  </si>
  <si>
    <t>The investigation of airflow over and within forests in complex terrain has been, until recently, limited to a handful of modelling and laboratory studies. Here, we present an observational dataset of airflow measurements inside and above a forest situated on a ridge on the Isle of Arran, Scotland. The spatial coverage of the observations all the way across the ridge makes this a unique dataset. Two case studies of across-ridge flow under near-neutral conditions are presented and compared with recent idealized two-dimensional modelling studies. Changes in the canopy profiles of both mean wind and turbulent quantities across the ridge are broadly consistent with these idealized studies. Flow separation over the lee slope is seen as a ubiquitous feature of the flow. The three-dimensional nature of the terrain and the heterogeneous forest canopy does however lead to significant variations in the flow separation across the ridge, particularly over the less steep western slope. Furthermore, strong directional shear with height in regions of flow separation has a significant impact on the Reynolds stress terms and other turbulent statistics. Also observed is a decrease in the variability of the wind speed over the summit and lee slope, which has not been seen in previous studies. This dataset should provide a valuable resource for validating models of canopy flow over real, complex terrain.</t>
  </si>
  <si>
    <t>[Grant, Eleanor R.; Ross, Andrew N.] Univ Leeds, Sch Earth &amp; Environm, Inst Climate &amp; Atmospher Sci, Leeds LS2 9JT, W Yorkshire, England; [Grant, Eleanor R.] British Antarctic Survey, High Cross, Cambridge CB3 0ET, England; [Gardiner, Barry A.] No Res Stn, Forest Res, Roslin EH25 9SY, Midlothian, Scotland; [Gardiner, Barry A.] INRA, UMR ISPA 1391, F-33140 Villenave Dornon, France; [Gardiner, Barry A.] Bordeaux Sci Agro, UMR ISPA 1391, F-33170 Gradignan, France; [Mobbs, Stephen D.] Univ Leeds, Natl Ctr Atmospher Sci, Leeds LS2 9JT, W Yorkshire, England; [Mobbs, Stephen D.] Univ Leeds, Sch Earth &amp; Environm, Leeds LS2 9JT, W Yorkshire, England</t>
  </si>
  <si>
    <t>University of Leeds; UK Research &amp; Innovation (UKRI); Natural Environment Research Council (NERC); NERC British Antarctic Survey; INRAE; University of Leeds; UK Research &amp; Innovation (UKRI); Natural Environment Research Council (NERC); NERC National Centre for Atmospheric Science; University of Leeds</t>
  </si>
  <si>
    <t>Ross, AN (corresponding author), Univ Leeds, Sch Earth &amp; Environm, Inst Climate &amp; Atmospher Sci, Leeds LS2 9JT, W Yorkshire, England.</t>
  </si>
  <si>
    <t>Ross, Andrew N/0000-0002-8631-3512; Gardiner, Barry/0000-0002-4106-9026</t>
  </si>
  <si>
    <t>Natural Environmental Research Council (NERC) [NE/C003691/1]; NERC; Forest Research; NERC [NE/C003691/1, NE/I022183/1, ncas10003] Funding Source: UKRI; Natural Environment Research Council [NE/C003691/1, ncas10003, NE/I022183/1] Funding Source: researchfish</t>
  </si>
  <si>
    <t>Natural Environmental Research Council (NERC)(UK Research &amp; Innovation (UKRI)Natural Environment Research Council (NERC)); NERC(UK Research &amp; Innovation (UKRI)Natural Environment Research Council (NERC)); Forest Research; NERC(UK Research &amp; Innovation (UKRI)Natural Environment Research Council (NERC)); Natural Environment Research Council(UK Research &amp; Innovation (UKRI)Natural Environment Research Council (NERC))</t>
  </si>
  <si>
    <t>This work was funded by the Natural Environmental Research Council (NERC) grant NE/C003691/1. ERG would like to acknowledge additional support through a NERC Collaborative Award in Science and Engineering (CASE) award with Forest Research. We would like to thank Ian Brooks and all those from the Universities of Leeds and Edinburgh, the Forestry Commission, Forest Research and from the Met Office Research Unit at Cardington who loaned us equipment and assisted in the field campaign.</t>
  </si>
  <si>
    <t>0006-8314</t>
  </si>
  <si>
    <t>1573-1472</t>
  </si>
  <si>
    <t>BOUND-LAY METEOROL</t>
  </si>
  <si>
    <t>Bound.-Layer Meteor.</t>
  </si>
  <si>
    <t>10.1007/s10546-015-0015-y</t>
  </si>
  <si>
    <t>CL9HE</t>
  </si>
  <si>
    <t>WOS:000357287200004</t>
  </si>
  <si>
    <t>Kjellsson, J</t>
  </si>
  <si>
    <t>Kjellsson, Joakim</t>
  </si>
  <si>
    <t>Weakening of the global atmospheric circulation with global warming</t>
  </si>
  <si>
    <t>Climate model; CMIP5; Stream function; Thermodynamic; Energy transport; Global warming</t>
  </si>
  <si>
    <t>HYDROLOGICAL CYCLE; WIDE-RANGE; TRANSPORT; PACIFIC; ENERGY; INTENSIFICATION; DRIVEN; MODEL; CMIP5</t>
  </si>
  <si>
    <t>This study finds that the global atmospheric circulation weakens, i.e. transports less mass, by about 5 % per degree of global warming as a result of anthropogenic emissions. This is found by calculating a global thermodynamic mass stream function and diagnosing long-term changes in a set of climate-model simulations in the Intergovernmental Panel on Climate Change 5th assessment report. The global atmospheric circulation also expands in thermodynamic coordinates due to increased dry static energy and latent heat in the tropical troposphere. The surface warming and moistening follows a Clausius-Clapeyron relation and tropical moist ascent remains nearly moist adiabatic. Furthermore, the meridional overturning circulation is found to only weaken slightly suggesting that the dominant change is in the zonally asymmetric circulation, i.e. the Walker circulation. The total poleward energy transport increases while the poleward mass transport decreases. The results are found to be robust across the climate models studied.</t>
  </si>
  <si>
    <t>[Kjellsson, Joakim] Bolin Ctr Climate Res, Dept Meteorol, S-10691 Stockholm, Sweden; [Kjellsson, Joakim] British Antarctic Survey, Cambridge CB3 0ET, England</t>
  </si>
  <si>
    <t>Kjellsson, J (corresponding author), Bolin Ctr Climate Res, Dept Meteorol, Svante Arrhenius Vag 16C, S-10691 Stockholm, Sweden.</t>
  </si>
  <si>
    <t>j.kjellsson@bas.ac.uk</t>
  </si>
  <si>
    <t>Kjellsson, Joakim/AAD-2684-2022</t>
  </si>
  <si>
    <t>Kjellsson, Joakim/0000-0002-6405-5276</t>
  </si>
  <si>
    <t>Bolin Centre for Climate Research; Climate Research School at Stockholm University; Natural Environment Research Council [bas0100028] Funding Source: researchfish; NERC [bas0100028] Funding Source: UKRI</t>
  </si>
  <si>
    <t>Bolin Centre for Climate Research; Climate Research School at Stockholm University; Natural Environment Research Council(UK Research &amp; Innovation (UKRI)Natural Environment Research Council (NERC)); NERC(UK Research &amp; Innovation (UKRI)Natural Environment Research Council (NERC))</t>
  </si>
  <si>
    <t>I acknowledge the Bolin Centre for Climate Research and the Climate Research School at Stockholm University for support in this project. I wish to thank Maxime Ballarotta, Kristofer Doos, Frederic Laliberte, Jan Zika, Colin Jones, Joseph LaCasce, Agatha de Boer and Thorsten Mauritsen for constructive comments, scientific discussions and ideas about the project. I also wish to acknowledge ESGF, GFDL, NCAR and ECMWF for providing CMIP5 data and ERA-Interim reanalysis, as well as Laurent Brodeau and SMHI for providing EC-Earth data. All computations have been carried out at the Vagn and Triolith supercomputers at the National Supercomputer Centre (NSC) in Linkoping, Sweden. Finally, I wish to acknowledge the two anonymous reviewers whose comments greatly improved the paper.</t>
  </si>
  <si>
    <t>10.1007/s00382-014-2337-8</t>
  </si>
  <si>
    <t>CL2WL</t>
  </si>
  <si>
    <t>WOS:000356807800028</t>
  </si>
  <si>
    <t>Anilkumar, N; Achuthankutty, CT</t>
  </si>
  <si>
    <t>Anilkumar, N.; Achuthankutty, C. T.</t>
  </si>
  <si>
    <t>Ecosystem survey in the Indian Ocean sector of the Southern Ocean - Results from Indian expeditions</t>
  </si>
  <si>
    <t>SUBTROPICAL FRONT; KRILL; PHYTOPLANKTON; DYNAMICS; BROKE; WATER</t>
  </si>
  <si>
    <t>[Anilkumar, N.; Achuthankutty, C. T.] Natl Ctr Antarctic &amp; Ocean Res, Vasco Da Gama, Goa, India</t>
  </si>
  <si>
    <t>Anilkumar, N (corresponding author), Natl Ctr Antarctic &amp; Ocean Res, Vasco Da Gama, Goa, India.</t>
  </si>
  <si>
    <t>anil@ncaor.gov.in</t>
  </si>
  <si>
    <t>10.1016/j.dsr2.2015.07.001</t>
  </si>
  <si>
    <t>WOS:000360255400001</t>
  </si>
  <si>
    <t>Menon, HB; Hulswar, S; Anilkumar, N; Thelakkat, AC; Moorthy, KK; Babu, S</t>
  </si>
  <si>
    <t>Menon, Harilal B.; Hulswar, Shrivardhan; Anilkumar, N.; Thelakkat, Achuthankutty Chittur; Moorthy, K. Krishna; Babu, Suresh</t>
  </si>
  <si>
    <t>Spatial heterogeneity in spectral variability of aerosol optical depth and its implications to aerosol radiative forcing in the Tropical Indian Ocean and in the Indian Ocean Sector of Southern Ocean</t>
  </si>
  <si>
    <t>Aerosol optical depth (AOD); Polynomial fit; Microtops II sunphotometer; Aerosols; ITCZ; Tropical Indian Ocean; Indian Ocean Sector of Southern Ocean</t>
  </si>
  <si>
    <t>ARABIAN SEA; WAVELENGTH DEPENDENCE; ABSORPTION; SULFATE; COASTAL; TRANSPORT</t>
  </si>
  <si>
    <t>The aerosol optical depths (AODs) in the wavelength range 380-875 nm and black carbon (BC) mass concentrations were estimated over the tropical Indian Ocean and in the Indian Ocean sector of Southern Ocean, between 14 degrees N and 53 degrees S, during December 2011-February 2012, onboard the Ocean Research Vessel (ORV) Sagar Nidhi. The data were analysed to understand the spectral variability, micro-physical characteristics of aerosols and the associated radiative forcing. Concurrent MODIS-derived chlorophyll a (Chl-a) and sea-surface temperature (SST) provided ancillary data used to understand the variability of biomass in association with fronts and the possible role of phytoplankton as a source of aerosols. AODs and their spectral dependencies were distinctly different north and south of the Inter-Tropical Convergence Zone (ITCZ). North of 11 degrees S (the northern limit of ITCZ), the spectral distribution of AOD followed Angstrom turbidity formule (Junge power law function), while it deviated from such a distribution south of 16 degrees S (southern boundary of ITCZ). At the southern limit of the ITCZ and beyond, the spectral variation of AOD showed a peak around 440 nm, the amplitude of which was highest at similar to 43 degrees S, the axis of the subtropical front (STF) with the highest Chl-a concentration (0.35 mu g l(-1)) in the region. To understand the role of Chl-a in increasing AOD at 440 nm, AOD at this wavelength was estimated using Optical properties of Aerosols and Clouds (OPAC) model. The anomalies between the measured and model-estimated (difference between the measured and estimated AOD values at 440 nm) AOD(440) were correlated with Chl-a concentrations. A very high and significant association with coefficient of determination (R-2=0.80) indicates the contribution of Chl-a as a source of aerosols in this part of the ocean. On the basis of the measured aerosol properties, the study area was divided into three zones; Zone 1 comprising of the area between 10 degrees N and 11 degrees S; Zone 2 from 16 degrees S to 53 degrees S; and Zone 3 from 52 degrees S to 24 degrees S during the return leg. BC mass concentration was in the range 520 ng m(-3) to 2535 ng m(-3) in Zone 1, while it was extremely low in the other zones (ranging from 49.3 to 264.4 ng m(-3) in Zone 2 and from 61.6 ng m(-3) to 303.3 ng m(-3) in Zone 3). The atmospheric direct-short wave radiative forcing (DRSF), estimated using a radiative transfer model (Santa Barbara DISORT Atmospheric Radiative Transfer - SBDART), was in the range 4.72-27.62 wm(-2) north of 16 degrees S, and 4.80-6.25 wm(-2) south of 16 degrees S. (C) 2015 Elsevier Ltd. All rights reserved.</t>
  </si>
  <si>
    <t>[Menon, Harilal B.; Hulswar, Shrivardhan] Goa Univ, Dept Marine Sci, Bambolim 403206, Goa, India; [Anilkumar, N.; Thelakkat, Achuthankutty Chittur] Minist Earth Sci, ESSO Natl Ctr Antarctic &amp; Ocean Res, Vasco Da Gama 40384, Goa, India; [Moorthy, K. Krishna] Indian Space Res Org, Bangalore 560231, Karnataka, India; [Babu, Suresh] Indian Space Res Org, Vikram Sarabhai Space Ctr, Space Phys Lab, Thiruvananthapuram 695022, Kerala, India</t>
  </si>
  <si>
    <t>Goa University; Ministry of Earth Sciences (MoES) - India; National Centre for Polar and Ocean Research (NCPOR); Department of Space (DoS), Government of India; Indian Space Research Organisation (ISRO); Department of Space (DoS), Government of India; Indian Space Research Organisation (ISRO); Vikram Sarabhai Space Center (VSSC)</t>
  </si>
  <si>
    <t>Menon, HB (corresponding author), Goa Univ, Dept Marine Sci, PO Goa, Bambolim 403206, Goa, India.</t>
  </si>
  <si>
    <t>harilalm@gmail.com</t>
  </si>
  <si>
    <t>MOORTHY, KRISHNA/AAG-6807-2019; Hulswar, Shrivardhan/GMW-4749-2022</t>
  </si>
  <si>
    <t>Hulswar, Shrivardhan/0000-0002-1346-9823</t>
  </si>
  <si>
    <t>10.1016/j.dsr2.2015.03.012</t>
  </si>
  <si>
    <t>WOS:000360255400002</t>
  </si>
  <si>
    <t>Mendes, CRB; Kerr, R; Tavano, VM; Cavalheiro, FA; Garcia, CAE; Dessai, DRG; Anilkumar, N</t>
  </si>
  <si>
    <t>Borges Mendes, Carlos Rafael; Kerr, Rodrigo; Tavano, Virginia Maria; Cavalheiro, Felipe Antunes; Eiras Garcia, Carlos Alberto; Dessai, Deepti R. Gauns; Anilkumar, N.</t>
  </si>
  <si>
    <t>Cross-front phytoplankton pigments and chemotaxonomic groups in the Indian sector of the Southern Ocean</t>
  </si>
  <si>
    <t>Southern ocean; Indian ocean; Phytoplankton; Pigments; HPLC; CHEMTAX</t>
  </si>
  <si>
    <t>ANTARCTIC CIRCUMPOLAR CURRENT; FUNCTIONAL COMMUNITY STRUCTURE; SURFACE PHYTOPLANKTON; ATLANTIC-OCEAN; PHOTOSYNTHETIC PIGMENTS; MARINE-PHYTOPLANKTON; PHAEOCYSTIS BLOOMS; CHEMTAX ANALYSIS; AUSTRAL SUMMER; GLOBAL OCEAN</t>
  </si>
  <si>
    <t>This work describes the phytoplankton pigments and main taxonomic groups across major oceanographic fronts in the Indian Sector of the Southern Ocean. Seawater samples were collected in late summer of 2011, during an Indian Southern Ocean Expedition. Twenty five stations were occupied by RV Sagar Nidhi along two longitudinal transects (between 37 degrees S and 60 degrees S). High Performance Liquid Chromatography (HPLC) analysis was performed to identify and quantify phytoplankton pigments concentration and the CHEMTAX software was applied to determine the relative contribution of the main taxonomic groups to total chlorophyll a (phytoplankton biomass index). Our results showed that the spatial distribution of phytoplankton groups, identified by pigment data, was highly correlated with ocean surface thermal gradients. Subtropical, Subantarctic and Antarctic surface waters were, respectively, mainly associated with (i) prochlorophytes (zeaxanthin and divinyl-chlorophyll a as the major pigments), (ii) haptophytes (19'-butanoyloxyfucoxanthin and 19'-hexanoyloxyfucoxanthin as the major pigments), and (iii) diatoms (fucoxanthin as the major pigment). This study contributes to better understanding the distribution of phytoplankton and its association with physical gradients in an undersampled complex region of the Southern Ocean. (C) 2015 Elsevier Ltd. All rights reserved.</t>
  </si>
  <si>
    <t>[Borges Mendes, Carlos Rafael; Kerr, Rodrigo; Tavano, Virginia Maria; Cavalheiro, Felipe Antunes; Eiras Garcia, Carlos Alberto] Univ Fed Rio Grande FURG, Inst Oceanog, BR-96203900 Rio Grande, RS, Brazil; [Dessai, Deepti R. Gauns; Anilkumar, N.] Natl Ctr Antarctic &amp; Ocean Res, Vasco Da Gama 403804, Goa, India</t>
  </si>
  <si>
    <t>Universidade Federal do Rio Grande; Ministry of Earth Sciences (MoES) - India; National Centre for Polar and Ocean Research (NCPOR)</t>
  </si>
  <si>
    <t>Mendes, CRB (corresponding author), Univ Fed Rio Grande FURG, Inst Oceanog, Av Italia,Km 8, BR-96203900 Rio Grande, RS, Brazil.</t>
  </si>
  <si>
    <t>crbmendes@gmail.com</t>
  </si>
  <si>
    <t>Mendes, Carlos/I-1520-2012; Mendes, Carlos/GVU-7596-2022; Garcia, Carlos A. E./K-7382-2012; Kerr, Rodrigo/I-2494-2012; Mendes, Carlos/AAD-6504-2021; Tavano, Virginia/C-5241-2013</t>
  </si>
  <si>
    <t>Mendes, Carlos/0000-0001-6875-8860; Mendes, Carlos/0000-0001-6875-8860; Kerr, Rodrigo/0000-0002-2632-3137; Tavano, Virginia/0000-0003-0039-8111</t>
  </si>
  <si>
    <t>CNPq/PROANTAR [52.0189/06-0]; CNPq; FAPERGS; CAPES Foundation</t>
  </si>
  <si>
    <t>CNPq/PROANTAR(Conselho Nacional de Desenvolvimento Cientifico e Tecnologico (CNPQ)); CNPq(Conselho Nacional de Desenvolvimento Cientifico e Tecnologico (CNPQ)); FAPERGS(Fundacao de Amparo a Ciencia e Tecnologia do Estado do Rio Grande do Sul (FAPERGS)); CAPES Foundation(Coordenacao de Aperfeicoamento de Pessoal de Nivel Superior (CAPES))</t>
  </si>
  <si>
    <t>The ACC-PHYTO project contributed to the activities of the Brazilian High Latitudes Oceanography Group (GOAL) and strength the scientific cooperation between Brazil and India. We thank the Brazilian Antarctic Program (PROANTAR), the Brazilian Ministry of Science, Technology and Innovation (MCTI), the SOS-CLIMATE Project (CNPq/PROANTAR Grant number 52.0189/06-0), and the Indian National Centre of Antarctic and Ocean Research (NCAOR) for their efforts that allowed GOAL participation in the ISOE-5. We are grateful to Simon Wright, from the Australian Antarctic Division, for providing CHEMTAX v.1.95, and to Camila Mann and Amalia Detoni for collecting all seawater samples for pigments analyses. Special thanks are due to the crew of the Indian Navy Sagar Nidhi and several investigators that participated in the cruise for their valuable help during the ISOE-5. C.R.B. Mendes and R. Kerr acknowledge grants received from CNPq, FAPERGS, and CAPES Foundation.</t>
  </si>
  <si>
    <t>10.1016/j.dsr2.2015.01.003</t>
  </si>
  <si>
    <t>WOS:000360255400010</t>
  </si>
  <si>
    <t>Manoj, MC; Thamban, M</t>
  </si>
  <si>
    <t>Manoj, M. C.; Thamban, Meloth</t>
  </si>
  <si>
    <t>Shifting frontal regimes and its influence on bioproductivity variations during the Late Quaternary in the Indian sector of Southern Ocean</t>
  </si>
  <si>
    <t>Opal: carbonate: productivity; Palaeoceanography; Antarctic front; Late Quaternary; Southern Ocean</t>
  </si>
  <si>
    <t>DEEP-SEA SEDIMENTS; ICE-RAFTED DEBRIS; EPICA DOME-C; ANTARCTIC CIRCUMPOLAR CURRENT; GLACIAL-INTERGLACIAL CHANGES; BIOGENIC SILICA; PLANKTONIC-FORAMINIFERA; TERRIGENOUS SEDIMENT; ORGANIC-MATTER; PACIFIC-OCEAN</t>
  </si>
  <si>
    <t>Reconstruction of palaeoproductivity from Southern Ocean is crucial for understanding the functioning of the Southern Ocean biological pump in the past. High resolution records of multi-proxy parameters (calcium carbonate, opal, total organic carbon biogenic barium and planktonic carbon isotope ratios (delta C-13)) were investigated in two well-dated sediment cores (SK200/22a and SK200/27) from the Indian sector of Southern Ocean situated to the north and south of Antarctic Polar front (APF), respectively. The palaeoproductivity records extending similar to 95 ka BP (SK200/22a) and 75 ka BP (SK200/27) revealed inverse relationships between the calcite and opal productivity, indicating the influence of shifting nutrient regimes. At core SK200/22a, reduced calcite productivity during marine isotope stage (MIS) 2,4, and part of MIS 3 suggest an equatorward migration of the frontal regimes during glacial intervals. Compared to this, the region south of the APF (core SK200/27) was characterized by the near absence of calcite content during the last glacial period and increased opal productivity during MIS 1 and MIS 3, supporting a southward migration of APF during warmer intervals. Ba-(bio) records exhibit good correlation with opal records in both the cores and also correlate with that of calcite record at SK200/22a, indicating that Ba is influenced by the combined opal and calcite productivity. The enhanced opal productivity during the glacial periods north of the APF is attributed to the northward shifting of oceanic fronts and associated transfer of nutrients. Diatom productivity records of SK200/22a reveal significant similarities with the dust records from the Antarctic and Southern Ocean, but showed no significant relationships with the diatom record of SK200/27. It is proposed that the dust-derived Fe input had apparently influenced the palaeoproductivity north of the modern APF, but had a minor influence on opal productivity south of the APF. Comparison with the ice core climate records from Antarctica and Greenland revealed that bioproductivity peaks in the study region are nearly synchronous with the millennial Antarctic warming events. Remarkably, the calcite and opal productivity records at SK200/22a responded differently to the Antarctic warming events, with opal productivity lagging behind the calcite productivity peaks by similar to 1-2 ka. (C) 2015 Elsevier Ltd. All rights reserved.</t>
  </si>
  <si>
    <t>[Manoj, M. C.] Birbal Sahni Inst Paleobot, Lucknow 226007, Uttar Pradesh, India; [Manoj, M. C.; Thamban, Meloth] Natl Ctr Antarctic &amp; Ocean Res, Vasco Da Gama 403804, Goa, India</t>
  </si>
  <si>
    <t>Department of Science &amp; Technology (India); Birbal Sahni Institute of Palaeobotany (BSIP); Ministry of Earth Sciences (MoES) - India; National Centre for Polar and Ocean Research (NCPOR)</t>
  </si>
  <si>
    <t>Manoj, MC (corresponding author), Birbal Sahni Inst Paleobot, 53 Univ Rd, Lucknow 226007, Uttar Pradesh, India.</t>
  </si>
  <si>
    <t>manoj.mcm@gmail.com</t>
  </si>
  <si>
    <t>10.1016/j.dsr2.2015.03.011</t>
  </si>
  <si>
    <t>WOS:000360255400014</t>
  </si>
  <si>
    <t>Coleman, MA; Bates, AE; Stuart-Smith, RD; Malcolm, HA; Harasti, D; Jordan, A; Knott, NA; Edgar, GJ; Kelaher, BP</t>
  </si>
  <si>
    <t>Coleman, M. A.; Bates, A. E.; Stuart-Smith, R. D.; Malcolm, H. A.; Harasti, D.; Jordan, A.; Knott, N. A.; Edgar, G. J.; Kelaher, B. P.</t>
  </si>
  <si>
    <t>Functional traits reveal early responses in marine reserves following protection from fishing</t>
  </si>
  <si>
    <t>DIVERSITY AND DISTRIBUTIONS</t>
  </si>
  <si>
    <t>Conservation; effectiveness; fish; marine reserve; protected areas</t>
  </si>
  <si>
    <t>FISHES; AREAS</t>
  </si>
  <si>
    <t>AimEvaluating the effectiveness of marine reserves in achieving conservation goals is challenged by the decadal scales over which biological systems respond following protection. Given that trophic interactions underpin community responses following protection and that complex ecological interactions make responses difficult to identify, quantifying changes in species traits may provide detail missed by traditional diversity measures, including information relevant to ecosystem functioning. We determine whether this is the case by comparing community metrics based on functional traits to taxonomic diversity measures associated with no take' marine reserves and partially protected, fished areas along eight degrees of latitude. LocationEighteen no take' marine reserves and 14 partially protected, fished areas along the east coast of Australia. MethodWe use two independent datasets from shallow and deep coastal rocky reefs to analyse trait-based metrics and taxonomic diversity from sites inside reserves to sites in partially protected, fished areas. ResultsTaxonomic diversity (species diversity and richness) and trait-based multimetrics (functional richness and dispersion) showed no difference with level of protection. Total fish abundance responded positively to protection, but only on shallow reefs. Comparing values of individual functional traits implied a return of larger bodied species of fish in protected areas and an increase in trophic level. The latter was significant on deeper reefs and was strongly correlated with age of protected area. Thus, recovery responses were largely associated with community mean functional trait values, highlighting the value of trait-based approaches for detecting change, when no differences in traditional taxonomic diversity measures were apparent. Main conclusionsWe empirically demonstrate that functional traits can elucidate early conservation outcomes, when traditional multimetric diversity indices do not distinguish protected and fished communities. Ecologically relevant but sensitive metrics are fundamental to allow information to be incorporated into adaptive management strategies, which often occur on political rather than biological time-scales.</t>
  </si>
  <si>
    <t>[Coleman, M. A.] New South Wales Fisheries, Dept Primary Ind, Marine Ecosyst Res, Coffs Harbour, NSW 2450, Australia; [Coleman, M. A.; Kelaher, B. P.] So Cross Univ, Natl Marine Sci Ctr, Coffs Harbour, NSW 2450, Australia; [Bates, A. E.] Univ Southampton, Natl Oceanog Ctr Southampton, Ocean &amp; Earth Sci, Southampton SO14 3ZH, Hants, England; [Stuart-Smith, R. D.; Edgar, G. J.] Univ Tasmania, Inst Marine &amp; Antarctic Studies, Hobart, Tas 7001, Australia; [Malcolm, H. A.] Marine Ecosyst Res, Dept Primary Ind, Coffs Harbour, NSW 2450, Australia; [Harasti, D.; Jordan, A.] Marine Ecosyst Res, Dept Primary Ind, Nelson Bay, NSW 2315, Australia; [Knott, N. A.] Marine Ecosyst Res, Dept Primary Ind, Huskisson, NSW 2540, Australia</t>
  </si>
  <si>
    <t>NSW Department of Primary Industries; Southern Cross University; University of Southampton; NERC National Oceanography Centre; University of Tasmania; NSW Department of Primary Industries</t>
  </si>
  <si>
    <t>Coleman, MA (corresponding author), POB 4321, Coffs Harbour, NSW 2450, Australia.</t>
  </si>
  <si>
    <t>melinda.coleman@gmail.com</t>
  </si>
  <si>
    <t>Bates, Amanda E./ABD-6874-2021; Edgar, Graham/AAY-3797-2020; Stuart-Smith, Rick/I-5214-2019; Knott, Nathan/AAA-8888-2019; Harasti, David/I-1266-2019; Stuart-Smith, Rick D/M-1829-2013; Coleman, Melinda A/R-5563-2016; Kelaher, Brendan/P-3647-2017</t>
  </si>
  <si>
    <t>Bates, Amanda E./0000-0002-0198-4537; Edgar, Graham/0000-0003-0833-9001; Stuart-Smith, Rick/0000-0002-8874-0083; Knott, Nathan/0000-0002-7873-0412; Harasti, David/0000-0002-2851-9838; Stuart-Smith, Rick D/0000-0002-8874-0083; Coleman, Melinda A/0000-0003-2623-633X; Kelaher, Brendan/0000-0002-7505-4412</t>
  </si>
  <si>
    <t>ARC Linkage Grant; Marine Biodiversity Hub</t>
  </si>
  <si>
    <t>ARC Linkage Grant(Australian Research Council); Marine Biodiversity Hub</t>
  </si>
  <si>
    <t>We thank RLS volunteers and staff of all marine parks. Support to GJE and RSS from an ARC Linkage Grant, and to RSS through the Marine Biodiversity Hub. We appreciate comments of four referees.</t>
  </si>
  <si>
    <t>1366-9516</t>
  </si>
  <si>
    <t>1472-4642</t>
  </si>
  <si>
    <t>DIVERS DISTRIB</t>
  </si>
  <si>
    <t>Divers. Distrib.</t>
  </si>
  <si>
    <t>10.1111/ddi.12309</t>
  </si>
  <si>
    <t>CN4AP</t>
  </si>
  <si>
    <t>WOS:000358370900003</t>
  </si>
  <si>
    <t>Schuch, AP; dos Santos, MB; Lipinski, VM; Peres, LV; dos Santos, CP; Cechin, SZ; Schuch, NJ; Pinheiro, DK; Loreto, ELDS</t>
  </si>
  <si>
    <t>Schuch, Andre Passaglia; dos Santos, Mauricio Beux; Lipinski, Victor Mendes; Peres, Lucas Vaz; dos Santos, Caroline Peripolli; Cechin, Sonia Zanini; Schuch, Nelson Jorge; Pinheiro, Damaris Kirsh; da Silva Loreto, Elgion Lucio</t>
  </si>
  <si>
    <t>Identification of influential events concerning the Antarctic ozone hole over southern Brazil and the biological effects induced by UVB and UVA radiation in an endemic treefrog species</t>
  </si>
  <si>
    <t>ECOTOXICOLOGY AND ENVIRONMENTAL SAFETY</t>
  </si>
  <si>
    <t>Ozone depletion; UV radiation; DNA damage; Mutagenesis; DNA repair; Amphibian decline</t>
  </si>
  <si>
    <t>ULTRAVIOLET-B RADIATION; INDUCED DNA-DAMAGE; AMPHIBIAN DECLINES; LIPID-PEROXIDATION; RANA-CASCADAE; SOLAR; TADPOLES; INDUCTION; MORTALITY; TOXICITY</t>
  </si>
  <si>
    <t>The increased incidence of solar ultraviolet radiation (UV) due to ozone depletion has been affecting both terrestrial and aquatic ecosystems and it may help to explain the enigmatic decline of amphibian populations in specific localities. In this work, influential events concerning the Antarctic ozone hole were identified in a dataset containing 35 years of ozone measurements over southern Brazil. The effects of environmental doses of UVB and UVA radiation were addressed on the morphology and development of Hypsiboas pulchellus tadpole (Anura: Hylidae), as well as on the induction of malformation after the conclusion of metamorphosis. These analyzes were complemented by the detection of micronucleus formation in blood cells. 72 ozone depletion events were identified from 1979 to 2013. Surprisingly, their yearly frequency increased three-fold during the last 17 years. The results clearly show that H. pulchellus tadpole are much more sensitive to UVB than UVA light, which reduces their survival and developmental rates. Additionally, the rates of micronucleus formation by UVB were considerably higher compared to UVA even after the activation of photolyases enzymes by a further photoreactivation treatment. Consequently, a higher occurrence of malformation was observed in UVB-irradiated individuals. These results demonstrate the severe genotoxic impact of UVB radiation on this treefrog species and its importance for further studies aimed to assess the impact of the increased levels of solar UVB radiation on declining species of the Hylidae family. (C) 2015 Elsevier Inc. All rights reserved.</t>
  </si>
  <si>
    <t>[Schuch, Andre Passaglia; dos Santos, Mauricio Beux; Lipinski, Victor Mendes; Peres, Lucas Vaz; dos Santos, Caroline Peripolli; Cechin, Sonia Zanini; Pinheiro, Damaris Kirsh; da Silva Loreto, Elgion Lucio] Univ Fed Santa Maria, BR-97119900 Santa Maria, RS, Brazil; [Schuch, Andre Passaglia; Peres, Lucas Vaz; Schuch, Nelson Jorge; Pinheiro, Damaris Kirsh] CRS INPE MCTI, Southern Reg Space Res Ctr, Santa Maria, RS, Brazil</t>
  </si>
  <si>
    <t>Universidade Federal de Santa Maria (UFSM)</t>
  </si>
  <si>
    <t>Loreto, ELDS (corresponding author), Av Roraima 1000,Bldg 16-A,Room 3211, BR-97105900 Santa Maria, RS, Brazil.</t>
  </si>
  <si>
    <t>elgion@base.ufsm.br</t>
  </si>
  <si>
    <t>Pinheiro, Damaris Kirsch/AAE-6120-2020; Santos, Mauricio B/F-9199-2018; Schuch, Nelson Jorge/K-9730-2015; Schuch, André/AAY-8946-2020; Loreto, Elgion/AAU-6505-2020; Cechin, Sonia T. Z./D-6259-2013</t>
  </si>
  <si>
    <t>Pinheiro, Damaris Kirsch/0000-0001-6939-7091; Loreto, Elgion/0000-0002-7586-8168; Beux Santos, Mauricio/0000-0002-0555-2037; Lipinski, Victor/0000-0001-6454-7695; Santos, Caroline/0000-0002-7632-3610</t>
  </si>
  <si>
    <t>FAPERGS (Porto Alegre, Brazil); CAPES (Brasilia, Brazil) [proc. 2793-25.51/12-4]; CNPq (Brasilia, Brazil) [proc. 441407/2014-5]</t>
  </si>
  <si>
    <t>FAPERGS (Porto Alegre, Brazil); CAPES (Brasilia, Brazil)(Coordenacao de Aperfeicoamento de Pessoal de Nivel Superior (CAPES)); CNPq (Brasilia, Brazil)(Conselho Nacional de Desenvolvimento Cientifico e Tecnologico (CNPQ))</t>
  </si>
  <si>
    <t>We thank the Ethics Committee on Animal Use of Federal University of Santa Maria (022/2013) and the Authorization and Information System on Biodiversity of the Brazilian Ministry of Environment (37928-2) for access field sites and conduct the experiments. This work was supported by FAPERGS (Porto Alegre, Brazil), CAPES (Brasilia, Brazil) (proc. 2793-25.51/12-4), and CNPq (Brasilia, Brazil)(proc. 441407/2014-5). The authors have declared that no competing interests exist.</t>
  </si>
  <si>
    <t>0147-6513</t>
  </si>
  <si>
    <t>1090-2414</t>
  </si>
  <si>
    <t>ECOTOX ENVIRON SAFE</t>
  </si>
  <si>
    <t>Ecotox. Environ. Safe.</t>
  </si>
  <si>
    <t>10.1016/j.ecoenv.2015.04.029</t>
  </si>
  <si>
    <t>CJ2ZQ</t>
  </si>
  <si>
    <t>WOS:000355353600024</t>
  </si>
  <si>
    <t>Ryan, PG</t>
  </si>
  <si>
    <t>Ryan, Peter G.</t>
  </si>
  <si>
    <t>Does size and buoyancy affect the long-distance transport of floating debris?</t>
  </si>
  <si>
    <t>biofouling; floatation; plastic litter; South Africa; South Atlantic; Southern Ocean</t>
  </si>
  <si>
    <t>MARINE DEBRIS; PLASTIC DEBRIS; OCEAN; ENVIRONMENT; LITTER; ACCUMULATION; MICROPLASTICS; CHEMICALS; GYRE</t>
  </si>
  <si>
    <t>Floating persistent debris, primarily made from plastic, disperses long distances from source areas and accumulates in oceanic gyres. However, biofouling can increase the density of debris items to the point where they sink. Buoyancy is related to item volume, whereas fouling is related to surface area, so small items (which have high surface area to volume ratios) should start to sink sooner than large items. Empirical observations off South Africa support this prediction: moving offshore from coastal source areas there is an increase in the size of floating debris, an increase in the proportion of highly buoyant items (e.g. sealed bottles, floats and foamed plastics), and a decrease in the proportion of thin items such as plastic bags and flexible packaging which have high surface area to volume ratios. Size-specific sedimentation rates may be one reason for the apparent paucity of small plastic items floating in the world's oceans.</t>
  </si>
  <si>
    <t>[Ryan, Peter G.] Univ Cape Town, Percy FitzPatrick Inst, DST NRF Ctr Excellence, ZA-7701 Rondebosch, South Africa</t>
  </si>
  <si>
    <t>University of Cape Town; National Research Foundation - South Africa</t>
  </si>
  <si>
    <t>Ryan, PG (corresponding author), Univ Cape Town, Percy FitzPatrick Inst, DST NRF Ctr Excellence, ZA-7701 Rondebosch, South Africa.</t>
  </si>
  <si>
    <t>pryan31@gmail.com</t>
  </si>
  <si>
    <t>National Research Foundation; University of Cape Town</t>
  </si>
  <si>
    <t>I thank Bruce Dyer for assisting with litter surveys, and Francesca Fazey and Coleen Moloney for advice and discussions, and two anonymous reviewers for their helpful comments. This project was part of the South African National Antarctic Programme, with financial support from the National Research Foundation and the University of Cape Town.</t>
  </si>
  <si>
    <t>10.1088/1748-9326/10/8/084019</t>
  </si>
  <si>
    <t>WOS:000366999400020</t>
  </si>
  <si>
    <t>Giordano, D; Pesce, A; Boechi, L; Bustamante, JP; Caldelli, E; Howes, BD; Riccio, A; di Prisco, G; Nardini, M; Estrin, D; Smulevich, G; Bolognesi, M; Verde, C</t>
  </si>
  <si>
    <t>Giordano, Daniela; Pesce, Alessandra; Boechi, Leonardo; Pablo Bustamante, Juan; Caldelli, Elena; Howes, Barry D.; Riccio, Alessia; di Prisco, Guido; Nardini, Marco; Estrin, Dario; Smulevich, Giulietta; Bolognesi, Martino; Verde, Cinzia</t>
  </si>
  <si>
    <t>Structural flexibility of the heme cavity in the cold-adapted truncated hemoglobin from the Antarctic marine bacterium Pseudoalteromonashaloplanktis TAC125</t>
  </si>
  <si>
    <t>FEBS JOURNAL</t>
  </si>
  <si>
    <t>adaptation; bacterial hemoglobin; molecular dynamics; resonance Raman; X-ray structure</t>
  </si>
  <si>
    <t>RESONANCE RAMAN EVIDENCE; MYCOBACTERIUM-TUBERCULOSIS; MOLECULAR-DYNAMICS; HORSERADISH-PEROXIDASE; PROTEIN INTERACTIONS; CRYSTAL-STRUCTURE; LIGAND MIGRATION; DISTAL RESIDUES; BINDING; SITE</t>
  </si>
  <si>
    <t>Truncated hemoglobins build one of the three branches of the globin protein superfamily. They display a characteristic two-on-two -helical sandwich fold and are clustered into three groups (I, II and III) based on distinct structural features. Truncated hemoglobins are present in eubacteria, cyanobacteria, protozoa and plants. Here we present a structural, spectroscopic and molecular dynamics characterization of a group-II truncated hemoglobin, encoded by the PSHAa0030 gene from Pseudoalteromonashaloplanktis TAC125 (Ph-2/2HbO), a cold-adapted Antarctic marine bacterium hosting one flavohemoglobin and three distinct truncated hemoglobins. The Ph-2/2HbO aquo-met crystal structure (at 2.21 angstrom resolution) shows typical features of group-II truncated hemoglobins, namely the two-on-two -helical sandwich fold, a helix preceding the proximal helix F, and a heme distal-site hydrogen-bonded network that includes water molecules and several distal-site residues, including His(58)CD1. Analysis of Ph-2/2HbO by electron paramagnetic resonance, resonance Raman and electronic absorption spectra, under varied solution conditions, shows that Ph-2/2HbO can access diverse heme ligation states. Among these, detection of a low-spin heme hexa-coordinated species suggests that residue Tyr(42)B10 can undergo large conformational changes in order to act as the sixth heme-Fe ligand. Altogether, the results show that Ph-2/2HbO maintains the general structural features of group-II truncated hemoglobins but displays enhanced conformational flexibility in the proximity of the heme cavity, a property probably related to the functional challenges, such as low temperature, high O-2 concentration and low kinetic energy of molecules, experienced by organisms living in the Antarctic environment. DatabaseStructural data have been submitted to the Protein Data Bank under accession numbers and R4UURS</t>
  </si>
  <si>
    <t>[Giordano, Daniela; Riccio, Alessia; di Prisco, Guido; Verde, Cinzia] CNR, Inst Biosci &amp; BioResources, I-80131 Naples, Italy; [Pesce, Alessandra] Univ Genoa, Dept Phys, Genoa, Italy; [Boechi, Leonardo; Pablo Bustamante, Juan; Estrin, Dario] Univ Buenos Aires, Dept Quim Inorgan Analit &amp; Quim Fis, RA-1053 Buenos Aires, DF, Argentina; [Caldelli, Elena; Howes, Barry D.; Smulevich, Giulietta] Univ Firenze, Dept Chem Ugo Schiff, I-50019 Sesto Fiorentino, Fi, Italy; [Nardini, Marco; Bolognesi, Martino] Univ Milan, Dept Biosci, I-20133 Milan, Italy; [Bolognesi, Martino] Univ Milan, CNR, Inst Biophys, I-20133 Milan, Italy; [Bolognesi, Martino] Univ Milan, CIMAINA, I-20133 Milan, Italy; [Verde, Cinzia] Roma 3 Univ, Dept Biol, Rome, Italy</t>
  </si>
  <si>
    <t>Consiglio Nazionale delle Ricerche (CNR); Istituto di Bioscienze e Biorisorse (IBBR-CNR); University of Genoa; University of Buenos Aires; University of Florence; University of Milan; Consiglio Nazionale delle Ricerche (CNR); Istituto di Biofisica (IBF-CNR); University of Milan; University of Milan; Roma Tre University</t>
  </si>
  <si>
    <t>Smulevich, G (corresponding author), Univ Firenze, Dept Chem Ugo Schiff, Via Lastruccia 3-13, I-50019 Sesto Fiorentino, Fi, Italy.</t>
  </si>
  <si>
    <t>giulietta.smulevich@unifi.it; martino.bolognesi@unimi.it; cinzia.verde@ibbr.cnr.it</t>
  </si>
  <si>
    <t>Giordano, Daniela/AFK-7772-2022; Nardini, Marco/B-7842-2017; Estrin, Dario/AAY-7549-2020; Bolognesi, Martino/B-7924-2017</t>
  </si>
  <si>
    <t>Giordano, Daniela/0000-0002-8891-6245; Nardini, Marco/0000-0002-3718-2165; Bolognesi, Martino/0000-0002-9253-5170; Smulevich, Giulietta/0000-0003-3021-8919; VERDE, Cinzia/0000-0001-6185-282X; Bustamante, Juan/0000-0001-6546-2562; Estrin, Dario/0000-0002-5006-7225</t>
  </si>
  <si>
    <t>Italian National Programme for Antarctic Research (PNRA); Italian Ministero dell'Istruzione, dell'Universita e della Ricerca (MIUR) [PRIN 2007SFZXZ7]; CONICET</t>
  </si>
  <si>
    <t>Italian National Programme for Antarctic Research (PNRA); Italian Ministero dell'Istruzione, dell'Universita e della Ricerca (MIUR)(Ministry of Education, Universities and Research (MIUR)); CONICET(Consejo Nacional de Investigaciones Cientificas y Tecnicas (CONICET))</t>
  </si>
  <si>
    <t>The authors wish to thank the Centre de Ressources Biologiques de l'Institut Pasteur, Paris, France (http://www.crbip.pasteur.fr), for supplying the P. haloplanktis CIP 108707 strain. This study was carried out in the framework of the SCAR programme 'Antarctic Thresholds -Ecosystem Resilience and Adaptation' (AnT-ERA). It was financially supported by the Italian National Programme for Antarctic Research (PNRA) and the Italian Ministero dell'Istruzione, dell'Universita e della Ricerca (MIUR) (PRIN 2007SFZXZ7, 'Structure, function and evolution of heme proteins from Arctic and Antarctic marine organisms: cold adaptation mechanisms and acquisition of new functions') (to G.S and C.V.). J.P.B. holds a CONICET PhD fellowship. L.B. is a Pew Latin American Fellow. D.A.E. and L.B. are members of CONICET. We thank the ESRF and EMBL-Grenoble staff for assistance and support using the beam line ID23-1, and Dr Maria Fittipaldi for provision of EPR facilities and assistance in recording the spectra.</t>
  </si>
  <si>
    <t>1742-464X</t>
  </si>
  <si>
    <t>1742-4658</t>
  </si>
  <si>
    <t>FEBS J</t>
  </si>
  <si>
    <t>FEBS J.</t>
  </si>
  <si>
    <t>10.1111/febs.13335</t>
  </si>
  <si>
    <t>CO0KS</t>
  </si>
  <si>
    <t>WOS:000358840500011</t>
  </si>
  <si>
    <t>Anderson, D; Ferreras, E; Trindade, M; Cowan, D</t>
  </si>
  <si>
    <t>Anderson, Dominique; Ferreras, Eloy; Trindade, Marla; Cowan, Don</t>
  </si>
  <si>
    <t>A novel bacterial Water Hypersensitivity-like protein shows in vivo protection against cold and freeze damage</t>
  </si>
  <si>
    <t>FEMS MICROBIOLOGY LETTERS</t>
  </si>
  <si>
    <t>Antarctic soil; functional metagenomics; freeze-thaw; desiccation tolerance; Water Hypersensitivity protein; late embryogenesis abundant protein</t>
  </si>
  <si>
    <t>EMBRYOGENESIS ABUNDANT PROTEIN; ARABIDOPSIS-THALIANA; DESICCATION-TOLERANCE; SIGNAL PEPTIDES; PREDICTION; STRESS; RESPONSES; IDENTIFICATION; MEMBRANES; TOPOLOGY</t>
  </si>
  <si>
    <t>Metagenomic library screening, by functional or sequence analysis, has become an established method for the identification of novel genes and gene products, including genetic elements implicated in microbial stress response and adaptation. We have identified, using a sequence-based approach, a fosmid clone from an Antarctic desert soil metagenome library containing a novel gene which codes for a protein homologous to a Water Hypersensitivity domain (WHy). The WHy domain is typically found as a component of specific LEA (Late Embryogenesis Abundant) proteins, particularly the LEA-14 (LEA-8) variants, which occur widely in plants, nematodes, bacteria and archaea and which are typically induced by exposure to stress conditions. The novel WHy-like protein (165 amino acid, 18.6 kDa) exhibits a largely invariant NPN motif at the N-terminus and has high sequence identity to genes identified in Pseudomonas genomes. Expression of this protein in Escherichia coli significantly protected the recombinant host against cold and freeze stress.</t>
  </si>
  <si>
    <t>[Anderson, Dominique; Trindade, Marla; Cowan, Don] Univ Western Cape, Inst Microbial Biotechnol &amp; Metagen, Dept Biotechnol, ZA-7535 Cape Town, South Africa; [Ferreras, Eloy; Cowan, Don] Univ Pretoria, Ctr Microbial Ecol &amp; Genom, Dept Genet, ZA-0028 Pretoria, South Africa</t>
  </si>
  <si>
    <t>University of the Western Cape; University of Pretoria</t>
  </si>
  <si>
    <t>Ferreras, E (corresponding author), Univ Pretoria, Private Bag X20, ZA-0028 Pretoria, South Africa.</t>
  </si>
  <si>
    <t>eloy.ferreras@up.ac.za</t>
  </si>
  <si>
    <t>Anderson, Dominique/JDR-9952-2023; Trindade, Marla/AAU-9730-2020; Cowan, Donald A/E-3991-2012</t>
  </si>
  <si>
    <t>Anderson, Dominique/0000-0002-4337-8009; Trindade, Marla/0000-0002-2478-0270; Cowan, Donald A/0000-0001-8059-861X</t>
  </si>
  <si>
    <t>South African National Antarctic Program of the National Research Foundation</t>
  </si>
  <si>
    <t>The authors gratefully acknowledge support from the South African National Antarctic Program of the National Research Foundation. DAC and DEA wish to thank Professor Roberta Farrell (University of Waikato, New Zealand) for providing access to the Antarctic McMurdo Dry Valleys through the Antarctica-NZ 2011 K021 field expedition.</t>
  </si>
  <si>
    <t>0378-1097</t>
  </si>
  <si>
    <t>1574-6968</t>
  </si>
  <si>
    <t>FEMS MICROBIOL LETT</t>
  </si>
  <si>
    <t>FEMS Microbiol. Lett.</t>
  </si>
  <si>
    <t>fnv110</t>
  </si>
  <si>
    <t>10.1093/femsle/fnv110</t>
  </si>
  <si>
    <t>CP4AD</t>
  </si>
  <si>
    <t>WOS:000359823500002</t>
  </si>
  <si>
    <t>Kinzey, D; Watters, GM; Reiss, CS</t>
  </si>
  <si>
    <t>Kinzey, Douglas; Watters, George M.; Reiss, Christian S.</t>
  </si>
  <si>
    <t>Selectivity and two biomass measures in an age-based assessment of Antarctic krill (Euphausia superba)</t>
  </si>
  <si>
    <t>Survey selectivity; Integrated modeling; Simulation testing; Acoustic biomass; Net biomass</t>
  </si>
  <si>
    <t>SOUTH SHETLAND ISLANDS; STOCK ASSESSMENT; POPULATION-DYNAMICS; ACOUSTIC SURVEYS; TARGET STRENGTH; SCOTIA SEA; MODEL; RECRUITMENT; VALIDATION; VARIABILITY</t>
  </si>
  <si>
    <t>An integrated, age-structured model was fitted to different combinations of survey data using two forms of selectivity (logistic or double-logistic) with time-constant or annually varying selectivity to investigate the population dynamics of Antarctic krill (Euphausia superba) near the Antarctic Peninsula. The data were from surveys conducted by the U.S. Antarctic Marine Living Resources Program around the South Shetland Islands from 1992 to 2011. Two indices of krill biomass based on (1) trawl-net samples and (2) hydroacoustic sampling were combined with length-compositions from the nets. Sixteen model configurations using different combinations of the two biomass surveys with the various options for modeling selectivities were examined. Parameters were estimated in phases with the sequential order of the phases randomized until an invertible Hessian matrix was obtained. Model consistency for the estimates of derived quantities was tested using simulated data. Annual trends in the estimates of total biomass, spawning biomass, and recruitment were similar among different configurations assuming time-constant selectivity, but the absolute scaling ranged widely depending on which biomass indices were used. All configurations with time-constant selectivities were able to reproduce the derived quantities of the operating model when fitted to simulated data. Annually varying selectivities produced more variable estimates of the trends in population biomass, but less variable estimates of scale, compared to time-constant configurations fitted to the same data. The models with annually varying selectivities did not produce invertible Hessian matrices, and four of these configurations could not reproduce the derived parameters of their operating model when fitted to simulated data. Using AIC, the model with logistic, time-constant selectivities was selected as the best configuration to fit both sources of biomass data. The two-stage approach of first randomizing the phase order until an invertible Hessian matrix is achieved and then verifying the reproducibility of the estimates of derived quantities using simulated data could be employed in any integrated stock assessment with parameters estimated in phases. Published by Elsevier B.V.</t>
  </si>
  <si>
    <t>[Kinzey, Douglas; Watters, George M.; Reiss, Christian S.] NOAA, Natl Marine Fisheries Serv, Southwest Fisheries Sci Ctr, Antarctic Ecosyst Res Div, La Jolla, CA 92037 USA</t>
  </si>
  <si>
    <t>Kinzey, D (corresponding author), NOAA, Natl Marine Fisheries Serv, Southwest Fisheries Sci Ctr, Antarctic Ecosyst Res Div, 8901 La Jolla Shores Dr, La Jolla, CA 92037 USA.</t>
  </si>
  <si>
    <t>Doug.Kinzey@noaa.gov; George.Watters@noaa.gov; Christian.Reiss@noaa.gov</t>
  </si>
  <si>
    <t>Watters, George/HPE-2184-2023</t>
  </si>
  <si>
    <t>Watters, George/0000-0002-6989-1273</t>
  </si>
  <si>
    <t>10.1016/j.fishres.2015.03.023</t>
  </si>
  <si>
    <t>CK3NN</t>
  </si>
  <si>
    <t>WOS:000356122900011</t>
  </si>
  <si>
    <t>Bennett, JR; Shaw, JD; Terauds, A; Smol, JP; Aerts, R; Bergstrom, DM; Blais, JM; Cheung, WWL; Chown, SL; Lea, MA; Nielsen, UN; Pauly, D; Reimer, KJ; Riddle, MJ; Snape, I; Stark, JS; Tulloch, VJ; Possingham, HP</t>
  </si>
  <si>
    <t>Bennett, Joseph R.; Shaw, Justine D.; Terauds, Aleks; Smol, John P.; Aerts, Rien; Bergstrom, Dana M.; Blais, Jules M.; Cheung, William W. L.; Chown, Steven L.; Lea, Mary-Anne; Nielsen, Uffe N.; Pauly, Daniel; Reimer, Kenneth J.; Riddle, Martin J.; Snape, Ian; Stark, Jonathan S.; Tulloch, Vivitskaia J.; Possingham, Hugh P.</t>
  </si>
  <si>
    <t>Polar lessons learned: long-term management based on shared threats in Arctic and Antarctic environments</t>
  </si>
  <si>
    <t>FRONTIERS IN ECOLOGY AND THE ENVIRONMENT</t>
  </si>
  <si>
    <t>CLIMATE-CHANGE; SOUTHERN-OCEAN; MARINE MAMMALS; RISK; CONTAMINATION; ECOSYSTEMS; ENDOCRINE; FISHERIES; COLLAPSE; HABITAT</t>
  </si>
  <si>
    <t>The Arctic and Antarctic polar regions are subject to multiple environmental threats, arising from both local and ex-situ human activities. We review the major threats to polar ecosystems including the principal stressor, climate change, which interacts with and exacerbates other threats such as pollution, fisheries overexploitation, and the establishment and spread of invasive species. Given the lack of progress in reducing global atmospheric greenhouse-gas emissions, we suggest that managing the threats that interact synergistically with climate change, and that are potentially more tractable, is all the more important in the short to medium term for polar conservation. We show how evidence-based lessons learned from scientific research can be shared between the poles on topics such as contaminant mitigation, biosecurity protocols to reduce species invasions, and the regulation of fisheries and marine environments. Applying these trans-polar lessons in tandem with expansion of international cooperation could substantially improve environmental management in both the Arctic and Antarctic.</t>
  </si>
  <si>
    <t>[Bennett, Joseph R.; Shaw, Justine D.; Tulloch, Vivitskaia J.; Possingham, Hugh P.] Univ Queensland, Ctr Biodivers &amp; Conservat Sci, Brisbane, Qld, Australia; [Shaw, Justine D.; Terauds, Aleks; Bergstrom, Dana M.; Riddle, Martin J.; Snape, Ian; Stark, Jonathan S.] Australian Antarctic Div, Dept Environm, Terr &amp; Nearshore Ecosyst, Kingston, Tas, Australia; [Smol, John P.] Queens Univ, Dept Biol, Kingston, ON K7L 3N6, Canada; [Aerts, Rien] Vrije Univ Amsterdam, Dept Ecol Sci, Amsterdam, Netherlands; [Blais, Jules M.] Univ Ottawa, Dept Biol, Ottawa, ON, Canada; [Cheung, William W. L.; Pauly, Daniel] Univ British Columbia, Fisheries Ctr, Sea Around Us, Vancouver, BC V5Z 1M9, Canada; [Chown, Steven L.] Monash Univ, Sch Biol Sci, Clayton, Vic, Australia; [Lea, Mary-Anne] Univ Tasmania, Inst Marine &amp; Antarctic Studies, Battery Point, Australia; [Nielsen, Uffe N.] Univ Western Sydney, Hawkesbury Inst Environm, Penrith, NSW 1797, Australia; [Nielsen, Uffe N.] Univ Western Sydney, Sch Sci &amp; Hlth, Penrith, NSW 1797, Australia; [Reimer, Kenneth J.] Royal Mil Coll Canada, Environm Sci Grp, Kingston, ON, Canada; [Possingham, Hugh P.] Univ London Imperial Coll Sci Technol &amp; Med, Sch Life Sci, Ascot, Berks, England</t>
  </si>
  <si>
    <t>University of Queensland; Australian Antarctic Division; Queens University - Canada; Vrije Universiteit Amsterdam; University of Ottawa; University of British Columbia; Monash University; University of Tasmania; Western Sydney University; Western Sydney University; Royal Military College - Canada; Imperial College London</t>
  </si>
  <si>
    <t>Bennett, JR (corresponding author), Univ Queensland, Ctr Biodivers &amp; Conservat Sci, Brisbane, Qld, Australia.</t>
  </si>
  <si>
    <t>j.bennett5@uq.edu.au</t>
  </si>
  <si>
    <t>Blais, Jules/AAV-2321-2020; Cheung, William/F-5104-2013; Terauds, Aleks/A-4991-2010; Bergstrom, Dana/AAC-2837-2022; Stark, Jonathan/ABF-4025-2020; Tulloch, Vivitskaia/G-1336-2013; Possingham, Hugh/B-1337-2008; Pauly, Daniel Marc/AAY-2316-2021; Tulloch, Vivitskaia/GNH-4554-2022; POSSINGHAM, HUGH/R-8310-2019; Chown, Steven/ABD-7646-2021; Lea, Mary-Anne/E-9054-2013; Chown, Steven/H-3347-2011</t>
  </si>
  <si>
    <t>Blais, Jules/0000-0002-7188-3598; Bergstrom, Dana/0000-0001-8484-8954; Stark, Jonathan/0000-0002-4268-8072; Tulloch, Vivitskaia/0000-0002-7673-3716; Possingham, Hugh/0000-0001-7755-996X; POSSINGHAM, HUGH/0000-0001-7755-996X; Lea, Mary-Anne/0000-0001-8318-9299; Bennett, Joseph/0000-0002-3901-9513; Nielsen, Uffe N/0000-0003-2400-7453; Pauly, Daniel/0000-0003-3756-4793; Chown, Steven/0000-0001-6069-5105; Shaw, Justine/0000-0002-9603-2271; Smol, John/0000-0002-2499-6696; Aerts, Rien/0000-0001-6694-0669</t>
  </si>
  <si>
    <t>1540-9295</t>
  </si>
  <si>
    <t>1540-9309</t>
  </si>
  <si>
    <t>FRONT ECOL ENVIRON</t>
  </si>
  <si>
    <t>Front. Ecol. Environ.</t>
  </si>
  <si>
    <t>10.1890/140315</t>
  </si>
  <si>
    <t>CO6NM</t>
  </si>
  <si>
    <t>WOS:000359273400016</t>
  </si>
  <si>
    <t>Behera, DP; Mohapatra, D; Naik, S; Mishra, RK</t>
  </si>
  <si>
    <t>Behera, Durga Prasad; Mohapatra, Debasish; Naik, Subrat; Mishra, Rajani Kanta</t>
  </si>
  <si>
    <t>First Record of Cephalopholis sonnerati (Red Coral Grouper) From Gopalpur Coastal Waters, Bay of Bengal</t>
  </si>
  <si>
    <t>Red Coral Grouper; Cephalopholis sonnerati; First record; Gopalpur coastal waters</t>
  </si>
  <si>
    <t>EAST-COAST; GYRE</t>
  </si>
  <si>
    <t>Present study reports the first record of a red coral grouper fish identified as Cephalopholis sonnerati observed during the routine trawl net operation for fishing by a private trawler off Gopalpur coast, Odisha on 6th July 2013. A coral grouper fish naming Cephalopholis sonnerati belonging to the family Serranidae measuring length 270 mm and weight 300 gm was obtained. This fish has not been reported previously from this coastal water. The description, morphometrics and meristic characters of the fish are described in this study.</t>
  </si>
  <si>
    <t>[Behera, Durga Prasad; Mohapatra, Debasish; Naik, Subrat] Berhampur Univ, PG Dept Marine Sci, Berhampur 760007, Orissa, India; [Mishra, Rajani Kanta] Natl Ctr Antarctic &amp; Ocean Res, Vasco Da Gama 403804, Goa, India</t>
  </si>
  <si>
    <t>Berhampur University; Ministry of Earth Sciences (MoES) - India; National Centre for Polar and Ocean Research (NCPOR)</t>
  </si>
  <si>
    <t>Behera, DP (corresponding author), Berhampur Univ, PG Dept Marine Sci, Berhampur 760007, Orissa, India.</t>
  </si>
  <si>
    <t>rajanimishra@yahoo.com</t>
  </si>
  <si>
    <t>Behera, Durga Prasad prasad/F-5361-2013; behera, Durga Prasad/R-2202-2019</t>
  </si>
  <si>
    <t>behera, Durga Prasad/0000-0002-3717-0113</t>
  </si>
  <si>
    <t>DR0YV</t>
  </si>
  <si>
    <t>WOS:000379633700010</t>
  </si>
  <si>
    <t>Bridle, AR; Davenport, DL; Crosbie, PBB; Polinski, M; Nowak, BF</t>
  </si>
  <si>
    <t>Bridle, Andrew R.; Davenport, Danielle L.; Crosbie, Philip B. B.; Polinski, Mark; Nowak, Barbara F.</t>
  </si>
  <si>
    <t>Neoparamoeba perurans loses virulence during clonal culture</t>
  </si>
  <si>
    <t>INTERNATIONAL JOURNAL FOR PARASITOLOGY</t>
  </si>
  <si>
    <t>Amoeba; Salmon; Gill; Aquaculture; Clone; Virulence; Amoebic Gill Disease (AGD); Salmo solar</t>
  </si>
  <si>
    <t>AMEBIC GILL DISEASE; ATLANTIC SALMON; NAEGLERIA-FOWLERI; ACANTHAMOEBA; SALAR; INFECTION</t>
  </si>
  <si>
    <t>Amoebic Gill Disease affects farmed salmonids and is caused by Neoparamoeba perurans. Clonal cultures of this amoeba have been used for challenge experiments, however the effect of long-term culture on virulence has not been investigated. Here we show, using in vitro and in vivo methods, that a clone of N. perurans which was virulent 70 days after clonal culture lost virulence after 3 years in clonal culture. We propose that this is related either to the lack of attachment to the gills or the absence of an extracellular product, as shown by the lack of cytopathic effect on Chinook salmon embryo cells. The avirulent clonal culture of N. perurans allowed us to propose two potential virulence mechanisms/factors involved in Amoebic Gill Disease and is an invaluable tool for host-pathogen studies of Amoebic Gill Disease. (C) 2015 Australian Society for Parasitology Inc. Published by Elsevier Ltd. All rights reserved.</t>
  </si>
  <si>
    <t>[Bridle, Andrew R.; Davenport, Danielle L.; Crosbie, Philip B. B.; Polinski, Mark; Nowak, Barbara F.] Univ Tasmania, Inst Marine &amp; Antarctic Studies, Launceston, Tas 7250, Australia</t>
  </si>
  <si>
    <t>Nowak, BF (corresponding author), Univ Tasmania, Inst Marine &amp; Antarctic Studies, Locked Bag 1370, Launceston, Tas 7250, Australia.</t>
  </si>
  <si>
    <t>B.Nowak@utas.edu.au</t>
  </si>
  <si>
    <t>Bridle, Andrew R/B-4117-2013; Davenport, Danielle Louise/AAF-5819-2019; Nowak, Barbara/J-7261-2014</t>
  </si>
  <si>
    <t>Davenport, Danielle Louise/0000-0002-9252-4404; Bridle, Andrew/0000-0002-5788-1297; Nowak, Barbara/0000-0002-0347-643X; Polinski, Mark/0000-0001-7237-3808; Crosbie, Philip/0000-0001-8856-1731</t>
  </si>
  <si>
    <t>0020-7519</t>
  </si>
  <si>
    <t>1879-0135</t>
  </si>
  <si>
    <t>INT J PARASITOL</t>
  </si>
  <si>
    <t>Int. J. Parasit.</t>
  </si>
  <si>
    <t>10.1016/j.ijpara.2015.04.005</t>
  </si>
  <si>
    <t>Parasitology</t>
  </si>
  <si>
    <t>CN5IC</t>
  </si>
  <si>
    <t>WOS:000358462000001</t>
  </si>
  <si>
    <t>Vanstreels, RET; Woehler, EJ; Ruoppolo, V; Vertigan, P; Carlile, N; Priddel, D; Finger, A; Dann, P; Herrin, KV; Thompson, P; Ferreira, FC; Braga, ÉM; Hurtado, R; Epiphanio, S; Catao-Dias, JL</t>
  </si>
  <si>
    <t>Thijl Vanstreels, Ralph Eric; Woehler, Eric J.; Ruoppolo, Valeria; Vertigan, Peter; Carlile, Nicholas; Priddel, David; Finger, Annett; Dann, Peter; Herrin, Kimberly Vinette; Thompson, Paul; Ferreira Junior, Francisco C.; Braga, Erika M.; Hurtado, Renata; Epiphanio, Sabrina; Catao-Dias, Jose Luiz</t>
  </si>
  <si>
    <t>Epidemiology and molecular phylogeny of Babesia sp in Little Penguins Eudyptula minor in Australia</t>
  </si>
  <si>
    <t>INTERNATIONAL JOURNAL FOR PARASITOLOGY-PARASITES AND WILDLIFE</t>
  </si>
  <si>
    <t>BOOBIES SULA-LEUCOGASTER; JOHNSTON ATOLL; HAEMOPROTEUS; PREVALENCE; WILD; LEUCOCYTOZOON; EPIZOOTIOLOGY; PIROPLASMS; INFECTIONS; PLASMODIUM</t>
  </si>
  <si>
    <t>Blood parasites are potential threats to the health of penguins and to their conservation and management. Little penguins Eudyptula minor are native to Australia and New Zealand, and are susceptible to piroplasmids (Babesia), hemosporidians (Haemoproteus, Leucocytozoon, Plasmodium) and kinetoplastids (Trypanosoma). We studied a total of 263 wild little penguins at 20 sites along the Australian southeastern coast, in addition to 16 captive-bred little penguins. Babesia sp. was identified in seven wild little penguins, with positive individuals recorded in New South Wales, Victoria and Tasmania. True prevalence was estimated between 3.4% and 4.5%. Only round forms of the parasite were observed, and gene sequencing confirmed the identity of the parasite and demonstrated it is closely related to Babesia poelea from boobies (Sula spp.) and B. uriae from murres (Uria aalge). None of the Babesia-positive penguins presented signs of disease, confirming earlier suggestions that chronic infections by these parasites are not substantially problematic to otherwise healthy little penguins. We searched also for kinetoplastids, and despite targeted sampling of little penguins near the location where Trypanosoma eudyptulae was originally reported, this parasite was not detected. (C) 2015 The Authors. Published by Elsevier Ltd on behalf of Australian Society for Parasitology.</t>
  </si>
  <si>
    <t>[Thijl Vanstreels, Ralph Eric; Ruoppolo, Valeria; Catao-Dias, Jose Luiz] Univ Sao Paulo, Lab Wildlife Comparat Pathol LAPCOM, Dept Pathol, Sch Vet Med &amp; Anim Sci, BR-05508000 Sao Paulo, SP, Brazil; [Woehler, Eric J.] Univ Tasmania, Inst Marine &amp; Antarctic Studies, Hobart, Tas 7001, Australia; [Ruoppolo, Valeria] Int Fund Anim Welf, Yarmouth Port, MA USA; [Vertigan, Peter] Birdlife Tasmania, Hobart, Tas, Australia; [Carlile, Nicholas; Priddel, David] New South Wales Off Environm &amp; Heritage, Sydney, NSW, Australia; [Finger, Annett] Victoria Univ, Coll Engn &amp; Sci, Ecol &amp; Environm Management Grp, Melbourne, Vic 8001, Australia; [Dann, Peter] Phillip Isl Nat Parks, Res Dept, Melbourne, Vic, Australia; [Herrin, Kimberly Vinette; Thompson, Paul] Taronga Conservat Soc Australia, Mosman, Australia; [Ferreira Junior, Francisco C.; Braga, Erika M.] Univ Fed Minas Gerais, Inst Biol Sci, Dept Parasitol, Belo Horizonte, MG, Brazil; [Hurtado, Renata] Univ Sao Paulo, Dept Prevent Vet Med &amp; Anim Hlth, Sch Vet Med &amp; Anim Sci, BR-05508000 Sao Paulo, SP, Brazil; [Epiphanio, Sabrina] Univ Sao Paulo, Fac Pharmaceut Sci, Dept Clin &amp; Toxicol Anal, BR-05508000 Sao Paulo, SP, Brazil</t>
  </si>
  <si>
    <t>Universidade de Sao Paulo; University of Tasmania; Office of Environment &amp; Heritage - New South Wales; Victoria University; Melbourne Genomics Health Alliance; Melbourne Genomics Health Alliance; Taronga Conservation Society Australia; Universidade Federal de Minas Gerais; Universidade de Sao Paulo; Universidade de Sao Paulo</t>
  </si>
  <si>
    <t>Vanstreels, RET (corresponding author), Univ Sao Paulo, Dept Patol, Fac Med Vet &amp; Zootecnia, Av Prof Orlando Marques de Paiva 87,Cidade Univ, BR-05508000 Sao Paulo, SP, Brazil.</t>
  </si>
  <si>
    <t>ralph_vanstreels@yahoo.com.br</t>
  </si>
  <si>
    <t>, Ralph ET Vanstreels/H-8029-2015; Epiphanio, Sabrina/C-7572-2012; Ferreira, Francisco/G-4013-2017; Catão-Dias, José Luiz/C-4897-2012; Braga, Erika Martins/A-6776-2008</t>
  </si>
  <si>
    <t>Ferreira, Francisco/0000-0002-2034-4121; Catão-Dias, José Luiz/0000-0003-2999-3395; Braga, Erika Martins/0000-0001-5550-7157; Woehler, Eric/0000-0002-1125-0748; Finger, Annett/0000-0002-9467-4078</t>
  </si>
  <si>
    <t>2213-2244</t>
  </si>
  <si>
    <t>INT J PARASITOL-PAR</t>
  </si>
  <si>
    <t>Int. J. Parasitol.-Parasit. Wildl.</t>
  </si>
  <si>
    <t>10.1016/j.ijppaw.2015.03.002</t>
  </si>
  <si>
    <t>Ecology; Parasitology</t>
  </si>
  <si>
    <t>Environmental Sciences &amp; Ecology; Parasitology</t>
  </si>
  <si>
    <t>DF6BS</t>
  </si>
  <si>
    <t>WOS:000371440800006</t>
  </si>
  <si>
    <t>Sandersfeld, T; Davison, W; Lamare, MD; Knust, R; Richter, C</t>
  </si>
  <si>
    <t>Sandersfeld, Tina; Davison, William; Lamare, Miles D.; Knust, Rainer; Richter, Claudio</t>
  </si>
  <si>
    <t>Elevated temperature causes metabolic trade-offs at the whole-organism level in the Antarctic fish Trematomus bernacchii</t>
  </si>
  <si>
    <t>JOURNAL OF EXPERIMENTAL BIOLOGY</t>
  </si>
  <si>
    <t>Antarctica; Climate change; Teleost; Energy budget; Growth; Production; Thermal tolerance</t>
  </si>
  <si>
    <t>TERRA-NOVA BAY; NOTOTHENIID FISH; CLIMATE-CHANGE; ROSS SEA; THERMAL-ACCLIMATION; WATER TEMPERATURE; EMERALD NOTOTHEN; WARM-ACCLIMATION; ENERGY BUDGET; MCMURDO SOUND</t>
  </si>
  <si>
    <t>As a response to ocean warming, shifts in fish species distribution and changes in production have been reported that have been partly attributed to temperature effects on the physiology of animals. The Southern Ocean hosts some of the most rapidly warming regions on earth and Antarctic organisms are reported to be especially temperature sensitive. While cellular and molecular organismic levels appear, at least partially, to compensate for elevated temperatures, the consequences of acclimation to elevated temperature for the whole organism are often less clear. Growth and reproduction are the driving factors for population structure and abundance. The aim of this study was to assess the effect of long-term acclimation to elevated temperature on energy budget parameters in the high-Antarctic fish Trematomus bernacchii. Our results show a complete temperature compensation for routine metabolic costs after 9 weeks of acclimation to 4 degrees C. However, an up to 84% reduction in mass growth was measured at 2 and 4 degrees C compared with the control group at 0 degrees C, which is best explained by reduced food assimilation rates at warmer temperatures. With regard to a predicted temperature increase of up to 1.4 degrees C in the Ross Sea by 2200, such a significant reduction in growth is likely to affect population structures in nature, for example by delaying sexual maturity and reducing production, with severe impacts on Antarctic fish communities and ecosystems.</t>
  </si>
  <si>
    <t>[Sandersfeld, Tina; Knust, Rainer; Richter, Claudio] Helmholtz Ctr Polar &amp; Marine Res, Sect Benthopelag Proc, Alfred Wegener Inst, D-27568 Bremerhaven, Germany; [Davison, William] Univ Canterbury, Sch Biol Sci, Christchurch 8140, New Zealand; [Lamare, Miles D.] Univ Otago, Dept Marine Sci, Dunedin 9022, New Zealand</t>
  </si>
  <si>
    <t>Helmholtz Association; Alfred Wegener Institute, Helmholtz Centre for Polar &amp; Marine Research; University of Canterbury; University of Otago</t>
  </si>
  <si>
    <t>Sandersfeld, T (corresponding author), Helmholtz Ctr Polar &amp; Marine Res, Sect Benthopelag Proc, Alfred Wegener Inst, Alten Hafen 26, D-27568 Bremerhaven, Germany.</t>
  </si>
  <si>
    <t>tina.sandersfeld@awi.de</t>
  </si>
  <si>
    <t>Richter, Claudio/AAT-1212-2020</t>
  </si>
  <si>
    <t>Richter, Claudio/0000-0002-8182-6896</t>
  </si>
  <si>
    <t>New Zealand Antarctic Research Institute grant [NZARI 2103-4]; Helmholtz Graduate School for Polar and Marine Research (POLMAR); PACES II programme</t>
  </si>
  <si>
    <t>New Zealand Antarctic Research Institute grant; Helmholtz Graduate School for Polar and Marine Research (POLMAR); PACES II programme</t>
  </si>
  <si>
    <t>This research was supported by a New Zealand Antarctic Research Institute grant to M.D.L. (NZARI 2103-4). T.S. was supported by a PhD scholarship as well as a travel grant of the Helmholtz Graduate School for Polar and Marine Research (POLMAR) and by the PACES II programme.</t>
  </si>
  <si>
    <t>COMPANY BIOLOGISTS LTD</t>
  </si>
  <si>
    <t>BIDDER BUILDING, STATION RD, HISTON, CAMBRIDGE CB24 9LF, ENGLAND</t>
  </si>
  <si>
    <t>0022-0949</t>
  </si>
  <si>
    <t>1477-9145</t>
  </si>
  <si>
    <t>J EXP BIOL</t>
  </si>
  <si>
    <t>J. Exp. Biol.</t>
  </si>
  <si>
    <t>10.1242/jeb.122804</t>
  </si>
  <si>
    <t>Biology</t>
  </si>
  <si>
    <t>Life Sciences &amp; Biomedicine - Other Topics</t>
  </si>
  <si>
    <t>CO2TI</t>
  </si>
  <si>
    <t>WOS:000359009100015</t>
  </si>
  <si>
    <t>Kyrke-Smith, TM; Katz, RF; Fowler, AC</t>
  </si>
  <si>
    <t>Kyrke-Smith, T. M.; Katz, R. F.; Fowler, A. C.</t>
  </si>
  <si>
    <t>Subglacial hydrology as a control on emergence, scale, and spacing of ice streams</t>
  </si>
  <si>
    <t>WEST ANTARCTICA; EAST ANTARCTICA; LAYER BENEATH; WATER; FLOW; GLACIER; SYSTEM; ONSET; SHELF; DEFORMATION</t>
  </si>
  <si>
    <t>Observations have long associated ice streams with the presence of meltwater at the bed. More recently, theoretical models have been able to reproduce ice stream behavior as a consequence of the coupled dynamics of ice and subglacial meltwater. In this paper we analyze the properties of ice streams that form in a coupled model of ice flow and subglacial hydrology. We see that there is a natural length scale defining ice stream separation and width. This arises as a result of the balance between effective pressure gradients driving meltwater away from ice streams and the enhanced water production in the streams due to the fast ice flow. We further discuss how the model interacts with topography, and we show that small perturbations to a uniform bed have a strong effect on where ice streams emerge in the model. However, in many cases ice streams then evolve to be closer to the dimensions defined by the natural length scale of the unperturbed system. The nondimensional parameter that defines this length scale is therefore of fundamental importance in the model.</t>
  </si>
  <si>
    <t>[Kyrke-Smith, T. M.] British Antarctic Survey, Cambridge CB3 0ET, England; [Kyrke-Smith, T. M.; Katz, R. F.] Univ Oxford, Dept Earth Sci, Oxford OX1 3PR, England; [Fowler, A. C.] Univ Limerick, MACSI, Limerick, Ireland; [Fowler, A. C.] Univ Oxford, OCIAM, Oxford, England</t>
  </si>
  <si>
    <t>UK Research &amp; Innovation (UKRI); Natural Environment Research Council (NERC); NERC British Antarctic Survey; University of Oxford; University of Limerick; University of Oxford</t>
  </si>
  <si>
    <t>Kyrke-Smith, TM (corresponding author), British Antarctic Survey, Cambridge CB3 0ET, England.</t>
  </si>
  <si>
    <t>terkyr@bas.ac.uk</t>
  </si>
  <si>
    <t>Fowler, Andrew/I-5868-2014; Katz, Richard F/D-3364-2009</t>
  </si>
  <si>
    <t>Katz, Richard F/0000-0001-8746-5430</t>
  </si>
  <si>
    <t>Natural Environment Research Council [NE/I528485/1]; Leverhulme Trust; Mathematics Applications Consortium for Science and Industry - Science Foundation Ireland [12/1A/1683]; Natural Environment Research Council [bas0100034] Funding Source: researchfish; NERC [bas0100034] Funding Source: UKRI</t>
  </si>
  <si>
    <t>Natural Environment Research Council(UK Research &amp; Innovation (UKRI)Natural Environment Research Council (NERC)); Leverhulme Trust(Leverhulme Trust); Mathematics Applications Consortium for Science and Industry - Science Foundation Ireland(Science Foundation Ireland); Natural Environment Research Council(UK Research &amp; Innovation (UKRI)Natural Environment Research Council (NERC)); NERC(UK Research &amp; Innovation (UKRI)Natural Environment Research Council (NERC))</t>
  </si>
  <si>
    <t>We thank Stephen Price, Martin Truffer, and one anonymous reviewer for very helpful and constructive comments on the manuscript. This work was supported by the Natural Environment Research Council(NE/I528485/1) while Kyrke-Smith was at the University of Oxford. Katz is grateful to the Leverhulme Trust for support. Fowler acknowledges the support of the Mathematics Applications Consortium for Science and Industry (www.macsi.ul.ie) funded by the Science Foundation Irelandgrant 12/1A/1683. Numerical simulations were performed on clusters at the Advanced Research Computing facility of the University of Oxford. Source code for results shown in this paper is available by contacting the corresponding author directly.</t>
  </si>
  <si>
    <t>10.1002/2015JF003505</t>
  </si>
  <si>
    <t>WOS:000363464000004</t>
  </si>
  <si>
    <t>Arrigo, KR; van Dijken, GL; Strong, AL</t>
  </si>
  <si>
    <t>Arrigo, Kevin R.; van Dijken, Gert L.; Strong, Aaron L.</t>
  </si>
  <si>
    <t>Environmental controls of marine productivity hot spots around Antarctica</t>
  </si>
  <si>
    <t>PHYTOPLANKTON TAXONOMIC VARIABILITY; MELTING GLACIERS FUELS; ROSS SEA; SOUTHERN-OCEAN; DISSOLVED IRON; AMUNDSEN SEA; PINE ISLAND; CIRCUMPOLAR CURRENT; PARTICULATE IRON; BASAL MELT</t>
  </si>
  <si>
    <t>Antarctic coastal polynyas are biologically rich ecosystems that support large populations of mammals and birds and are globally significant sinks of atmospheric carbon dioxide. To support local phytoplankton blooms, these highly productive ecosystems require a large input of iron (Fe), the sources of which are poorly known. Here we assess the relative importance of six different environmental factors in controlling the amount of phytoplankton biomass and rates of net primary production (NPP) in 46 coastal polynyas around Antarctica. Data presented here suggest that melting ice shelves are a primary supplier of Fe to coastal polynyas, with basal melt rates explaining 59% of the between-polynya variance in mean chlorophyll a (Chl a) concentration. In a multiple regression analysis, which explained 78% of the variance in chlorophyll a (Chl a) between polynyas, basal melt rate explained twice as much of the variance as the next most important variable. Fe upwelled from sediments, which is partly controlled by continental shelf width, was also important in some polynyas. Of secondary importance to phytoplankton abundance and NPP were sea surface temperature and polynya size. Surprisingly, differences in light availability and the length of the open water season explained little or none of the variance in either Chl a or NPP between polynyas. If the productivity of coastal polynyas is indeed sensitive to the release of Fe from melting ice shelves, future changes in ice shelf melt rates could dramatically influence Antarctic coastal ecosystems and the ability of continental shelf waters to sequester atmospheric carbon dioxide.</t>
  </si>
  <si>
    <t>[Arrigo, Kevin R.; van Dijken, Gert L.] Stanford Univ, Dept Earth Syst Sci, Stanford, CA 94305 USA; [Strong, Aaron L.] Stanford Univ, Emmett Interdisciplinary Program Environm &amp; Resou, Stanford, CA 94305 USA</t>
  </si>
  <si>
    <t>Stanford University; Stanford University</t>
  </si>
  <si>
    <t>Arrigo, KR (corresponding author), Stanford Univ, Dept Earth Syst Sci, Stanford, CA 94305 USA.</t>
  </si>
  <si>
    <t>arrigo@stanford.edu</t>
  </si>
  <si>
    <t>Van Dijken, Gert L/C-5276-2011</t>
  </si>
  <si>
    <t>Van Dijken, Gert/0000-0002-9587-6317; Arrigo, Kevin/0000-0002-7364-876X</t>
  </si>
  <si>
    <t>NSF [ANT-1063592]; NASA [NNX10AF42G]; NASA [NNX10AF42G, 133591] Funding Source: Federal RePORTER</t>
  </si>
  <si>
    <t>NSF(National Science Foundation (NSF)); NASA(National Aeronautics &amp; Space Administration (NASA)); NASA(National Aeronautics &amp; Space Administration (NASA))</t>
  </si>
  <si>
    <t>This research was supported by NSF grant (ANT-1063592) and NASA grant NNX10AF42G to K. Arrigo. All data used in this analysis can be found in Table 1.</t>
  </si>
  <si>
    <t>10.1002/2015JC010888</t>
  </si>
  <si>
    <t>WOS:000362653600015</t>
  </si>
  <si>
    <t>Stern, AA; Johnson, E; Holland, DM; Wagner, TJW; Wadhams, P; Bates, R; Abrahamsen, EP; Nicholls, KW; Crawford, A; Gagnon, J; Tremblay, JE</t>
  </si>
  <si>
    <t>Stern, Alon A.; Johnson, Eric; Holland, David M.; Wagner, Till J. W.; Wadhams, Peter; Bates, Richard; Abrahamsen, E. Povl; Nicholls, Keith W.; Crawford, Anna; Gagnon, Jonathan; Tremblay, Jean-Eric</t>
  </si>
  <si>
    <t>Wind-driven upwelling around grounded tabular icebergs</t>
  </si>
  <si>
    <t>BIOLOGICAL PRODUCTIVITY; ANTARCTIC ICEBERGS; ISLAND WAKES; ICE SHELF; OCEAN; WATER; IMPACT; DYNAMICS; CLIMATE; MODEL</t>
  </si>
  <si>
    <t>Temperature and salinity data collected around grounded tabular icebergs in Baffin Bay in 2011, 2012, and 2013 indicate wind-induced upwelling at certain locations around the icebergs. These data suggest that along one side of the iceberg, wind forcing leads to Ekman transport away from the iceberg, which causes upwelling of the cool saline water from below. The upwelling water mixes with the water above the thermocline, causing the mixed layer to become cooler and more saline. Along the opposite side of the iceberg, the surface Ekman transport moves towards the iceberg, which causes a sharpening of the thermocline as warm fresh water is trapped near the surface. This results in higher mixed layer temperatures and lower mixed layer salinities on this side of the iceberg. Based on these in situ measurements, we hypothesize that the asymmetries in water properties around the iceberg, caused by the opposing effects of upwelling and sharpening of the thermocline, lead to differential deterioration around the iceberg. Analysis of satellite imagery around iceberg PII-B-1 reveals differential decay around the iceberg, in agreement with this mechanism.</t>
  </si>
  <si>
    <t>[Stern, Alon A.; Johnson, Eric; Holland, David M.] NYU, Courant Inst Math Sci, New York, NY 10012 USA; [Wagner, Till J. W.] Univ Calif San Diego, Scripps Inst Oceanog, San Diego, CA 92103 USA; [Wadhams, Peter] Univ Cambridge, Dept Appl Math &amp; Theoret Phys, Cambridge CB3 9EW, England; [Bates, Richard] Univ St Andrews, Sch Geog &amp; Geosci, St Andrews, Fife, Scotland; [Abrahamsen, E. Povl; Nicholls, Keith W.] British Antarctic Survey, NERC, Cambridge CB3 0ET, England; [Crawford, Anna] Carleton Univ, Dept Geog &amp; Environm Studies, Ottawa, ON K1S 5B6, Canada; [Gagnon, Jonathan; Tremblay, Jean-Eric] Univ Laval, Dept Biol Quebec Ocean, Quebec City, PQ, Canada</t>
  </si>
  <si>
    <t>New York University; University of California System; University of California San Diego; Scripps Institution of Oceanography; University of Cambridge; University of St Andrews; UK Research &amp; Innovation (UKRI); Natural Environment Research Council (NERC); NERC British Antarctic Survey; Carleton University; Laval University</t>
  </si>
  <si>
    <t>Stern, AA (corresponding author), NYU, Courant Inst Math Sci, New York, NY 10012 USA.</t>
  </si>
  <si>
    <t>Abrahamsen, Povl/B-2140-2008</t>
  </si>
  <si>
    <t>Abrahamsen, Povl/0000-0001-5924-5350; Wagner, Till/0000-0003-4572-1285; Bates, Charles Richard/0000-0001-9147-7151</t>
  </si>
  <si>
    <t>NYU Abu Dhabi Research Institute [G1204]; NSF Polar Programs [ARC-1304137]; NERC [bas0100033] Funding Source: UKRI; Natural Environment Research Council [bas0100033] Funding Source: researchfish; Division Of Mathematical Sciences; Direct For Mathematical &amp; Physical Scien [0940241] Funding Source: National Science Foundation</t>
  </si>
  <si>
    <t>NYU Abu Dhabi Research Institute; NSF Polar Programs(National Science Foundation (NSF)); NERC(UK Research &amp; Innovation (UKRI)Natural Environment Research Council (NERC)); Natural Environment Research Council(UK Research &amp; Innovation (UKRI)Natural Environment Research Council (NERC)); Division Of Mathematical Sciences; Direct For Mathematical &amp; Physical Scien(National Science Foundation (NSF)NSF - Directorate for Mathematical &amp; Physical Sciences (MPS))</t>
  </si>
  <si>
    <t>Special thank you to the BBC crew on Operation Iceberg, and the crew of MV Neptune. Information about the television documentary Operation Iceberg can be found at http://www.bbc.co.uk/programmes/p00tvcnx. Thanks to Chris Packham who took the photo in Figure 2a, and to Sarah Conner for help with editing the dye experiment clip. Funding for this project was also provided by NYU Abu Dhabi Research Institute for support under grant G1204 and NSF Polar Programs for support under grant ARC-1304137. We would like to acknowledge the following organizations and individuals for the additional data: the Canadian Ice Service (Environment Canada; specifically Leah Braithwaite), ArcticNet, and the captain and crew of CCGS Amundsen; Derek Mueller (Carleton U.) and the other members of the 2011 CCGS Amundsen iceberg campaign, Alexander Forrest (U. California Davis-Tahoe), Andrew Hamilton (U. British Columbia), Bernard Laval (U. British Columbia) and Richard Yeo (AUV Consultants). Also, thanks to Yves Gratton (From INRS-ETE, Quebec City, Canada) and Pascal Guillot (ISMER-UQAR, Rimouski, Canada) for the quality control of the CTD data. CTD data have been uploaded to the NCEI data center and is available under the reference ID J9YRT7.</t>
  </si>
  <si>
    <t>10.1002/2015JC010805</t>
  </si>
  <si>
    <t>WOS:000362653600031</t>
  </si>
  <si>
    <t>Zhan, LY; Chen, LQ; Zhang, JX; Yan, JP; Li, YH; Wu, M; Xu, SQ; Lin, Q; Pan, JM; Zhao, J</t>
  </si>
  <si>
    <t>Zhan, Liyang; Chen, Liqi; Zhang, Jiexia; Yan, Jinpei; Li, Yuhong; Wu, Man; Xu, Suqing; Lin, Qi; Pan, Jianming; Zhao, Jun</t>
  </si>
  <si>
    <t>Austral summer N2O sink and source characteristics and their impact factors in Prydz Bay, Antarctica</t>
  </si>
  <si>
    <t>NITROUS-OXIDE PRODUCTION; DISSOLVED N2O; BOTTOM WATER; ANNUAL CYCLE; SEA-ICE; PACIFIC; OCEAN; DENITRIFICATION; CIRCULATION; EMISSIONS</t>
  </si>
  <si>
    <t>The ocean, particularly the Southern Ocean, is considered a significant source of atmospheric N2O, which is an ozone- depleting greenhouse gas. However, there are limited data available supporting this conclusion. Thus, this study sampled and analyzed the oceanic N2O in Prydz Bay. The results demonstrated that the distribution of N2O in this embayment differed between the north and south sides of the Antarctic Slope Front (ASF), corresponding to the different hydrographic characteristics on each side. Although the air to sea N2O flux north of the shelf break is similar to-1.20+/-0.44 mu mol m(-2) d(-1), the source sink characteristics need to be further constrained because the Circumpolar Deep Water (CDW) may occasionally outcrop over the surface layer. The water masses over the continental shelf south of the shelf break may be a temporary or even a permanent N2O sink when sea ice is absent. The air to sea flux south of the shelf break is similar to-3.65+/-0.95 mu mol m(-2) d(-1), and the water column is undersaturated with N2O, which may result from the deep convection of N2O-undersaturated surface water during the winter. Evidence also suggests that the formation of Antarctic Bottom Water (AABW) may provide a pathway for N2O removal from the upper layer at high latitudes.</t>
  </si>
  <si>
    <t>[Zhan, Liyang; Chen, Liqi; Zhang, Jiexia; Yan, Jinpei; Li, Yuhong; Wu, Man; Xu, Suqing; Lin, Qi] State Oceanog Adm, Inst Oceanog 3, Key Lab Global Change &amp; Marine Atmospher Chem, Xiamen, Peoples R China; [Pan, Jianming; Zhao, Jun] State Oceanog Adm, Inst Oceanog 2, Key Lab Marine Ecosyst &amp; Biogeochem, Hangzhou, Zhejiang, Peoples R China</t>
  </si>
  <si>
    <t>Third Institute of Oceanography, Ministry of Natural Resources; Ministry of Natural Resources of the People's Republic of China; Second Institute of Oceanography, Ministry of Natural Resources</t>
  </si>
  <si>
    <t>Zhan, LY (corresponding author), State Oceanog Adm, Inst Oceanog 3, Key Lab Global Change &amp; Marine Atmospher Chem, Xiamen, Peoples R China.</t>
  </si>
  <si>
    <t>zhanliyang@tio.org.cn</t>
  </si>
  <si>
    <t>National Natural Science Foundation of China [41230529, 41476172, 41376193]; Chinese Projects for Investigations and Assessments of the Arctic and Antarctic [01-04, 02-01, 03-04-02]; Chinese International Cooperation Projects [S2015GR1195, IC201201, IC201308, IC201513]</t>
  </si>
  <si>
    <t>National Natural Science Foundation of China(National Natural Science Foundation of China (NSFC)); Chinese Projects for Investigations and Assessments of the Arctic and Antarctic; Chinese International Cooperation Projects</t>
  </si>
  <si>
    <t>This work was supported by the National Natural Science Foundation of China (grants 41230529, 41476172, and 41376193), the Chinese Projects for Investigations and Assessments of the Arctic and Antarctic (grants CHINARE2012-15 for 01-04, 02-01, and 03-04-02), and the Chinese International Cooperation Projects (grants S2015GR1195, IC201201, IC201308, and IC201513). We owe our thanks to Renfeng Ge, who provided the hydrographic data, and Jiuxin Shi and Yongming Sun for discussions about the hydrographic process in Prydz Bay.</t>
  </si>
  <si>
    <t>10.1002/2015JC010944</t>
  </si>
  <si>
    <t>WOS:000362653600032</t>
  </si>
  <si>
    <t>Menietti, JD; Averkamp, TF; Ye, SY; Horne, RB; Woodfield, EE; Shprits, YY; Gurnett, DA; Persoon, AM; Wahlund, JE</t>
  </si>
  <si>
    <t>Menietti, J. D.; Averkamp, T. F.; Ye, S. -Y.; Horne, R. B.; Woodfield, E. E.; Shprits, Y. Y.; Gurnett, D. A.; Persoon, A. M.; Wahlund, J. -E.</t>
  </si>
  <si>
    <t>Survey of Saturn Z-mode emission</t>
  </si>
  <si>
    <t>plasma waves and instabilities; wave; particle interactions; planetary magnetospheres; Z mode at Saturn</t>
  </si>
  <si>
    <t>ELECTRON ACCELERATION; RADIATION BELT; JUPITER; DENSITY; CHORUS; MAGNETOSPHERE; WAVES</t>
  </si>
  <si>
    <t>Because of the role of Z-mode emission in the diffusive scattering and resonant acceleration of electrons, we conduct a survey of intensity in the Saturn inner magnetosphere. Z mode is primarily observed as 5kHz narrowband emission in the lower density regions where the ratio of cyclotron to plasma frequency, f(c)/f(p)&gt;1 to which we limit this study. This occurs at Saturn along the inner edge of the Enceladus torus near the equator and at higher latitudes. We present profiles and parametric fits of intensity as a function of frequency, radius, latitude, and local time. The magnetic field intensity levels are lower than chorus, but the electric field intensities are comparable. We conclude that Z-mode wave-particle interactions may make a significant contribution to electron acceleration in the inner magnetosphere of Saturn, supplementing acceleration produced by chorus emission.</t>
  </si>
  <si>
    <t>[Menietti, J. D.; Averkamp, T. F.; Ye, S. -Y.; Gurnett, D. A.; Persoon, A. M.] Univ Iowa, Dept Phys &amp; Astron, Iowa City, IA 52242 USA; [Horne, R. B.; Woodfield, E. E.] British Antarctic Survey, Cambridge CB3 0ET, England; [Shprits, Y. Y.] Univ Calif Los Angeles, Dept Earth &amp; Space Sci, Los Angeles, CA 90024 USA; [Shprits, Y. Y.] MIT, Dept Earth Atmospher &amp; Planetary Sci, Cambridge, MA USA; [Wahlund, J. -E.] Swedish Inst Space Phys, Uppsala, Sweden</t>
  </si>
  <si>
    <t>University of Iowa; UK Research &amp; Innovation (UKRI); Natural Environment Research Council (NERC); NERC British Antarctic Survey; University of California System; University of California Los Angeles; Massachusetts Institute of Technology (MIT)</t>
  </si>
  <si>
    <t>Menietti, JD (corresponding author), Univ Iowa, Dept Phys &amp; Astron, Iowa City, IA 52242 USA.</t>
  </si>
  <si>
    <t>john-menietti@uiowa.edu</t>
  </si>
  <si>
    <t>Wahlund, Jan-Erik/AAL-6439-2021; Shprits, Yuri Y/I-2174-2014; Horne, Richard B/U-3764-2019; Ye, Shengyi/C-4962-2015; Woodfield, Emma/B-5313-2014</t>
  </si>
  <si>
    <t>Horne, Richard B/0000-0002-0412-6407; Menietti, J. Douglas/0000-0001-6737-251X; Shprits, Yuri/0000-0002-9625-0834; Ye, Shengyi/0000-0002-3064-1082; Woodfield, Emma/0000-0002-0531-8814</t>
  </si>
  <si>
    <t>JPL [1415150]; NASA [NNX11AM36G]; STFC [ST/1001727/1]; NERC; Natural Environment Research Council [bas0100031] Funding Source: researchfish; Science and Technology Facilities Council [ST/I001727/1, ST/M00130X/1] Funding Source: researchfish; NERC [bas0100031] Funding Source: UKRI; STFC [ST/I001727/1, ST/M00130X/1] Funding Source: UKRI</t>
  </si>
  <si>
    <t>JPL; NASA(National Aeronautics &amp; Space Administration (NASA)); STFC(UK Research &amp; Innovation (UKRI)Science &amp; Technology Facilities Council (STFC)); 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</si>
  <si>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wish to thank J. Barnholdt for administrative assistance, J. Chrisinger for help with several figures, and D. Pisa and J. Groene for Figure 3. J.D.M. acknowledges support from JPL contract 1415150 and NASA grant NNX11AM36G. R.B.H. and E.E.W. are funded through STFC grant ST/1001727/1. R.B.H. is funded in the UK by NERC. Cassini RPWS data are archived in calibrated, full resolution at the NASA Planetary Data System website: http://pds.nasa.gov/ds-view/pds/viewDataset.jsp?dsid=CO-V/E/J/S/SS-RPWS-3-RDR-LRFULL-V1.0.</t>
  </si>
  <si>
    <t>10.1002/2015JA021426</t>
  </si>
  <si>
    <t>WOS:000362125300010</t>
  </si>
  <si>
    <t>Najmi, A; Milikh, G; Yampolski, YM; Koloskov, AV; Sopin, AA; Zalizovski, A; Bernhardt, P; Briczinski, S; Siefring, C; Chiang, K; Morton, Y; Taylor, S; Mahmoudian, A; Bristow, W; Ruohoniemi, M; Papadopoulos, K</t>
  </si>
  <si>
    <t>Najmi, A.; Milikh, G.; Yampolski, Y. M.; Koloskov, A. V.; Sopin, A. A.; Zalizovski, A.; Bernhardt, P.; Briczinski, S.; Siefring, C.; Chiang, K.; Morton, Y.; Taylor, S.; Mahmoudian, A.; Bristow, W.; Ruohoniemi, M.; Papadopoulos, K.</t>
  </si>
  <si>
    <t>Studies of the ionospheric turbulence excited by the fourth gyroharmonic at HAARP</t>
  </si>
  <si>
    <t>ionosphere; turbulence; heating; HAARP</t>
  </si>
  <si>
    <t>STIMULATED ELECTROMAGNETIC EMISSION; BROAD UPSHIFTED MAXIMUM; WHISPERING-GALLERY; BRILLOUIN SCATTER; F-REGION; IRREGULARITIES; SPECTRA</t>
  </si>
  <si>
    <t>A study is presented of artificial ionospheric turbulence (AIT) induced by HF heating at High Frequency Active Auroral Research Program (HAARP) using frequencies close to the fourth electron gyroharmonic, in a broad range of radiated powers and using a number of different diagnostics. The diagnostics include GPS scintillations, ground-based stimulated electromagnetic emission (SEE), the HAARP ionosonde, Kodiak radar, and signals received at the Ukrainian Antarctic Station (UAS). The latter allowed analysis of waves scattered by the AIT into the ionospheric waveguide along Earth's terminator, 15.6mm from the HAARP facility. For the first time, the amplitudes of two prominent SEE features, the downshifted maximum and broad upshifted maximum, were observed to saturate at similar to 50% of the maximum HAARP effective radiated power. Nonlinear effects in slant total electron content, SEE, and signals received at UAS at different transmitted frequencies and intensities of the pump wave were observed. The correlations between the data from different detectors demonstrate that the scattered waves reach UAS by the waveguide along the Earth's terminator, and that they were injected into the waveguide by scattering off of artificial striations produced by AIT above HAARP, rather than via direct injection from sidelobe radiation.</t>
  </si>
  <si>
    <t>[Najmi, A.; Milikh, G.; Mahmoudian, A.; Papadopoulos, K.] Univ Maryland, Dept Phys, College Pk, MD 20742 USA; [Najmi, A.; Milikh, G.; Mahmoudian, A.; Papadopoulos, K.] Univ Maryland, Dept Astron, College Pk, MD 20742 USA; [Yampolski, Y. M.; Koloskov, A. V.; Sopin, A. A.; Zalizovski, A.] Natl Acad Sci Ukraine, Inst Radio Astron, Kharkov, Ukraine; [Bernhardt, P.; Briczinski, S.; Siefring, C.] Naval Res Lab, Div Plasma Phys, Washington, DC USA; [Chiang, K.] Cornell Univ, Dept Elect Engn, Ithaca, NY 14853 USA; [Morton, Y.; Taylor, S.] Miami Univ, Dept Elect &amp; Comp Engn, Oxford, OH 45056 USA; [Bristow, W.] Univ Alaska Fairbanks, Inst Geophys, Fairbanks, AK 99775 USA; [Ruohoniemi, M.] Virginia Polytech Inst &amp; State Univ, Dept Elect &amp; Comp Engn, Blacksburg, VA USA</t>
  </si>
  <si>
    <t>University System of Maryland; University of Maryland College Park; University System of Maryland; University of Maryland College Park; National Academy of Sciences Ukraine; Institute of Radio Astronomy of the National Academy of Sciences of Ukraine; United States Department of Defense; United States Navy; Naval Research Laboratory; Cornell University; University System of Ohio; Miami University; University of Alaska System; University of Alaska Fairbanks; Virginia Polytechnic Institute &amp; State University</t>
  </si>
  <si>
    <t>Najmi, A (corresponding author), Univ Maryland, Dept Phys, College Pk, MD 20742 USA.</t>
  </si>
  <si>
    <t>anajmi1@umd.edu</t>
  </si>
  <si>
    <t>Zalizovski, Andriy/ABB-4475-2020; Sopin, Andriy/ABB-8444-2020; Siefring, Carl/AAB-2302-2020; Koloskov, Oleksandr/ABB-4631-2020; Yampolski, Yuri/AAU-3037-2021; yampolskiy, yuriy m/ABA-8387-2020; Morton, Y/JOZ-7718-2023; Zalizovski, Andriy/HII-4602-2022</t>
  </si>
  <si>
    <t>Zalizovski, Andriy/0000-0002-6271-0126; Koloskov, Oleksandr/0000-0001-8921-3851; Zalizovski, Andriy/0000-0002-6271-0126; Papadopoulos, K. (Dennis)/0000-0002-5950-6562; Yampolski, Yuri/0000-0002-6142-5753; Siefring, Carl/0000-0001-7186-4699</t>
  </si>
  <si>
    <t>DARPA [N684228]; MURI [FA95501410019]; NRL 6.1 Base Program; BAE Systems; Div Atmospheric &amp; Geospace Sciences; Directorate For Geosciences [1341918] Funding Source: National Science Foundation</t>
  </si>
  <si>
    <t>DARPA(United States Department of DefenseDefense Advanced Research Projects Agency (DARPA)); MURI(MURI); NRL 6.1 Base Program; BAE Systems; Div Atmospheric &amp; Geospace Sciences; Directorate For Geosciences(National Science Foundation (NSF)NSF - Directorate for Geosciences (GEO))</t>
  </si>
  <si>
    <t>All raw data for this paper are available for download via ftp at http://ftp.astro.umd.edu/pub/SPP/HAARP_Heating_Freq_Sweep_Data/, and Amir C. Najmi (anajmi1@umd.edu) may be contacted directly for access to either the whole data set or subsets of interest. This work was supported by DARPA via a subcontract N684228 with BAE Systems and by the MURI grant FA95501410019. The work at the Naval Research Laboratory was supported by the NRL 6.1 Base Program. We acknowledge very useful discussions with S.M. Grach and Mike McCarrick's expert help in conducting the HAARP experiments.</t>
  </si>
  <si>
    <t>10.1002/2015JA021341</t>
  </si>
  <si>
    <t>WOS:000362125300044</t>
  </si>
  <si>
    <t>Hardman, R; Clilverd, MA; Rodger, CJ; Brundell, JB; Duthie, R; Holzworth, RH; Mann, IR; Milling, DK; Macusova, E</t>
  </si>
  <si>
    <t>Hardman, Rachael; Clilverd, Mark A.; Rodger, Craig J.; Brundell, James B.; Duthie, Roger; Holzworth, Robert H.; Mann, Ian R.; Milling, David K.; Macusova, Eva</t>
  </si>
  <si>
    <t>A case study of electron precipitation fluxes due to plasmaspheric hiss</t>
  </si>
  <si>
    <t>plasmasphere; plasmaspheric hiss; electron precipitation; radiation belt electrons</t>
  </si>
  <si>
    <t>RADIATION BELT; RELATIVISTIC ELECTRONS; GEOMAGNETIC-ACTIVITY; GEM STORMS; ACCELERATION; IONIZATION; DENSITY; MODEL; ZONE</t>
  </si>
  <si>
    <t>We find that during a large geomagnetic storm in October 2011 the trapped fluxes of &gt;30, &gt;100, and &gt;300keV outer radiation belt electrons were enhanced at L=3-4 during the storm main phase. A gradual decay of the trapped fluxes was observed over the following 5-7days, even though no significant precipitation fluxes could be observed in the Polar Orbiting Environmental Satellite (POES) electron precipitation detectors. We use the Antarctic-Arctic Radiation-belt (Dynamic) Deposition-VLF Atmospheric Research Konsortium receiver network to investigate the characteristics of the electron precipitation throughout the storm period. Weak electron precipitation was observed on the dayside for 5-7days, consistent with being driven by plasmaspheric hiss. Using a previously published plasmaspheric hiss-induced electron energy e-folding spectrum of E-0=365keV, the observed radio wave perturbation levels at L=3-4 were found to be caused by &gt;30keV electron precipitation with flux similar to 100elcm(-2)s(-1)sr(-1). The low levels of precipitation explain the lack of response of the POES telescopes to the flux, because of the effect of the POES lower sensitivity limit and ability to measure weak diffusion-driven precipitation. The detection of dayside, inner plasmasphere electron precipitation during the recovery phase of the storm is consistent with plasmaspheric hiss wave-particle interactions and shows that the waves can be a significant influence on the evolution of the outer radiation belt trapped flux that resides inside the plasmapause.</t>
  </si>
  <si>
    <t>[Hardman, Rachael; Clilverd, Mark A.; Duthie, Roger] British Antarctic Survey, NERC, Cambridge, England; [Rodger, Craig J.; Brundell, James B.] Univ Otago, Dept Phys, Dunedin, New Zealand; [Holzworth, Robert H.] Univ Washington, Dept Earth, Seattle, WA 98195 USA; [Holzworth, Robert H.] Univ Washington, Dept Space Sci, Seattle, WA 98195 USA; [Mann, Ian R.; Milling, David K.] Univ Alberta, Dept Phys, Edmonton, AB, Canada; [Macusova, Eva] Inst Atmospher Phys, Dept Space Phys, Prague, Czech Republic</t>
  </si>
  <si>
    <t>UK Research &amp; Innovation (UKRI); Natural Environment Research Council (NERC); NERC British Antarctic Survey; University of Otago; University of Washington; University of Washington Seattle; University of Washington; University of Washington Seattle; University of Alberta; Czech Academy of Sciences; Institute of Atmospheric Physics of the Czech Academy of Sciences</t>
  </si>
  <si>
    <t>Clilverd, MA (corresponding author), British Antarctic Survey, NERC, Cambridge, England.</t>
  </si>
  <si>
    <t>macl@bas.ac.uk</t>
  </si>
  <si>
    <t>Macusova, Eva/W-3000-2018; Rodger, Craig/A-1501-2011; Brundell, James/F-3196-2013</t>
  </si>
  <si>
    <t>Macusova, Eva/0000-0002-0381-9244; Brundell, James/0000-0002-8753-4720; Duthie, Roger/0000-0003-3198-8819; Rodger, Craig J./0000-0002-6770-2707</t>
  </si>
  <si>
    <t>European Union Seventh Framework Programme under PLASMON grant [263218]; New Zealand Marsden Fund; NERC; Natural Environment Research Council [bas0100031] Funding Source: researchfish; NERC [bas0100031] Funding Source: UKRI</t>
  </si>
  <si>
    <t>European Union Seventh Framework Programme under PLASMON grant; New Zealand Marsden Fund(Royal Society of New ZealandMarsden Fund (NZ)); NERC(UK Research &amp; Innovation (UKRI)Natural Environment Research Council (NERC)); Natural Environment Research Council(UK Research &amp; Innovation (UKRI)Natural Environment Research Council (NERC)); NERC(UK Research &amp; Innovation (UKRI)Natural Environment Research Council (NERC))</t>
  </si>
  <si>
    <t>The observations obtained, and research leading to these results, has received funding from the European Union Seventh Framework Programme (FP7/2007-2013) under PLASMON grant agreement 263218. R.H.H. also acknowledges the PLASMON grant 263218 to the University of Washington. Data for this paper are available at the British Antarctic Survey Polar Data Centre (http://psddb.nerc-bas.ac.uk/data/access/). C.J.R. was partly supported by the New Zealand Marsden Fund. M.A.C., R.L.H., and R.D. would also like to acknowledge NERC funding as part of the Space Weather and Atmosphere Programme at the British Antarctic Survey.</t>
  </si>
  <si>
    <t>10.1002/2015JA021429</t>
  </si>
  <si>
    <t>WOS:000362125300051</t>
  </si>
  <si>
    <t>Chen, C; Linse, K; Copley, JT; Rogers, AD</t>
  </si>
  <si>
    <t>Chen, Chong; Linse, Katrin; Copley, Jonathan T.; Rogers, Alex D.</t>
  </si>
  <si>
    <t>The 'scaly-foot gastropod': a new genus and species of hydrothermal vent-endemic gastropod (Neomphalina: Peltospiridae) from the Indian Ocean</t>
  </si>
  <si>
    <t>JOURNAL OF MOLLUSCAN STUDIES</t>
  </si>
  <si>
    <t>ARCHAEOGASTROPOD LIMPETS; DNA-SEQUENCES; PHYLOGENY; ANATOMY; SUPERFAMILY; SELECTION; BLOCKS; FAMILY; SEEPS; TAXA</t>
  </si>
  <si>
    <t>The 'scaly-foot gastropod' is widely recognized as an iconic species of deep-sea hydrothermal vent ecosystems in the Indian Ocean. Uniquely among gastropods, this species carries hundreds of dermal sclerites on its foot and these scales can be covered in iron sulphide that also covers its shell, making it the only extant metazoan known to utilize iron sulphide as part of its skeleton. It has not been formally named, despite attracting great attention from both scientists and the general public alike, although a manuscript name has occasionally been used in various sources. The RRS James Cook JC67 expedition in 2011 sampled the biota of the Longqi vent field (37 degrees 47.027'S, 49 degrees 38.963'E), Southwest Indian Ridge, for the first time, revealing a previously unknown population of the 'scaly-foot gastropod'. The present study gives a formal name to the 'scaly-foot gastropod', Chrysomallon squamiferum n. gen., n. sp. with Longqi vent field as the type locality. The erection of the new monotypic genus is supported by both morphological and molecular characterization, differentiating it from existing genera of the family Peltospiridae. Analysis of the cytochrome c oxidase subunit I gene reveals a 24-26% pairwise distance between Chrysomallon and five other genera of Peltospiridae, while the range among those five genera is 14-25%. The new genus is placed in the family Peltospiridae based on morphological characteristics, including lack of sexual dimorphism, no copulatory organ, the distal end of marginal teeth being subdivided into many denticles and the ventral margin of the gill leaflets carrying a series of bulges. A five-gene Bayesian phylogenetic reconstruction does not contradict the placement within Peltospiridae.</t>
  </si>
  <si>
    <t>[Chen, Chong; Rogers, Alex D.] Univ Oxford, Dept Zool, Oxford OX1 3PS, England; [Linse, Katrin] British Antarctic Survey, Cambridge CB3 0ET, England; [Copley, Jonathan T.] Univ Southampton, Natl Oceanog Ctr, Ocean &amp; Earth Sci, Southampton SO14 3ZH, Hants, England</t>
  </si>
  <si>
    <t>University of Oxford; UK Research &amp; Innovation (UKRI); Natural Environment Research Council (NERC); NERC British Antarctic Survey; University of Southampton; NERC National Oceanography Centre</t>
  </si>
  <si>
    <t>Chen, C (corresponding author), Univ Oxford, Dept Zool, Tinbergen Bldg,South Parks Rd, Oxford OX1 3PS, England.</t>
  </si>
  <si>
    <t>Copley, Jon/I-7076-2012</t>
  </si>
  <si>
    <t>Copley, Jon/0000-0003-3333-4325; Rogers, Alex David/0000-0002-4864-2980; Linse, Katrin/0000-0003-3477-3047</t>
  </si>
  <si>
    <t>NERC [NE/H012087/1]; NERC [NE/H012087/1, bas0100026] Funding Source: UKRI; Natural Environment Research Council [NE/H012087/1, bas0100026] Funding Source: researchfish</t>
  </si>
  <si>
    <t>We would like to express our greatest gratitude to Dr Anders Waren of the Swedish Museum of Natural History for kindly allowing us to name this fascinating species, and for suggesting to keep the name he originally assigned to it. Dr Julia D. Sigwart (Queen's University Belfast, Marine Laboratory) deserves special mention and recognition for her key aid in taxonomic discussion and great support of the project. We owe a great deal to Dr Sammy De Grave (Oxford University Museum of Natural History) for providing taxonomic opinions, as well as Dr Hiromi Watanabe (Japan Agency for Marine-Earth Science and Technology) for making COI sequences from Kairei and Solitaire vent fields available on DNA Data Bank of Japan and GenBank. We thank David Shale and Pete Bucktrout (British Antarctic Survey) for specimen photography. This work was funded by NERC Small Research Grant (NE/H012087/1) to J.T.C. We are greatly indebted to the Master and crew of the RRS James Cook expedition JC67 for their great support of scientific activity during the cruise, as well as the pilots and technical teams of the Kiel 6000 ROV for their sampling efforts. We also thank the staff of the UK National Marine Facilities at the National Oceanography Centre for logistic and shipboard support. Finally, we would like to thank two anonymous reviewers who helped to improve this paper.</t>
  </si>
  <si>
    <t>0260-1230</t>
  </si>
  <si>
    <t>1464-3766</t>
  </si>
  <si>
    <t>J MOLLUS STUD</t>
  </si>
  <si>
    <t>J. Molluscan Stud.</t>
  </si>
  <si>
    <t>10.1093/mollus/eyv013</t>
  </si>
  <si>
    <t>CP1TB</t>
  </si>
  <si>
    <t>WOS:000359657200002</t>
  </si>
  <si>
    <t>SLOW-FLOW HABITATS AS REFUGIA FOR COASTAL CALCIFIERS FROM OCEAN ACIDIFICATION</t>
  </si>
  <si>
    <t>calcification; coralline algae; diffusion boundary layer; ocean acidification; refugia; seaweed; shellfish; water motion</t>
  </si>
  <si>
    <t>KELP MACROCYSTIS-PYRIFERA; WATER MOTION; INORGANIC CARBON; GAMETE RELEASE; GROWTH-RATE; CORAL; PHOTOSYNTHESIS; CALCIFICATION; MACROALGAE; ALGAE</t>
  </si>
  <si>
    <t>The pH of the oceans' surface water is dropping, termed ocean acidification (OA), and the 0.4 unit reduction in pH by 2100 is projected to negatively impact benthic coastal organisms that produce calcium carbonate skeletons. Research has focussed on identifying species that are susceptible to OA, but there is an urgent need to discover refuge habitats that will afford protection to vulnerable species. The susceptibility of calcium carbonate skeletons to dissolution by OA depends on the pH at their surface, and this is controlled by the interaction between seawater velocity and organismal metabolism. This perspective considers how seawater velocity modifies the responses of calcifying organisms (seaweed, shellfish, and tropical corals) to OA through its action on controlling diffusion boundary layer thickness and thereby the pH and calcium carbonate saturation state (O) at the organisms' surface. Evidence is presented to support the idea that slow-flow habitats, such as wave-sheltered bays or the within canopies of seaweed/seagrass beds, might provide inexpensive refugia from OA for vulnerable coastal calcifiers.</t>
  </si>
  <si>
    <t>Hurd, Catriona/J-2411-2013</t>
  </si>
  <si>
    <t>Hurd, Catriona/0000-0001-9965-4917</t>
  </si>
  <si>
    <t>10.1111/jpy.12307</t>
  </si>
  <si>
    <t>CP5JY</t>
  </si>
  <si>
    <t>WOS:000359918800002</t>
  </si>
  <si>
    <t>Wilchinsky, AV; Heorton, HDBS; Feltham, DL; Holland, PR</t>
  </si>
  <si>
    <t>Wilchinsky, Alexander V.; Heorton, Harold D. B. S.; Feltham, Daniel L.; Holland, Paul R.</t>
  </si>
  <si>
    <t>Study of the Impact of Ice Formation in Leads upon the Sea Ice Pack Mass Balance Using a New Frazil and Grease Ice Parameterization</t>
  </si>
  <si>
    <t>CLIMATE SYSTEM MODEL; MIXED-LAYER; DYNAMICS; THICKNESS; SIMULATION; ECMWF; FIELD</t>
  </si>
  <si>
    <t>Leads are cracks in sea ice that often form because of deformation. During winter months, leads expose the ocean to the cold atmosphere, resulting in supercooling and the formation of frazil ice crystals within the mixed layer. Here the authors investigate the role of frazil ice formation in leads on the mass balance of the sea ice pack through the incorporation of a new module into the Los Alamos sea ice model (CICE). The frazil ice module considers an initial cooling of leads followed by a steady-state formation of uniformly distributed single size frazil ice crystals that precipitate to the ocean surface as grease ice. The grease ice is pushed against one of the lead edges by wind and water drag that the authors represent through a variable collection thickness for new sea ice. Simulations of the sea ice cover in the Arctic and Antarctic are performed and compared to a model that treats leads the same as the open ocean. The processes of ice formation in the new module slow down the refreezing of leads, resulting in a longer period of frazil ice production. The fraction of frazil-derived sea ice increases from 10% to 50%, corresponding better to observations. The new module has higher ice formation rates in areas of high ice concentration and thus has a greater impact within multiyear ice than it does in the marginal seas. The thickness of sea ice in the central Arctic increases by over 0.5 m, whereas within the Antarctic it remains unchanged.</t>
  </si>
  <si>
    <t>[Wilchinsky, Alexander V.; Heorton, Harold D. B. S.; Feltham, Daniel L.] Univ Reading, Dept Meteorol, Ctr Polar Observat &amp; Modelling, Reading RG6 6AH, Berks, England; [Holland, Paul R.] British Antarctic Survey, Cambridge CB3 0ET, England</t>
  </si>
  <si>
    <t>University of Reading; UK Research &amp; Innovation (UKRI); Natural Environment Research Council (NERC); NERC British Antarctic Survey</t>
  </si>
  <si>
    <t>Heorton, HDBS (corresponding author), Univ Reading, Dept Meteorol, Ctr Polar Observat &amp; Modelling, Reading RG6 6AH, Berks, England.</t>
  </si>
  <si>
    <t>h.heorton@reading.ac.uk</t>
  </si>
  <si>
    <t>Holland, Paul R/G-2796-2012</t>
  </si>
  <si>
    <t>Feltham, Daniel/0000-0003-2289-014X; Heorton, Harold/0000-0003-0447-7028</t>
  </si>
  <si>
    <t>Natural Environment Research Council [cpom30001, NE/I023708/2, bas0100033, NE/I025867/1, NE/I023708/1] Funding Source: researchfish; NERC [NE/I025867/1, bas0100033, NE/I023708/2, cpom30001, NE/I023708/1] Funding Source: UKRI</t>
  </si>
  <si>
    <t>10.1175/JPO-D-14-0184.1</t>
  </si>
  <si>
    <t>CP3AT</t>
  </si>
  <si>
    <t>WOS:000359749900004</t>
  </si>
  <si>
    <t>Li, YJ; Li, JP; Jin, FF; Zhao, S</t>
  </si>
  <si>
    <t>Li, Yanjie; Li, Jianping; Jin, Fei Fei; Zhao, Sen</t>
  </si>
  <si>
    <t>Interhemispheric Propagation of Stationary Rossby Waves in a Horizontally Nonuniform Background Flow</t>
  </si>
  <si>
    <t>Atmospheric circulation; Dynamics; Rossby waves; Stationary waves; Streamfunction; Teleconnections</t>
  </si>
  <si>
    <t>ASIAN SUMMER MONSOON; NORTHERN-HEMISPHERE WINTER; 500-MB HEIGHT FLUCTUATIONS; TROPICAL WESTERN PACIFIC; STEADY LINEAR-RESPONSE; SHORT-TIME SCALES; SOUTHERN-HEMISPHERE; PLANETARY-WAVES; TELECONNECTION PATTERNS; BAROTROPIC ATMOSPHERE</t>
  </si>
  <si>
    <t>Significant interhemispheric teleconnections are identified that span the tropical easterlies in the boreal summer 300-hPa streamfunction, such as the North Africa-Antarctic (NAA) and the North Pacific-South America (NPSA) patterns. These patterns are not supported by traditional wave theory, since stationary waves in a basic state without meridional wind would be trapped in the easterlies. To describe the interhemispheric responses more realistically, two-dimensional spherical Rossby wave theory in a horizontally nonuniform basic state is considered. Conditions sufficient for the existence of one propagating wave are obtained, and the meridional group velocity of the wave is shown to have the same direction as the meridional basic wind at the traditional critical latitude. It is concluded that stationary waves with a specific wavelength can propagate across the easterlies from south (north) to north (south) via southerly (northerly) flows. Hence, energy transport by stationary waves on a horizontally nonuniform basic state may produce interhemispheric responses that could pass through the tropical easterly belt.The wave theory and a barotropic model are then applied to idealized and climatological flows. Model results agree well with the theory. In boreal winter and summer, cross-equatorial flows steer stationary waves propagating from one hemisphere to the other across the tropical easterlies, especially over the Australian-Asian monsoon region. It seems that the large-scale monsoonal background flows play a critical role in the interhemispheric teleconnection. Additionally, the wave ray trajectory and model results suggest that the NAA pattern may result from Rossby wave energy dispersion.</t>
  </si>
  <si>
    <t>[Li, Yanjie; Zhao, Sen] Chinese Acad Sci, Inst Atmospher Phys, State Key Lab Numer Modeling Atmospher Sci &amp; Geop, Beijing, Peoples R China; [Li, Jianping] Beijing Normal Univ, Coll Global Change &amp; Earth Syst Sci, Beijing 100875, Peoples R China; [Li, Jianping] Joint Ctr Global Change Studies, Beijing, Peoples R China; [Jin, Fei Fei] Univ Hawaii Manoa, Sch Ocean &amp; Earth Sci &amp; Technol, Honolulu, HI USA; [Zhao, Sen] Univ Chinese Acad Sci, Beijing, Peoples R China</t>
  </si>
  <si>
    <t>Chinese Academy of Sciences; Institute of Atmospheric Physics, CAS; Beijing Normal University; University of Hawaii System; University of Hawaii Manoa; Chinese Academy of Sciences; University of Chinese Academy of Sciences, CAS</t>
  </si>
  <si>
    <t>Li, Yanjie/JBJ-6991-2023; Zhao, Sen/S-3113-2016; Li, Yanjie/J-3539-2019; Li, Jianping/I-2661-2012</t>
  </si>
  <si>
    <t>Zhao, Sen/0000-0002-5597-1109; Li, Yanjie/0000-0001-6091-0303</t>
  </si>
  <si>
    <t>National Natural Science Foundation of China [41030961, 41205034, 91437216]</t>
  </si>
  <si>
    <t>The author Yanjie Li acknowledges useful discussions with David Karoly, Fred Kucharski, and In-Sik Kang during her visit to the Abdus Salam International Centre for Theoretical Physics (ICTP). We thank the European Centre for Medium-Range Weather Forecasts for providing the reanalysis data. This work is supported by the National Natural Science Foundation of China (Grants 41030961, 41205034, and 91437216).</t>
  </si>
  <si>
    <t>10.1175/JAS-D-14-0239.1</t>
  </si>
  <si>
    <t>WOS:000359350400022</t>
  </si>
  <si>
    <t>Xavier, JC; Allcock, AL; Cherel, Y; Lipinski, MR; Pierce, GJ; Rodhouse, PGK; Rosa, R; Shea, EK; Strugnell, JM; Vidal, EAG; Villanueva, R; Ziegler, A</t>
  </si>
  <si>
    <t>Xavier, Jose C.; Allcock, A. Louise; Cherel, Yves; Lipinski, Marek R.; Pierce, Graham J.; Rodhouse, Paul G. K.; Rosa, Rui; Shea, Elizabeth K.; Strugnell, Jan M.; Vidal, Erica A. G.; Villanueva, Roger; Ziegler, Alexander</t>
  </si>
  <si>
    <t>Future challenges in cephalopod research</t>
  </si>
  <si>
    <t>JOURNAL OF THE MARINE BIOLOGICAL ASSOCIATION OF THE UNITED KINGDOM</t>
  </si>
  <si>
    <t>cephalopods; future research; trophic interactions; morphology; genetics; aquaculture; fisheries; climate change</t>
  </si>
  <si>
    <t>SQUID DOSIDICUS-GIGAS; NAUTILUS-POMPILIUS MOLLUSCA; STABLE-ISOTOPE RATIOS; JUMBO SQUID; CLIMATE-CHANGE; LABORATORY OBSERVATIONS; EMBRYONIC-DEVELOPMENT; MARINE-INVERTEBRATES; POPULATION-STRUCTURE; OCEAN ACIDIFICATION</t>
  </si>
  <si>
    <t>Cephalopods (Mollusca: Cephalopoda) play an important role as keystone invertebrates in various marine ecosystems, as well as being a valuable fisheries resource. At the World Malacological Congress, held 21 - 28 July 2013 in Ponta Delgada, Azores, Portugal, a number of cephalopod experts convened to honour the contribution of the late Malcolm R. Clarke, FRS (1930 - 2013) to cephalopod research. Endorsed by the Cephalopod International Advisory Council (CIAC), the meeting discussed some of the major challenges that cephalopod research will face in the future. These challenges were identified as follows: (1) to find new ways to ascertain the trophic role and food web links of cephalopods using hard tissues, stable isotopes and novel concepts in theoretical ecology; (2) to explore new approaches to the study of cephalopod morphology; (3) to further develop cephalopod aquaculture research; (4) to find new ways to ascertain cephalopod adaptation and response to environmental change; (5) to strengthen cephalopod genetics research; and (6) to develop new approaches for cephalopod fisheries and conservation. The present paper presents brief reviews on these topics, followed by a discussion of the general challenges that cephalopod research is bound to face in the near future. By contributing to initiatives both within CIAC and independent of CIAC, the principle aim of the paper is to stimulate future cephalopod research.</t>
  </si>
  <si>
    <t>[Xavier, Jose C.] Univ Coimbra, Inst Marine Res, P-3001401 Coimbra, Portugal; [Xavier, Jose C.; Rodhouse, Paul G. K.] NERC, British Antarctic Survey, Cambridge CB3 0ET, England; [Allcock, A. Louise] Natl Univ Ireland Galway, Zool, Sch Nat Sci, Galway, Ireland; [Allcock, A. Louise] Natl Univ Ireland Galway, Ryan Inst, Galway, Ireland; [Cherel, Yves] CNRS ULR, UMR 7372, Ctr Etudes Biol Chize, F-79360 Villiers En Bois, France; [Lipinski, Marek R.] Rhodes Univ, Dept Ichthyol &amp; Fisheries Sci, ZA-6140 Grahamstown, South Africa; [Pierce, Graham J.] Univ Aberdeen, Oceanlab, Newburgh AB41 6AA, Aberdeen, Scotland; [Pierce, Graham J.] Univ Aveiro, Ctr Environm &amp; Marine Studies CESAM, Dept Biol, P-3810193 Aveiro, Portugal; [Rosa, Rui] Univ Lisbon, Ctr Oceanog, Lab Maritimo Guia, P-2750374 Cascais, Portugal; [Shea, Elizabeth K.] Delaware Museum Nat Hist, Dept Mollusks, Wilmington, DE 19087 USA; [Strugnell, Jan M.] La Trobe Univ, La Trobe Inst Mol Sci, Dept Genet, Bundoora, Vic 3086, Australia; [Vidal, Erica A. G.] Univ Fed Parana, Ctr Estudos Mar, BR-83255976 Pontal Do Parana, PR, Brazil; [Villanueva, Roger] CSIC, Inst Ciencies Mar, E-08003 Barcelona, Spain; [Ziegler, Alexander] Ziegler Biosolut, D-79761 Waldshut Tiengen, Germany</t>
  </si>
  <si>
    <t>Universidade de Coimbra; UK Research &amp; Innovation (UKRI); Natural Environment Research Council (NERC); NERC British Antarctic Survey; Ollscoil na Gaillimhe-University of Galway; Ollscoil na Gaillimhe-University of Galway; Centre National de la Recherche Scientifique (CNRS); CNRS - Institute of Ecology &amp; Environment (INEE); Rhodes University; University of Aberdeen; Universidade de Aveiro; Universidade de Lisboa; La Trobe University; Universidade Federal do Parana; Consejo Superior de Investigaciones Cientificas (CSIC); CSIC - Centro Mediterraneo de Investigaciones Marinas y Ambientales (CMIMA); CSIC - Instituto de Ciencias del Mar (ICM)</t>
  </si>
  <si>
    <t>Xavier, JC (corresponding author), Univ Coimbra, Inst Marine Res, P-3001401 Coimbra, Portugal.</t>
  </si>
  <si>
    <t>jccx@cantab.net</t>
  </si>
  <si>
    <t>Strugnell, Jan M/P-9921-2016; Rosa, Rui/A-4580-2009; Xavier, José/KFB-6739-2024; Allcock, Louise/A-7359-2012; Villanueva, Roger/D-6911-2011; Pierce, Graham/A-5404-2018; Vidal, Erica Alves Gonzalez/C-9032-2013</t>
  </si>
  <si>
    <t>Rosa, Rui/0000-0003-2801-5178; Allcock, Louise/0000-0002-4806-0040; Villanueva, Roger/0000-0001-8122-3449; Ziegler, Alexander/0000-0002-7572-6872; /0000-0002-9621-6660; Shea, Elizabeth/0000-0002-5379-8410; Pierce, Graham/0000-0002-4744-4501; Strugnell, Jan/0000-0003-2994-637X; Vidal, Erica Alves Gonzalez/0000-0003-4781-8670</t>
  </si>
  <si>
    <t>0025-3154</t>
  </si>
  <si>
    <t>1469-7769</t>
  </si>
  <si>
    <t>J MAR BIOL ASSOC UK</t>
  </si>
  <si>
    <t>J. Mar. Biol. Assoc. U.K.</t>
  </si>
  <si>
    <t>10.1017/S0025315414000782</t>
  </si>
  <si>
    <t>CO0NJ</t>
  </si>
  <si>
    <t>WOS:000358848400016</t>
  </si>
  <si>
    <t>Harris, RMB; McQuillan, P; Hughes, L</t>
  </si>
  <si>
    <t>Harris, Rebecca M. B.; McQuillan, Peter; Hughes, Lesley</t>
  </si>
  <si>
    <t>The effectiveness of common thermo-regulatory behaviours in a cool temperate grasshopper</t>
  </si>
  <si>
    <t>Behaviour; Climate change; Orthoptera; Thermal tolerance</t>
  </si>
  <si>
    <t>BODY-TEMPERATURE; ALTITUDINAL VARIATION; DESERT GRASSHOPPER; HABITAT SELECTION; THERMOREGULATION; ORTHOPTERA; ADAPTATION; ECTOTHERMS; EVOLUTION; MELANISM</t>
  </si>
  <si>
    <t>Behavioural thermoregulation has the potential to alleviate the short-term impacts of climate change on some small ectotherms, without the need for changes to species distributions or genetic adaptation. We illustrate this by measuring the effect of behaviour in a cool temperate species of grasshopper (Phaulacridium vittatum) over a range of spatial and temporal scales in laboratory and natural field experiments. Microhabitat selection at the site scale was tested in free-ranging grasshoppers and related to changing thermal quality over a daily period. Artificial warming experiments were then used to measure the temperature at which common thermoregulatory behaviours are initiated and the subsequent reductions in body temperature. Behavioural means such as timing of activity, choice of substrates with optimum surface temperatures, shade seeking and postural adjustments (e.g. stilting, vertical orientation) were found to be highly effective at maintaining preferred body temperature. The maximum voluntarily tolerated temperature (MVT) was determined to be 44 degrees C +/- 0.4 degrees C, indicating the upper bounds of thermal flexibility in this species. Behavioural thermoregulation effectively enables small ectotherms to regulate exposure to changing environmental temperatures and utilize the spatially and temporally heterogeneous environments they occupy. Species such as the wingless grasshopper, although adapted to cool temperate conditions, are likely to be well equipped to respond successfully to coarse scale climate change. (C) 2015 Elsevier Ltd. All rights reserved.</t>
  </si>
  <si>
    <t>[Harris, Rebecca M. B.] Univ Tasmania, Antarctic Climate Ecosyst CRC, Hobart, Tas 7001, Australia; [McQuillan, Peter] Univ Tasmania, Sch Geog &amp; Environm Studies, Hobart, Tas 7001, Australia; [Hughes, Lesley] Macquarie Univ, Dept Biol Sci, N Ryde, NSW 2109, Australia</t>
  </si>
  <si>
    <t>University of Tasmania; University of Tasmania; Macquarie University</t>
  </si>
  <si>
    <t>Harris, RMB (corresponding author), Univ Tasmania, Antarctic Climate Ecosyst CRC, Private Bag 80, Hobart, Tas 7001, Australia.</t>
  </si>
  <si>
    <t>rmharris@utas.edu.au</t>
  </si>
  <si>
    <t>McQuillan, Peter B/C-2373-2014; Harris, Rebecca/N-2790-2013</t>
  </si>
  <si>
    <t>Harris, Rebecca/0000-0002-6426-2179; Hughes, Lesley/0000-0003-0313-9780; McQuillan, Peter/0000-0001-6334-372X</t>
  </si>
  <si>
    <t>ANZ (Australia and New Zealand Banking Group) Holsworth Wildlife Research Endowment</t>
  </si>
  <si>
    <t>R.M.B.H. was the recipient of an Australian Postgraduate Award, and the study was partially funded by ANZ (Australia and New Zealand Banking Group) Holsworth Wildlife Research Endowment.</t>
  </si>
  <si>
    <t>10.1016/j.jtherbio.2015.06.001</t>
  </si>
  <si>
    <t>CQ7HJ</t>
  </si>
  <si>
    <t>WOS:000360773300010</t>
  </si>
  <si>
    <t>Kim, HD; Yun, CW; Choi, JI; Han, SJ</t>
  </si>
  <si>
    <t>Kim, Hyun-do; Yun, Chul-Won; Choi, Jong-il; Han, Se Jong</t>
  </si>
  <si>
    <t>Optimization of Medium for Protease Production by Enterobacteriaceae sp. PAMC 25617 by Response Surface Methodology</t>
  </si>
  <si>
    <t>KOREAN CHEMICAL ENGINEERING RESEARCH</t>
  </si>
  <si>
    <t>Antarctic Microorganism; Protease; Response Surface Methodology</t>
  </si>
  <si>
    <t>This study was conducted to optimize the medium composition for cold-adaptive protease production of Enterobacteriaceae sp. by response surface methodology (RSM). Yeast extract, and TritonX-100 were identified as the significant factors affecting protease from one-factor-at-a-time method. RSM studies for optimizing protease production of Enterobacteriaceae sp. have been carried out for three parameters including yeast extract concentration, TritonX-100 concentration, and culture pH. These significant factors were optimized as 6.690 g/L yeast extract, 0.018 g/L Triton (TM) T X-10, and pH 6.677. The experimentally obtained protease activity was 8.03 U/L, and it became 1.5-fold increase before optimization.</t>
  </si>
  <si>
    <t>[Kim, Hyun-do; Yun, Chul-Won; Choi, Jong-il] Chonnam Natl Univ, Dept Biotechnol &amp; Bioengn, 77 Yongbong Ro, Gwangju 500757, South Korea; [Han, Se Jong] Korea Polar Res Inst, Div Life Sci, Incheon 406840, South Korea</t>
  </si>
  <si>
    <t>Chonnam National University; Korea Polar Research Institute (KOPRI)</t>
  </si>
  <si>
    <t>Choi, JI (corresponding author), Chonnam Natl Univ, Dept Biotechnol &amp; Bioengn, 77 Yongbong Ro, Gwangju 500757, South Korea.</t>
  </si>
  <si>
    <t>choiji01@chonnam.ac.kr</t>
  </si>
  <si>
    <t>HAN, Se Jong/0000-0001-9576-2179</t>
  </si>
  <si>
    <t>KOREAN INSTITUTE CHEMICAL ENGINEERS</t>
  </si>
  <si>
    <t>F.5, 119, ANAM-RO, SEONGBUK-GU, SEOUL 136-075, SOUTH KOREA</t>
  </si>
  <si>
    <t>0304-128X</t>
  </si>
  <si>
    <t>2233-9558</t>
  </si>
  <si>
    <t>KOREAN CHEM ENG RES</t>
  </si>
  <si>
    <t>Korean Chem. Eng. Res.</t>
  </si>
  <si>
    <t>10.9713/kcer.2015.53.4.524</t>
  </si>
  <si>
    <t>Engineering, Chemical</t>
  </si>
  <si>
    <t>VD7DV</t>
  </si>
  <si>
    <t>WOS:000437566000020</t>
  </si>
  <si>
    <t>Wu, B; Wiese, J; Labes, A; Kramer, A; Schmaljohann, R; Imhoff, JF</t>
  </si>
  <si>
    <t>Wu, Bin; Wiese, Jutta; Labes, Antje; Kramer, Annemarie; Schmaljohann, Rolf; Imhoff, Johannes F.</t>
  </si>
  <si>
    <t>Lindgomycin, an Unusual Antibiotic Polyketide from a Marine Fungus of the Lindgomycetaceae</t>
  </si>
  <si>
    <t>marine fungi; lindgomycin; antibiotic; MRSA; marine natural products</t>
  </si>
  <si>
    <t>NATURAL-PRODUCTS; SP. NOV.; IDENTIFICATION; PLEOSPORALES; EQUISETIN; GEN.</t>
  </si>
  <si>
    <t>An unusual polyketide with a new carbon skeleton, lindgomycin (1), and the recently described ascosetin (2) were extracted from mycelia and culture broth of different Lindgomycetaceae strains, which were isolated from a sponge of the Kiel Fjord in the Baltic Sea (Germany) and from the Antarctic. Their structures were established by spectroscopic means. In the new polyketide, two distinct domains, a bicyclic hydrocarbon and a tetramic acid, are connected by a bridging carbonyl. The tetramic acid substructure of compound 1 was proved to possess a unique 5-benzylpyrrolidine-2,4-dione unit. The combination of 5-benzylpyrrolidine-2,4-dione of compound 1 in its tetramic acid half and 3-methylbut-3-enoic acid pendant in its decalin half allow the assignment of a new carbon skeleton. The new compound 1 and ascosetin showed antibiotic activities with IC50 value of 5.1 (+/- 0.2) mu M and 3.2 (+/- 0.4) M, respectively, against methicillin-resistant Staphylococcus aureus.</t>
  </si>
  <si>
    <t>[Wu, Bin; Wiese, Jutta; Labes, Antje; Kramer, Annemarie; Schmaljohann, Rolf; Imhoff, Johannes F.] GEOMAR Helmholtz Ctr Ocean Res Kiel, D-24105 Kiel, Germany; [Wu, Bin] Zhejiang Univ, Ocean Coll, Hangzhou 310058, Zhejiang, Peoples R China</t>
  </si>
  <si>
    <t>Helmholtz Association; GEOMAR Helmholtz Center for Ocean Research Kiel; Zhejiang University</t>
  </si>
  <si>
    <t>Imhoff, JF (corresponding author), GEOMAR Helmholtz Ctr Ocean Res Kiel, D-24105 Kiel, Germany.</t>
  </si>
  <si>
    <t>wubin@zju.edu.cn; jwiese@geomar.de; alabes@geomar.de; akramer@geomar.de; rschmaljohann@geomar.de; jimhoff@geomar.de</t>
  </si>
  <si>
    <t>Labes, Antje/AGK-3198-2022; Imhoff, Johannes F./D-2515-2010; Imhoff, Johannes F./AAB-8765-2022; Wiese, Jutta/B-9076-2012</t>
  </si>
  <si>
    <t>Labes, Antje/0000-0002-4807-3378; Imhoff, Johannes F./0000-0001-8789-0728; Imhoff, Johannes F./0000-0001-8789-0728;</t>
  </si>
  <si>
    <t>National Science Foundation of China (NSFC) [81273386]</t>
  </si>
  <si>
    <t>National Science Foundation of China (NSFC)(National Natural Science Foundation of China (NSFC))</t>
  </si>
  <si>
    <t>Special thanks to B. Ohlendorf for her recommendation to study the promising metabolites and her support in the structure elucidation. The authors gratefully thank G. Kohlmeyer-Yilmaz, M. Hoftmann, as well as F. Sonnichsen (Otto Diels Institute of Organic Chemistry, Christian-Albrechts-Universitat zu Kiel, Germany) for running and processing NMR experiments. Special thanks to J. Grotzinger (Institute of Biochemistry, Christian-Albrechts-Universitat zu Kiel, Germany) for the advice in measuring the CD spectra. The authors are also very grateful to A. Erhard, J. Timm, R. Koppe, and S. Malien for their technical assistance, as well as to V. Oesker for fruitful discussions. Thanks to the Institute of Clinical Molecular Biology in Kiel for providing Sanger sequencing as supported in part by the DFG Cluster of Excellence Inflammation at Interfaces and Future Ocean. Thanks also to National Science Foundation of China (NSFC; 81273386) for support to Bin Wu.</t>
  </si>
  <si>
    <t>10.3390/md13084617</t>
  </si>
  <si>
    <t>CQ5EI</t>
  </si>
  <si>
    <t>Green Submitted, gold, Green Published, Green Accepted</t>
  </si>
  <si>
    <t>WOS:000360625700003</t>
  </si>
  <si>
    <t>Pucciarelli, S; Devaraj, RR; Mancini, A; Ballarini, P; Castelli, M; Schrallhammer, M; Petroni, G; Miceli, C</t>
  </si>
  <si>
    <t>Pucciarelli, Sandra; Devaraj, Raghul Rajan; Mancini, Alessio; Ballarini, Patrizia; Castelli, Michele; Schrallhammer, Martina; Petroni, Giulio; Miceli, Cristina</t>
  </si>
  <si>
    <t>Microbial Consortium Associated with the Antarctic Marine Ciliate Euplotes focardii: An Investigation from Genomic Sequences</t>
  </si>
  <si>
    <t>MICROBIAL ECOLOGY</t>
  </si>
  <si>
    <t>Psychrophile; Proteobacteria; Bacteroidetes; Catabolism; Gene transfer; Antifreeze proteins</t>
  </si>
  <si>
    <t>FRANCISELLA-TULARENSIS; TRANSPOSABLE ELEMENTS; THERMAL-ADAPTATION; GENE-TRANSFER; SP. NOV.; BACTERIA; CILIOPHORA; SYMBIONTS; PROTEIN; RECLASSIFICATION</t>
  </si>
  <si>
    <t>We report the characterization of the bacterial consortium associated to Euplotes focardii, a strictly psychrophilic marine ciliate that was maintained in laboratory cultures at 4 A degrees C after its first isolation from Terra Nova Bay, in Antarctica. By Illumina genome analyser, we obtained 11,179 contigs of potential prokaryotic origin and classified them according to the NCBI's prokaryotic attributes table. The majority of these sequences correspond to either Bacteroidetes (16 %) or Proteobacteria (78 %). The latter were dominated by gamma- (39 %, including sequences related to the pathogenic genus Francisella), and alpha-proteobacterial (30 %) sequences. Analysis of the Pfam domain family and Gene Ontology term variation revealed that the most frequent terms that appear unique to this consortium correspond to proteins involved in transmembrane transporter activity and oxidoreductase activity. Furthermore, we identified genes that encode for enzymes involved in the catabolism of complex substance for energy reserves. We also characterized members of the transposase and integrase superfamilies, whose role in bacterial evolution is well documented, as well as putative antifreeze proteins. Antibiotic treatments of E. focardii cultures delayed the cell division of the ciliate. To conclude, our results indicate that this consortium is largely represented by bacteria derived from the original Antarctic sample and may contribute to the survival of E. focardii in laboratory condition. Furthermore, our results suggest that these bacteria may have a more general role in E. focardii survival in its natural cold and oxidative environment.</t>
  </si>
  <si>
    <t>[Pucciarelli, Sandra; Devaraj, Raghul Rajan; Mancini, Alessio; Ballarini, Patrizia; Miceli, Cristina] Univ Camerino, Sch Biosci &amp; Vet Med, I-62032 Camerino, Italy; [Castelli, Michele; Petroni, Giulio] Univ Pisa, Dept Biol, I-56126 Pisa, Italy; [Schrallhammer, Martina] Univ Freiburg, Inst Biol 2, D-79104 Freiburg, Germany</t>
  </si>
  <si>
    <t>University of Camerino; University of Pisa; University of Freiburg</t>
  </si>
  <si>
    <t>Pucciarelli, S (corresponding author), Univ Camerino, Sch Biosci &amp; Vet Med, I-62032 Camerino, Italy.</t>
  </si>
  <si>
    <t>sandra.pucciarelli@unicam.it</t>
  </si>
  <si>
    <t>Schrallhammer, Martina/AAZ-5894-2020; Castelli, Michele/CAF-8503-2022; Petroni, Giulio/B-6086-2008</t>
  </si>
  <si>
    <t>Schrallhammer, Martina/0000-0003-2061-2998; Pucciarelli, Sandra/0000-0003-4178-2689; Miceli, Cristina/0000-0002-7829-8471; Castelli, Michele/0000-0003-2177-5772; Mancini, Alessio/0000-0002-4388-3769; Petroni, Giulio/0000-0001-9572-9897; Devaraj, Raghul Rajan/0000-0001-8319-0513</t>
  </si>
  <si>
    <t>Italian Programma Nazionale di Ricerche in Antartide (PNRA); Italian Ministero dell'Istruzione, dell' Universita e della Ricerca (MIUR); European Commission FP7-PEOPLE-IRSES project CINAR PATHOBACTER [247658]; Volkswagen foundation [84816]; COST [BM1102]</t>
  </si>
  <si>
    <t>Italian Programma Nazionale di Ricerche in Antartide (PNRA); Italian Ministero dell'Istruzione, dell' Universita e della Ricerca (MIUR)(Ministry of Education, Universities and Research (MIUR)); European Commission FP7-PEOPLE-IRSES project CINAR PATHOBACTER; Volkswagen foundation(Volkswagen); COST(European Cooperation in Science and Technology (COST))</t>
  </si>
  <si>
    <t>This work was supported by grants from the Italian Programma Nazionale di Ricerche in Antartide (PNRA) to CM and SP and from the Italian Ministero dell'Istruzione, dell' Universita e della Ricerca (MIUR), the European Commission FP7-PEOPLE-2009-IRSES project CINAR PATHOBACTER (247658) to GP, and the Volkswagen foundation (project number: 84816) to MS. We acknowledge the COST (action BM1102) for supporting part of this work. The authors wish to thank S. Gabrielli for technical assistance in graphic artwork.</t>
  </si>
  <si>
    <t>0095-3628</t>
  </si>
  <si>
    <t>1432-184X</t>
  </si>
  <si>
    <t>MICROB ECOL</t>
  </si>
  <si>
    <t>Microb. Ecol.</t>
  </si>
  <si>
    <t>10.1007/s00248-015-0568-9</t>
  </si>
  <si>
    <t>Ecology; Marine &amp; Freshwater Biology; Microbiology</t>
  </si>
  <si>
    <t>Environmental Sciences &amp; Ecology; Marine &amp; Freshwater Biology; Microbiology</t>
  </si>
  <si>
    <t>CM4UQ</t>
  </si>
  <si>
    <t>WOS:000357680900017</t>
  </si>
  <si>
    <t>Rolland, V; Bergstrom, DM; Lenné, T; Bryant, G; Chen, H; Wolfe, J; Holbrook, NM; Stanton, DE; Ball, MC</t>
  </si>
  <si>
    <t>Rolland, Vivien; Bergstrom, Dana M.; Lenne, Thomas; Bryant, Gary; Chen, Hua; Wolfe, Joe; Holbrook, N. Michele; Stanton, Daniel E.; Ball, Marilyn C.</t>
  </si>
  <si>
    <t>Easy Come, Easy Go: Capillary Forces Enable Rapid Refilling of Embolized Primary Xylem Vessels</t>
  </si>
  <si>
    <t>IN-VIVO VISUALIZATIONS; ACER-RUBRUM L.; HYDRAULIC CONDUCTIVITY; CLIMATE-CHANGE; CAVITATION; DYNAMICS; VULNERABILITY; DROUGHT; REPAIR; ROOTS</t>
  </si>
  <si>
    <t>Protoxylem plays an important role in the hydraulic function of vascular systems of both herbaceous and woody plants, but relatively little is known about the processes underlying the maintenance of protoxylem function in long-lived tissues. In this study, embolism repair was investigated in relation to xylem structure in two cushion plant species, Azorella macquariensis and Colobanthus muscoides, in which vascular water transport depends on protoxylem. Their protoxylem vessels consisted of a primary wall with helical thickenings that effectively formed a pit channel, with the primary wall being the pit channel membrane. Stem protoxylem was organized such that the pit channel membranes connected vessels with paratracheal parenchyma or other protoxylem vessels and were not exposed directly to air spaces. Embolism was experimentally induced in excised vascular tissue and detached shoots by exposing them briefly to air. When water was resupplied, embolized vessels refilled within tens of seconds (excised tissue) to a few minutes (detached shoots) with water sourced from either adjacent parenchyma or water-filled vessels. Refilling occurred in two phases: (1) water refilled xylem pit channels, simplifying bubble shape to a rod with two menisci; and (2) the bubble contracted as the resorption front advanced, dissolving air along the way. Physical properties of the protoxylem vessels (namely pit channel membrane porosity, hydrophilic walls, vessel dimensions, and helical thickenings) promoted rapid refilling of embolized conduits independent of root pressure. These results have implications for the maintenance of vascular function in both herbaceous and woody species, because protoxylem plays a major role in the hydraulic systems of leaves, elongating stems, and roots.</t>
  </si>
  <si>
    <t>[Rolland, Vivien; Lenne, Thomas; Stanton, Daniel E.; Ball, Marilyn C.] Australian Natl Univ, Res Sch Biol, Plant Sci Div, Acton, ACT 2601, Australia; [Chen, Hua] Australian Natl Univ, Ctr Adv Microscopy, Acton, ACT 2601, Australia; [Bergstrom, Dana M.] Australian Antarctic Div, Dept Environm, Kingston, Tas 7050, Australia; [Bryant, Gary] RMIT Univ, Sch Appl Sci, Ctr Mol &amp; Nanoscale Phys, Melbourne, Vic 3001, Australia; [Wolfe, Joe] Univ New S Wales, Sch Phys, Sydney, NSW 2052, Australia; [Holbrook, N. Michele] Harvard Univ, Dept Organism &amp; Evolutionary Biol, Cambridge, MA 02138 USA</t>
  </si>
  <si>
    <t>Australian National University; Australian National University; Australian Antarctic Division; Royal Melbourne Institute of Technology (RMIT); Melbourne Genomics Health Alliance; University of New South Wales Sydney; Harvard University</t>
  </si>
  <si>
    <t>Rolland, V (corresponding author), Australian Natl Univ, Res Sch Biol, Plant Sci Div, GPO Box 4, Acton, ACT 2601, Australia.</t>
  </si>
  <si>
    <t>vivien.rolland@anu.edu.au</t>
  </si>
  <si>
    <t>Bergstrom, Dana/AAC-2837-2022; Ball, Marilyn/D-1180-2009; Bryant, Gary/A-4186-2008; Rolland, Vivien/O-9126-2015</t>
  </si>
  <si>
    <t>Bergstrom, Dana/0000-0001-8484-8954; Ball, Marilyn/0000-0001-9170-940X; Bryant, Gary/0000-0001-5483-7592; Rolland, Vivien/0000-0002-9232-1287; Stanton, Daniel/0000-0002-6713-9328; Chen, Hua/0000-0001-6573-517X; Wolfe, Joe/0000-0001-8030-0561</t>
  </si>
  <si>
    <t>Australian Antarctic Science Program [3095, 4192]; Australian Research Council [DP110105380]</t>
  </si>
  <si>
    <t>Australian Antarctic Science Program; Australian Research Council(Australian Research Council)</t>
  </si>
  <si>
    <t>This work was supported by the Australian Antarctic Science Program (grant nos. 3095 and 4192 to M.C.B., D.M.B., and G.B.) and the Australian Research Council (Discovery Project grant no. DP110105380 to M.C.B., G.B., and N.M.H.).</t>
  </si>
  <si>
    <t>10.1104/pp.15.00333</t>
  </si>
  <si>
    <t>CO7DC</t>
  </si>
  <si>
    <t>WOS:000359317400038</t>
  </si>
  <si>
    <t>Gonçalves, VN; Carvalho, CR; Johann, S; Mendes, G; Alves, TMA; Zani, CL; Junior, PAS; Murta, SMF; Romanha, AJ; Cantrell, CL; Rosa, CA; Rosa, LH</t>
  </si>
  <si>
    <t>Goncalves, Vivian N.; Carvalho, Camila R.; Johann, Susana; Mendes, Graziele; Alves, Tania M. A.; Zani, Carlos L.; Junior, Policarpo A. S.; Murta, Silvane M. F.; Romanha, Alvaro J.; Cantrell, Charles L.; Rosa, Carlos A.; Rosa, Luiz H.</t>
  </si>
  <si>
    <t>Antibacterial, antifungal and antiprotozoal activities of fungal communities present in different substrates from Antarctica</t>
  </si>
  <si>
    <t>Antarctica; Bioprospecting; Extremophiles; Fungi</t>
  </si>
  <si>
    <t>DIVERSITY; MACROALGAE; GEOMYCES; DESV.; SOILS</t>
  </si>
  <si>
    <t>Antarctica is a pristine and extreme environment that represents a unique opportunity for taxonomic, ecological and biotechnological studies of the microorganisms. In the present work, the fungal communities of rhizosphere soil of Deschampsia antarctica, soil, ornithogenic soil, marine and lake sediments in the Antarctic Peninsula were characterized as well as their capability to produce bioactive compounds. One hundred fungal isolates were recovered and identified by molecular analysis in 35 different taxa of 20 genera. Pseudogymnoascus sp. 1 and 3, Penicillium sp., Peniophora sp. and Mortierella alpina were the most frequent taxa identified. All isolates were cultured to produce ethanolic extracts, which were assayed against different target organisms to detect antimicrobial (against Escherichia coli, Staphylococcus aureus, Pseudomonas aeruginosa, Candida albicans, Candida krusei, Cladosporium sphaerospermum and Paracoccidioides brasiliensis), cytotoxic (against breast MCF-7 and renal TK-10 human tumoral cells) and antiprotozoal (against Leishmania amazonensis and Trypanosoma cruzi) activities. Among the three human pathogenic fungal species, 20 extracts showed moderate to high and selective antifungal activity against P. brasiliensis. The extract of Purpureocillium lilacinum displayed high trypanocidal, antifungal and antibacterial activities, but with moderate toxicity over normal cells. Proton nuclear magnetic resonance (H-1 NMR) spectral analysis indicated the presence of compounds containing a highly functionalized aromatic ring system. Our results suggest that the Antarctic ecosystems represent an interesting habitat for the isolation and characterization of fungal taxa capable to producing bioactive compounds. The fungus P. lilacinum showed strong trypanocidal and antimicrobial activities with moderate toxicity over normal cells, which might be used as scaffold for the development of new drugs.</t>
  </si>
  <si>
    <t>[Goncalves, Vivian N.; Carvalho, Camila R.; Johann, Susana; Mendes, Graziele; Rosa, Carlos A.; Rosa, Luiz H.] Univ Fed Minas Gerais, Inst Ciencias Biolg, Dept Microbiol, BR-31270901 Belo Horizonte, MG, Brazil; [Alves, Tania M. A.; Zani, Carlos L.; Junior, Policarpo A. S.; Murta, Silvane M. F.; Romanha, Alvaro J.] FIOCRUZ MG, Rene Rachou Res Ctr, Belo Horizonte, MG, Brazil; [Romanha, Alvaro J.] Univ Fed Santa Catarina, Dept Microbiol Immunol &amp; Parasitol, Florianopolis, SC, Brazil; [Cantrell, Charles L.] USDA ARS, Nat Prod Utilizat Res Unit, University, MS 38677 USA</t>
  </si>
  <si>
    <t>Universidade Federal de Minas Gerais; Fundacao Oswaldo Cruz; Universidade Federal de Santa Catarina (UFSC); United States Department of Agriculture (USDA)</t>
  </si>
  <si>
    <t>Rosa, LH (corresponding author), Univ Fed Minas Gerais, Inst Ciencias Biolg, Dept Microbiol, POB 486, BR-31270901 Belo Horizonte, MG, Brazil.</t>
  </si>
  <si>
    <t>lhrosa@icb.ufmg.br</t>
  </si>
  <si>
    <t>Alves, Tania Maria A/B-4814-2009; Zani, Carlos Leomar/ABE-3936-2021; Murta, Silvane Fonseca Murta/ABE-9410-2021; Zani, Carlos/A-9658-2008</t>
  </si>
  <si>
    <t>Murta, Silvane Fonseca Murta/0000-0002-8523-2155; Almeida Alves, Tania Maria/0000-0002-0582-3968; Zani, Carlos/0000-0003-1859-177X; Johann, Susana/0000-0001-8068-1720</t>
  </si>
  <si>
    <t>Conselho Nacional de Desenvolvimento Cientifico e Tecnologico (CNPq) [Processes PROANTAR 407230/2013-0]; INCT Criosfera [Universal 471721/2013-1]; Fundacao de Amparo a Pesquisa do Estado de Minas Gerais (FAPEMIG) [Process Universal 0050-13]; Financiadora de Estudos e Projetos [FINEP 2084/07]; Program for Technological Development of Tools for Health-PDTIS-FIOCRUZ</t>
  </si>
  <si>
    <t>Conselho Nacional de Desenvolvimento Cientifico e Tecnologico (CNPq)(Conselho Nacional de Desenvolvimento Cientifico e Tecnologico (CNPQ)); INCT Criosfera; Fundacao de Amparo a Pesquisa do Estado de Minas Gerais (FAPEMIG)(Fundacao de Amparo a Pesquisa do Estado de Minas Gerais (FAPEMIG)); Financiadora de Estudos e Projetos(Financiadora de Inovacao e Pesquisa (Finep)); Program for Technological Development of Tools for Health-PDTIS-FIOCRUZ</t>
  </si>
  <si>
    <t>We acknowledge the financial support from Conselho Nacional de Desenvolvimento Cientifico e Tecnologico (CNPq), Processes PROANTAR 407230/2013-0, INCT Criosfera, Universal 471721/2013-1, Fundacao de Amparo a Pesquisa do Estado de Minas Gerais (FAPEMIG), Process Universal 0050-13 and the Financiadora de Estudos e Projetos (FINEP 2084/07), the Program for Technological Development of Tools for Health-PDTIS-FIOCRUZ. We thank the Brazilian Navy for the logistic support. Additionally, we thank the Dr. D.I. Shapiro-Ilan USDA-ARS, SAA for the manuscript review.</t>
  </si>
  <si>
    <t>10.1007/s00300-015-1672-5</t>
  </si>
  <si>
    <t>WOS:000358041600004</t>
  </si>
  <si>
    <t>Laudicina, VA; Sun, BH; Dennis, PG; Badalucco, L; Rushton, SP; Newsham, KK; O'Donnell, AG; Hartley, IP; Hopkins, DW</t>
  </si>
  <si>
    <t>Laudicina, Vito Armando; Sun Benhua; Dennis, Paul G.; Badalucco, Luigi; Rushton, Steven P.; Newsham, Kevin K.; O'Donnell, Anthony G.; Hartley, Iain P.; Hopkins, David W.</t>
  </si>
  <si>
    <t>Responses to increases in temperature of heterotrophic micro-organisms in soils from the maritime Antarctic</t>
  </si>
  <si>
    <t>Acclimation; Carbon dioxide; Soil organic matter; Thermal</t>
  </si>
  <si>
    <t>ORGANIC-MATTER DECOMPOSITION; MICROBIAL RESPIRATION; THERMAL-ACCLIMATION; VASCULAR PLANTS; CARBON-CYCLE; SENSITIVITY; BIOMASS; COMMUNITIES; ADAPTATION; ECOSYSTEMS</t>
  </si>
  <si>
    <t>Understanding relationships between environmental changes and soil microbial respiration is critical for predicting changes in soil organic carbon (SOC) fluxes and content. The maritime Antarctic is experiencing one of the fastest rates of warming in the world and is therefore a key location to examine the effect of temperature on SOC mineralization by the respiration of soil micro-organisms. However, depletion of the labile substrates at higher temperatures relative to the total SOC and greater temperature sensitivity of recalcitrant components of the SOC confound simple interpretations of the effects of warming. We have addressed these issues by testing the hypothesis that respiration by heterotrophic soil micro-organisms is not down-regulated with increasing temperature by comparing the increase in biomass-specific respiration rate with temperature to the increase in respiration rate per unit SOC. We used five soils from the maritime Antarctic ranging in latitude and SOC content and measured the soil respiratory responses to temperatures ranging from 2 to 50 A degrees C in laboratory incubations lasting up to 31 days. In all cases, soil respiration increased with temperature up to 50 A degrees C, even though this exceeds the temperatures normally be experienced, indicating that the community contained sufficient physiological diversity to be able to respire over large temperature ranges. Both the biomass-specific respiration rate and the overall rate of SOC mineralization increased with temperature, which we interpret as respiration by soil micro-organisms not down-regulating relative to temperature.</t>
  </si>
  <si>
    <t>[Laudicina, Vito Armando; Badalucco, Luigi] Univ Palermo, Dipartimento Sci Agr &amp; Forestali, I-90128 Palermo, Italy; [Sun Benhua] Northwest A&amp;F Univ, Coll Nat Resources &amp; Environm, Yangling 712100, Shaanxi Provinc, Peoples R China; [Dennis, Paul G.] Univ Queensland, Sch Agr &amp; Food Sci, Brisbane, Qld 4072, Australia; [Rushton, Steven P.] Newcastle Univ, Sch Biol, Newcastle Upon Tyne NE1 7RU, Tyne &amp; Wear, England; [Newsham, Kevin K.] British Antarctic Survey, Cambridge CB3 0ET, England; [O'Donnell, Anthony G.] Univ Western Australia, Fac Sci, Crawley, WA 6009, Australia; [Hartley, Iain P.] Univ Exeter, Coll Life &amp; Environm Sci, Exeter EX4 4RJ, Devon, England; [Hopkins, David W.] Royal Agr Univ, Cirencester GL7 6JS, Glos, England</t>
  </si>
  <si>
    <t>University of Palermo; Northwest A&amp;F University - China; University of Queensland; Newcastle University - UK; UK Research &amp; Innovation (UKRI); Natural Environment Research Council (NERC); NERC British Antarctic Survey; University of Western Australia; University of Exeter</t>
  </si>
  <si>
    <t>Hopkins, DW (corresponding author), Royal Agr Univ, Cirencester GL7 6JS, Glos, England.</t>
  </si>
  <si>
    <t>david.hopkins@rau.ac.uk</t>
  </si>
  <si>
    <t>Sun, Benhua/C-8420-2009; Badalucco, Luigi/P-5130-2017; Laudicina, Vito Armando/F-8187-2015; Dennis, Paul G/H-2141-2017; Hartley, Iain P/J-7892-2016</t>
  </si>
  <si>
    <t>Badalucco, Luigi/0000-0002-6951-7011; Laudicina, Vito Armando/0000-0002-5531-0669; Hartley, Iain P/0000-0002-9183-6617; Sun, Benhua/0000-0001-8490-3642; Hopkins, David/0000-0003-0953-8643</t>
  </si>
  <si>
    <t>UK Natural Environment Research Council through the Antarctic Funding Initiative [AFI 7/05, NE/D00893X/1]; British Antarctic Survey; Royal Navy; Chinese 111 Project [B12007]; OECD; NERC [bas0100025, NE/D00893X/1] Funding Source: UKRI; Natural Environment Research Council [NE/D00893X/1, bas0100025] Funding Source: researchfish</t>
  </si>
  <si>
    <t>UK Natural Environment Research Council through the Antarctic Funding Initiative; British Antarctic Survey; Royal Navy; Chinese 111 Project; OECD; NERC(UK Research &amp; Innovation (UKRI)Natural Environment Research Council (NERC)); Natural Environment Research Council(UK Research &amp; Innovation (UKRI)Natural Environment Research Council (NERC))</t>
  </si>
  <si>
    <t>Funding was supplied by the UK Natural Environment Research Council through the Antarctic Funding Initiative (AFI 7/05; NE/D00893X/1). Logistical support was provided by the British Antarctic Survey and the Royal Navy. Sun Benhua was supported by the Chinese 111 Project (No. B12007) and V A Laudicina in part by the OECD; both these sources are gratefully acknowledged.</t>
  </si>
  <si>
    <t>10.1007/s00300-015-1673-4</t>
  </si>
  <si>
    <t>WOS:000358041600005</t>
  </si>
  <si>
    <t>Amsler, MO; Huang, YSM; Engl, W; McClintock, JB; Amsler, CD</t>
  </si>
  <si>
    <t>Amsler, Margaret O.; Huang, Yusheng M.; Engl, Winfried; McClintock, James B.; Amsler, Charles D.</t>
  </si>
  <si>
    <t>Abundance and diversity of gastropods associated with dominant subtidal macroalgae from the western Antarctic Peninsula</t>
  </si>
  <si>
    <t>Gastropod; Macroalga; Antarctic Peninsula; Community structure; Benthic</t>
  </si>
  <si>
    <t>FISH NOTOTHENIA-CORIICEPS; TERRA-NOVA BAY; SPECIES COMPOSITION; ROSS SEA; FAUNA; MESOHERBIVORES; COMMUNITIES; TEMPERATURE; AMPHIPOD; PATTERNS</t>
  </si>
  <si>
    <t>Gastropod assemblages associated with eight common macroalgae from the hard-bottom subtidal communities near Palmer Station, western Antarctic Peninsula, were investigated in order to establish a species inventory and determine abundance, distribution, and diversity. Four different sites within the area were sampled. Using SCUBA, selected algae were gently removed from the substrate and enclosed in a fine mesh bag. Shortly thereafter, all epibionts were removed and preserved. Twenty-one different gastropod taxa were identified, two of which not to species level. A total of 3486 individuals were quantified with Skenella umbilicata the numerically dominant, followed by Laevilacunaria antarctica and Eatoniella calignosa. Most individuals (86 %) were &lt; 0.5-mm shell length; the largest specimens did not exceed 20-mm shell length. No difference in gastropod species abundance or species diversity was observed between the algal species. Mean densities of a given species of gastropod associated with a given algal species ranged from 0 to 38 individuals per 100 g wet wt of sampled alga with no discernable pattern of algal host preference. Additionally, no consistent pattern of gastropod community composition with either associated macroalgal species or collection site was demonstrated with a non-metric multidimensional scaling analysis. Gastropods may, however, work in concert with other epibionts, in particular amphipod assemblages, to in some way benefit the host alga. Specifically, gastropods may contribute to enhancing the photosynthetic capacity of the host alga by grazing upon fouling epiphytic microalgae and emerging endophytic filaments.</t>
  </si>
  <si>
    <t>[Amsler, Margaret O.; McClintock, James B.; Amsler, Charles D.] Univ Alabama Birmingham, Dept Biol, Birmingham, AL 35294 USA; [Huang, Yusheng M.] Natl Penghu Univ Sci &amp; Technol, Dept Marine Sports &amp; Recreat, Magong City 880, Penghu, Taiwan; [Huang, Yusheng M.] Natl Penghu Univ Sci &amp; Technol, Dept Aquaculture, Magong City 880, Penghu, Taiwan</t>
  </si>
  <si>
    <t>University of Alabama System; University of Alabama Birmingham; National Penghu University of Science &amp; Technology; National Penghu University of Science &amp; Technology</t>
  </si>
  <si>
    <t>Amsler, MO (corresponding author), Univ Alabama Birmingham, Dept Biol, Birmingham, AL 35294 USA.</t>
  </si>
  <si>
    <t>mamsler@uab.edu</t>
  </si>
  <si>
    <t>Huang, Yusheng M/H-9407-2014</t>
  </si>
  <si>
    <t>Amsler, Charles/0000-0002-4843-3759</t>
  </si>
  <si>
    <t>Office of Polar Programs of the National Science Foundation [OPP-0125181, ANT-0838773, ANT-1041022]; Endowed University Professorship in Polar and Marine Biology by the University of Alabama at Birmingham; Directorate For Geosciences; Office of Polar Programs (OPP) [1041022] Funding Source: National Science Foundation</t>
  </si>
  <si>
    <t>Office of Polar Programs of the National Science Foundation; Endowed University Professorship in Polar and Marine Biology by the University of Alabama at Birmingham; Directorate For Geosciences; Office of Polar Programs (OPP)(National Science Foundation (NSF)NSF - Directorate for Geosciences (GEO))</t>
  </si>
  <si>
    <t>Field assistance from Anne Fairhead and Kevin Peters is gratefully acknowledged as well as the outstanding logistical support provided by employees Raytheon Polar Services Company while in Antarctica. Anonymous reviewers and Nicole Riddle provided valuable input greatly improving the manuscript. This research was supported by the Office of Polar Programs of the National Science Foundation to JBM and CDA (OPP-0125181; ANT-0838773; and ANT-1041022). JBM wishes to acknowledge the support of an Endowed University Professorship in Polar and Marine Biology provided by the University of Alabama at Birmingham.</t>
  </si>
  <si>
    <t>10.1007/s00300-015-1681-4</t>
  </si>
  <si>
    <t>WOS:000358041600007</t>
  </si>
  <si>
    <t>Clark, GF; Marzinelli, EM; Fogwill, CJ; Turney, CSM; Johnston, EL</t>
  </si>
  <si>
    <t>Clark, Graeme F.; Marzinelli, Ezequiel M.; Fogwill, Christopher J.; Turney, Chris S. M.; Johnston, Emma L.</t>
  </si>
  <si>
    <t>Effects of sea-ice cover on marine benthic communities: a natural experiment in Commonwealth Bay, East Antarctica</t>
  </si>
  <si>
    <t>Antarctic; Australasian Antarctic Expedition (AAE); Benthic; Iceberg B09B; Invertebrates; Irradiance; Light; Macroalgae; Phase shift; Regime shift</t>
  </si>
  <si>
    <t>PHOTOSYNTHESIS; MACROALGAE; PATTERNS; HABITAT; DISEASE; IMPACT; GROWTH; ALGAE</t>
  </si>
  <si>
    <t>Sea-ice is a key physical driver of Antarctic marine ecosystems. Understanding ecological effects of sea-ice is particularly important given current and future climate change, but a major obstacle is the impracticality of manipulating sea-ice at a relevant scale. However, large-scale anomalous events, such as those occurring in Commonwealth Bay, East Antarctica, provide opportunities for natural experiments. Historically, katabatic winds have kept Commonwealth Bay ice-free for most of each year, but since 2010, a massive grounded iceberg has resulted in year-round sea-ice cover. We surveyed benthic communities in Commonwealth Bay approximately 3 years after continuous sea-ice cover began and found algal bed communities in severe decline. The majority (similar to 75 %) of large macroalgae were decomposing, and the remainder were discoloured or bleached, while approximately 40 % of encrusting coralline algae were bleached. Accompanying this, the presence of invertebrates such as ophiuroids and polychaetes suggests that communities are in the early stages of transitioning to an invertebrate-dominated state. With a known start date, monitoring benthic communities in Commonwealth Bay will allow quantification of rates of benthic regime shifts in response to sea-ice cover, and improve understanding of the vulnerability of polar ecosystems to climate change.</t>
  </si>
  <si>
    <t>[Clark, Graeme F.; Marzinelli, Ezequiel M.; Fogwill, Christopher J.; Turney, Chris S. M.; Johnston, Emma L.] Univ New S Wales, Sch Biol Earth &amp; Environm Sci, Evolut &amp; Ecol Res Ctr, Sydney, NSW 2052, Australia; [Marzinelli, Ezequiel M.; Johnston, Emma L.] Sydney Inst Marine Sci, Mosman, NSW 2088, Australia</t>
  </si>
  <si>
    <t>University of New South Wales Sydney; Sydney Institute of Marine Science</t>
  </si>
  <si>
    <t>Clark, GF (corresponding author), Univ New S Wales, Sch Biol Earth &amp; Environm Sci, Evolut &amp; Ecol Res Ctr, Sydney, NSW 2052, Australia.</t>
  </si>
  <si>
    <t>g.clark@unsw.edu.au</t>
  </si>
  <si>
    <t>Marzinelli, Ezequiel/AAH-2906-2019; Fogwill, Christopher/HPF-1150-2023; Johnston, Emma/AAC-2878-2022; Fogwill, Chris/AAW-3502-2021; Clark, Graeme/M-6448-2017; Turney, Chris/P-8701-2018</t>
  </si>
  <si>
    <t>Marzinelli, Ezequiel/0000-0002-3762-3389; Johnston, Emma/0000-0002-2117-366X; Fogwill, Chris/0000-0002-6471-1106; Clark, Graeme/0000-0002-0230-6631; Turney, Chris/0000-0001-6733-0993</t>
  </si>
  <si>
    <t>UNSW Strategic Research Grant; SIMS</t>
  </si>
  <si>
    <t>We thank members of the Australasian Antarctic Expedition 2013-2014 (www.spiritofmawson.com) for their support of this study. GFC was supported by a UNSW Strategic Research Grant awarded to ELJ. EMM thanks SIMS and Director PD Steinberg for additional support. Work was conducted under Antarctic Treaty (Environment Protection) permit number ATEP 13-14-AAE 2013.</t>
  </si>
  <si>
    <t>10.1007/s00300-015-1688-x</t>
  </si>
  <si>
    <t>WOS:000358041600011</t>
  </si>
  <si>
    <t>Miño, I; Naranjo, C; Montero, A</t>
  </si>
  <si>
    <t>Mino, Isabel; Naranjo, Carlos; Montero, Andres</t>
  </si>
  <si>
    <t>Evaluation of energy efficiency measures for the ecuadorian antarctic station Pedro Vicente Maldonado through a calibrated building energy model</t>
  </si>
  <si>
    <t>REVISTA INGENIERIA DE CONSTRUCCION</t>
  </si>
  <si>
    <t>Antarctica; building energy modelling; calibration; energy efficiency measures; ecuadorian station</t>
  </si>
  <si>
    <t>In Antarctica, as a sensitive continent to human activities and a strategic site for research on the effects of climate change, it is important that the developed projects minimize environmental impacts. Within this context, the Ecuadorian Antarctic seasonal Station Pedro Vicente Maldonado, built in 1990, will become, in a few years a permanent station. For this reason, to optimize energy consumption, various energy efficiency measures were analyzed on a calibrated energy model based on the current base diesel consumption for heating. The results of this study show that the envelope elements, for which more energy is lost, are both floor and roof. Furthermore, due to the low window to wall ratio of the station, the reduction in diesel consumption generated by the use of triple and quadruple glazing is not significant. By combining different energy efficiency measures, up to 50% of savings on annual diesel consumption for heating can be achieved compared to the diesel consumption that the current station would present operating permanently. This study will serve as a reference for the changes to be implemented at the station.</t>
  </si>
  <si>
    <t>[Mino, Isabel; Naranjo, Carlos; Montero, Andres] Natl Inst Energy Efficiency &amp; Renewable Energy, Quito, Ecuador; Natl Polytech Sch, Quito, Ecuador</t>
  </si>
  <si>
    <t>Escuela Politecnica Nacional Ecuador</t>
  </si>
  <si>
    <t>Miño, I (corresponding author), Natl Inst Energy Efficiency &amp; Renewable Energy, Res Grp Bldg Energy Efficiency, Quito, Ecuador.</t>
  </si>
  <si>
    <t>isabel.mino@iner.gob.ec</t>
  </si>
  <si>
    <t>Montero-Izquierdo, Andres/AAC-1322-2022; de Investigación Geológico y Energético - IIGE, Instituto/AAJ-2630-2020; Naranjo-Mendoza, Carlos/J-7640-2019</t>
  </si>
  <si>
    <t>Montero-Izquierdo, Andres/0000-0001-5366-8029; Naranjo-Mendoza, Carlos/0000-0002-9356-5662</t>
  </si>
  <si>
    <t>National Secretariat for Higher Education, Science, Technology and Innovation (SENESCYT)</t>
  </si>
  <si>
    <t>This research is part of the project Design of energy efficient building and implementation of renewable energy for the station Pedro Vicente Maldonado funded by the National Secretariat for Higher Education, Science, Technology and Innovation (SENESCYT) and developed in collaboration with the Ecuadorian Antarctic Institute (INAE).</t>
  </si>
  <si>
    <t>PONTIFICIA UNIV CATOLICA CHILE, DEPT INGENIERIA &amp; GESTION CONSTRUCCION</t>
  </si>
  <si>
    <t>SANTIAGO</t>
  </si>
  <si>
    <t>AVDA VICUNA MACKENNA 4860, MACUL, CAMPUS SAN JOAQUIN, ED SAN AGUSTIN, PISO 3, CASILLA 306, CORREO 22, SANTIAGO, 00000, CHILE</t>
  </si>
  <si>
    <t>0716-2952</t>
  </si>
  <si>
    <t>0718-5073</t>
  </si>
  <si>
    <t>REV ING CONSTR</t>
  </si>
  <si>
    <t>Rev. Ing. Constr.</t>
  </si>
  <si>
    <t>10.4067/S0718-50732015000200004</t>
  </si>
  <si>
    <t>Construction &amp; Building Technology</t>
  </si>
  <si>
    <t>V7J4D</t>
  </si>
  <si>
    <t>WOS:000421014200004</t>
  </si>
  <si>
    <t>Horne, RB; Pitchford, D</t>
  </si>
  <si>
    <t>Horne, Richard B.; Pitchford, David</t>
  </si>
  <si>
    <t>Space Weather Concerns for All-Electric Propulsion Satellites</t>
  </si>
  <si>
    <t>SPACE WEATHER-THE INTERNATIONAL JOURNAL OF RESEARCH AND APPLICATIONS</t>
  </si>
  <si>
    <t>The introduction of all-electric propulsion satellites is a game changer in the quest for low-cost access to space. It also raises new questions for satellite manufacturers, operators, and the insurance industry regarding the general risks and specifically the threat of adverse space weather. The issues surrounding this new concept were discussed by research scientists and up to 30 representatives from the space industry at a special meeting at the European Space Weather Week held in November 2014. Here we report on the discussions at that meeting. We show that for a satellite undergoing electric orbit raising for 200 days the radiation dose due to electrons is equivalent to approximately 6.7 year operation at geostationary orbit or approximately half the typical design life. We also show that electrons can be injected into the slot region (8000 km) where they pose a risk of satellite internal charging. The results highlight the importance of additional radiation protection. We also discuss the benefits, the operational considerations, the other risks from the Van Allen radiation belts, the new business opportunities for space insurance, and the need for space situation awareness in medium Earth orbit where electric orbit raising takes place.</t>
  </si>
  <si>
    <t>[Horne, Richard B.] British Antarctic Survey, EU SPACESTORM, Cambridge, England; [Pitchford, David] SES, Luxembourg, Luxembourg</t>
  </si>
  <si>
    <t>Horne, RB (corresponding author), British Antarctic Survey, EU SPACESTORM, Cambridge, England.</t>
  </si>
  <si>
    <t>Horne, Richard B/U-3764-2019</t>
  </si>
  <si>
    <t>Horne, Richard B/0000-0002-0412-6407</t>
  </si>
  <si>
    <t>European Union Seventh Framework Programme (FP7) [606716 SPACESTORM]; UK Natural Environment Research Council; NERC [bas0100031] Funding Source: UKRI; Natural Environment Research Council [bas0100031] Funding Source: researchfish</t>
  </si>
  <si>
    <t>European Union Seventh Framework Programme (FP7)(European Union (EU));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</si>
  <si>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Data for Figure 1 are available from the Space Environment Information system (SPENVIS) after registration (https://www.spenvis.oma.be/). All other data are cited and referred to in the reference list. We thank all those who participated in the special lunch time discussion on all-electric spacecraft held at the European Space Weather Week, in Liege, November 2014. In particular, we would like to thank A. Glover and M. Kruglanski for helping to organize the event; and D. Wade, K. Ryden, and H. Evans who provided valuable comments on this report; and D. Heynderickx for his guidance on using SPENVIS. The research leading to these results has received funding from the European Union Seventh Framework Programme (FP7/2007-2013) under grant agreement no 606716 SPACESTORM and the UK Natural Environment Research Council.</t>
  </si>
  <si>
    <t>1542-7390</t>
  </si>
  <si>
    <t>SPACE WEATHER</t>
  </si>
  <si>
    <t>Space Weather</t>
  </si>
  <si>
    <t>10.1002/2015SW001198</t>
  </si>
  <si>
    <t>Astronomy &amp; Astrophysics; Geochemistry &amp; Geophysics; Meteorology &amp; Atmospheric Sciences</t>
  </si>
  <si>
    <t>CS6QC</t>
  </si>
  <si>
    <t>WOS:000362204800002</t>
  </si>
  <si>
    <t>Pérez, LF; Hernández-Molina, FJ; Esteban, FD; Tassone, A; Piola, AR; Maldonado, A; Preu, B; Violante, RA; Lodolo, E</t>
  </si>
  <si>
    <t>Perez, Lara F.; Hernandez-Molina, F. Javier; Esteban, Federico D.; Tassone, Alejandro; Piola, Alberto R.; Maldonado, Andres; Preu, Benedict; Violante, Roberto A.; Lodolo, Emanuele</t>
  </si>
  <si>
    <t>Erosional and depositional contourite features at the transition between the western Scotia Sea and southern South Atlantic Ocean: links with regional water-mass circulation since the Middle Miocene</t>
  </si>
  <si>
    <t>GEO-MARINE LETTERS</t>
  </si>
  <si>
    <t>ANTARCTIC CIRCUMPOLAR CURRENT; DEEP-WATER; DRAKE PASSAGE; SEDIMENT DRIFTS; FALKLAND TROUGH; MALVINAS BASIN; BOTTOM WATERS; TECTONICS; EVOLUTION; PALEOCEANOGRAPHY</t>
  </si>
  <si>
    <t>The aim of the present study was to characterise the morpho-sedimentary features and main stratigraphic stacking pattern off the Tierra del Fuego continental margin, the north-western sector of the Scotia Sea abyssal plain (Yaghan Basin) and the Malvinas/Falkland depression, based on single- and multi-channel seismic profiles. Distinct contourite features were identified within the sedimentary record from the Middle Miocene onwards. Each major drift developed in a water depth range coincident with a particular water mass, contourite terraces on top of some of these drifts being associated with interfaces between water masses. Two major palaeoceanographic changes were identified. One took place in the Middle Miocene with the onset of Antarctic Intermediate Water flow and the enhancement of Circumpolar Deep Water (CDW) flow, coevally with the onset of Weddell Sea Deep Water flow in the Scotia Sea. Another palaeoceanographic change occurred on the abyssal plain of the Yaghan Basin in the Late Miocene as a consequence of the onset of Southeast Pacific Deep Water flow and its complex interaction with the lower branch of the CDW. Interestingly, these two periods of change in bottom currents are coincident with regional tectonic episodes, as well as climate and Antarctic ice sheet oscillations. The results convincingly demonstrate that the identification of contourite features on the present-day seafloor and within the sedimentary record is the key for decoding the circulation of water masses in the past. Nevertheless, further detailed studies, especially the recovery of drill cores, are necessary to establish a more robust chronology of the evolutionary stages at the transition between the western Scotia Sea and the southern South Atlantic Ocean.</t>
  </si>
  <si>
    <t>[Perez, Lara F.; Maldonado, Andres] Inst Andaluz Ciencias Tierra, Granada 18100, Spain; [Hernandez-Molina, F. Javier] Royal Holloway Univ London, Dept Earth Sci, Egham TW20 0EX, Surrey, England; [Esteban, Federico D.; Tassone, Alejandro] Univ Buenos Aires, Dept Ciencias Geol, Inst Geociencias Basicas, Buenos Aires, DF, Argentina; [Piola, Alberto R.; Violante, Roberto A.] Serv Hidrog Naval, Buenos Aires, DF, Argentina; [Preu, Benedict] Chevron North Sea Ltd, Chevron Upstream Europe, Aberdeen AB15 6XL, Scotland; [Lodolo, Emanuele] Ist Nazl Oceanog &amp; Geofis Sperimentale, I-34010 Trieste, Italy</t>
  </si>
  <si>
    <t>Consejo Superior de Investigaciones Cientificas (CSIC); CSIC - Instituto Andaluz de Ciencias de la Tierra (IACT); University of London; Royal Holloway University London; University of Buenos Aires; Servicio de Hidrografia Naval; Chevron; Istituto Nazionale di Oceanografia e di Geofisica Sperimentale</t>
  </si>
  <si>
    <t>Pérez, LF (corresponding author), Geol Survey Denmark &amp; Greenland, Dept Geophys, Oester Voldgade 10, DK-1350 Copenhagen K, Denmark.</t>
  </si>
  <si>
    <t>larafperez@gmail.com</t>
  </si>
  <si>
    <t>Pérez, Lara F./H-3572-2015; Piola, Alberto/HZI-5475-2023; Piola, Alberto R/O-2280-2013</t>
  </si>
  <si>
    <t>Pérez, Lara F./0000-0002-6229-4564; Esteban, Federico/0000-0002-0641-7371; LODOLO, Emanuele/0000-0002-4706-2095</t>
  </si>
  <si>
    <t>CSIC; COMPASS consortium; [CTM2008-06386-C02/ANT]; [CTM2011-30241-C02]; [CTM2012-39599-C03]; [IGCP-619]; [INQUA 1204]</t>
  </si>
  <si>
    <t>CSIC; COMPASS consortium; ; ; ; ;</t>
  </si>
  <si>
    <t>L.F.P. acknowledges a JAE predoctoral studentship from CSIC, and the IAS Postgraduate Grant Scheme for providing travel support. We thank colleagues from the University of Buenos Aires for assistance, and colleagues from the Istituto Nazionale di Oceanografia e di Geofisica Sperimentale (OGS) of Trieste for seismic processing of TM data. This work forms part of ongoing projects CTM2008-06386-C02/ANT and CTM2011-30241-C02, with links to projects CTM2012-39599-C03, IGCP-619 and INQUA 1204. It was part-funded by the COMPASS consortium, and done in collaboration with the Continental Margins Research Group of the Royal Holloway University of London. We acknowledge John Wiley &amp; Sons for permission to reuse Figure 4a from Koenitz et al. (2008). We thank two anonymous reviewers and the editors for constructive comments which helped improve the paper.</t>
  </si>
  <si>
    <t>0276-0460</t>
  </si>
  <si>
    <t>1432-1157</t>
  </si>
  <si>
    <t>GEO-MAR LETT</t>
  </si>
  <si>
    <t>Geo-Mar. Lett.</t>
  </si>
  <si>
    <t>10.1007/s00367-015-0406-6</t>
  </si>
  <si>
    <t>Geosciences, Multidisciplinary; Oceanography</t>
  </si>
  <si>
    <t>Geology; Oceanography</t>
  </si>
  <si>
    <t>CM4NV</t>
  </si>
  <si>
    <t>WOS:000357662500003</t>
  </si>
  <si>
    <t>Qu, XC; Li, ZH; An, JC; Ding, WW</t>
  </si>
  <si>
    <t>Qu, Xiaochuan; Li, Zhenghang; An, Jiachun; Ding, Wenwu</t>
  </si>
  <si>
    <t>Characteristics of second-order residual ionospheric error in GNSS radio occultation and its impact on inversion of neutral atmospheric parameters</t>
  </si>
  <si>
    <t>JOURNAL OF ATMOSPHERIC AND SOLAR-TERRESTRIAL PHYSICS</t>
  </si>
  <si>
    <t>GNSS; Radio occultation; Second-order ionospheric error; Statistical optimization</t>
  </si>
  <si>
    <t>TO-END SIMULATIONS; CHAMP</t>
  </si>
  <si>
    <t>In Global Navigation Satellite Systems (GNSS) radio occultation (RO), one of the most significant error sources is the ionospheric error, which is largely eliminated by dual-frequency linear combination. However, second-order residual ionospheric error (RIE) in excess phase still remains and affects the retrievals of neutral atmospheric parameters in RO. Second-order RIE varies with RO azimuth in a sinusoidal pattern for a set of simulated RO events occurring in the same location at different azimuths. The amplitude of the sinusoidal curve below 60 km is at the order of sub-centimeter under moderate solar activity level. The retrieval biases of the neutral atmospheric parameters induced by second-order RIE also have sinusoidal features with RO azimuth, but have opposite variation trends to that of the second-order RIE. The RO azimuths of the maximum positive and negative retrieval biases correspond approximately to the azimuths of maximum negative and positive second-order RIEs, respectively. The order of the maximum bending angle bias induced by the second-order RIE is about 10(-8) rad under moderate solar activity level. However, the retrieval errors at low latitude are larger than those at high and middle latitudes, and the maximum temperature bias at low latitude could be 0.35 K at 40 km. Based on the sinusoidal variation of second-order RIE, it is shown that even at the same RO point and under the same solar activity level, the second-order RIEs at different RO azimuths still have different effects on the retrieval precision of atmospheric parameters. This should be considered carefully when many RO profiles are averaged for climate trend detection, especially at low latitude. (C) 2015 Elsevier Ltd. All rights reserved.</t>
  </si>
  <si>
    <t>[Qu, Xiaochuan] Hefei Univ Technol, Sch Civil Engn, Hefei 230000, Peoples R China; [Qu, Xiaochuan; Li, Zhenghang] Wuhan Univ, Sch Geodesy &amp; Geomat, Wuhan 430079, Peoples R China; [An, Jiachun] Wuhan Univ, Chinese Antarctic Ctr Surveying &amp; Mapping, Wuhan 430079, Peoples R China; [Ding, Wenwu] State Key Lab Geodesy &amp; Earths Dynam, Wuhan 430079, Peoples R China</t>
  </si>
  <si>
    <t>Hefei University of Technology; Wuhan University; Wuhan University</t>
  </si>
  <si>
    <t>Qu, XC (corresponding author), Hefei Univ Technol, Sch Civil Engn, 193 Tunxi Rd, Hefei 230000, Peoples R China.</t>
  </si>
  <si>
    <t>qqxxcc@hotmail.com; zhhli@sgg.whu.edu.cn</t>
  </si>
  <si>
    <t>An, Jiachun/ABG-4275-2020; Qu, Xiaochuan/GSI-9801-2022</t>
  </si>
  <si>
    <t>National Natural Science Foundation of China [41204028, 41174029, 41231064]</t>
  </si>
  <si>
    <t>The authors are grateful to S. Syndergaard at Danish Meteorological Institute for constructing advice. The authors are also grateful to the three anonymous reviewers for their thoughtful reviews. This research is supported by the National Natural Science Foundation of China (41204028, 41174029) and the Key Program of National Natural Science Foundation of China (41231064).</t>
  </si>
  <si>
    <t>1364-6826</t>
  </si>
  <si>
    <t>1879-1824</t>
  </si>
  <si>
    <t>J ATMOS SOL-TERR PHY</t>
  </si>
  <si>
    <t>J. Atmos. Sol.-Terr. Phys.</t>
  </si>
  <si>
    <t>10.1016/j.jastp.2015.05.016</t>
  </si>
  <si>
    <t>CM5UH</t>
  </si>
  <si>
    <t>WOS:000357754000016</t>
  </si>
  <si>
    <t>Fulgentini, L; Passini, V; Colombetti, G; Miceli, C; La Terza, A; Marangoni, R</t>
  </si>
  <si>
    <t>Fulgentini, Lorenzo; Passini, Valerio; Colombetti, Giuliano; Miceli, Cristina; La Terza, Antonietta; Marangoni, Roberto</t>
  </si>
  <si>
    <t>UV Radiation and Visible Light Induce hsp70 Gene Expression in the Antarctic Psychrophilic Ciliate Euplotes focardii</t>
  </si>
  <si>
    <t>Euplotes focardii; hsp70; Gene regulation; Radiative stress; UV; Pigment; Visible light gene activation</t>
  </si>
  <si>
    <t>HEAT-SHOCK PROTEINS; DNA-DAMAGE; CHLOROPHYLL PRECURSORS; ULTRAVIOLET-RADIATION; TRANSCRIPTION FACTORS; STRESS-RESPONSE; HEAT-SHOCK-PROTEIN-70; SCIENCE; TUBULIN; PATHWAY</t>
  </si>
  <si>
    <t>The psychrophilic ciliate Euplotes focardii inhabits the shallow marine coastal sediments of Antarctica, where, over millions of years of evolution, it has reached a strict molecular adaptation to such a constant-temperature environment (about -2 A degrees C). This long evolution at sub-zero temperatures has made E. focardii unable to respond to heat stress with the activation of its heat shock protein (hsp) 70 genes. These genes can, however, be expressed in response to other stresses, like the oxidative one, thus indicating that the molecular adaptation has exclusively altered the heat stress signaling pathways, while it has preserved hsp70 gene activation in response to other environmental stressors. Since radiative stress has proved to be affine to oxidative stress in several organisms, we investigated the capability of UV radiation to induce hsp70 transcription. E. focardii cell cultures were exposed to several different irradiation regimes, ranging from visible only to a mixture of visible, UV-A and UV-B. The irradiation values of each spectral band have been set to be comparable with those recorded in a typical Antarctic spring. Using Northern blot analysis, we measured the expression level of hsp70 immediately after irradiation (0-h-labeled samples), 1 h, and 2 h from the end of the irradiation. Surprisingly, our results showed that besides UV radiation, the visible light was also able to induce hsp70 expression in E. focardii. Moreover, spectrophotometric measurements have revealed no detectable endogenous pigments in E. focardii, making it difficult to propose a possible explanation for the visible light induction of its hsp70 genes. Further research is needed to conclusively clarify this point.</t>
  </si>
  <si>
    <t>[Fulgentini, Lorenzo; Colombetti, Giuliano; Marangoni, Roberto] CNR, Inst Biophys, I-56100 Pisa, Italy; [Fulgentini, Lorenzo] CNR, Natl Opt Inst, I-56100 Pisa, Italy; [Passini, Valerio; Miceli, Cristina; La Terza, Antonietta] Univ Camerino, Sch Biosci &amp; Vet Med, I-62032 Camerino, MC, Italy; [Marangoni, Roberto] Univ Pisa, Dept Biol, I-56100 Pisa, Italy</t>
  </si>
  <si>
    <t>Consiglio Nazionale delle Ricerche (CNR); Istituto di Biofisica (IBF-CNR); Consiglio Nazionale delle Ricerche (CNR); University of Camerino; University of Pisa</t>
  </si>
  <si>
    <t>La Terza, A (corresponding author), Univ Camerino, Sch Biosci &amp; Vet Med, Via Gentile 3 Varano, I-62032 Camerino, MC, Italy.</t>
  </si>
  <si>
    <t>antonietta.laterza@unicam.it; roberto.marangoni@unipi.it</t>
  </si>
  <si>
    <t>Miceli, Cristina/0000-0002-7829-8471; La Terza, Antonietta/0000-0002-1244-1503; Marangoni, Roberto/0000-0002-6603-6984</t>
  </si>
  <si>
    <t>10.1007/s00248-015-0566-y</t>
  </si>
  <si>
    <t>WOS:000357680900007</t>
  </si>
  <si>
    <t>Han, C; Burn-Nunes, LJ; Lee, K; Chang, C; Kang, JH; Han, Y; Hur, SD; Hong, S</t>
  </si>
  <si>
    <t>Han, Changhee; Burn-Nunes, Laurie J.; Lee, Khanghyun; Chang, Chaewon; Kang, Jung-Ho; Han, Yeongcheol; Hur, Soon Do; Hong, Sungmin</t>
  </si>
  <si>
    <t>Determination of lead isotopes in a new Greenland deep ice core at the sub-picogram per gram level by thermal ionization mass spectrometry using an improved decontamination method</t>
  </si>
  <si>
    <t>TALANTA</t>
  </si>
  <si>
    <t>Lead isotopes; Greenland deep ice core; Improved decontamination procedure; Silica-gel activator; TIMS</t>
  </si>
  <si>
    <t>ANTARCTIC SNOW; PB ISOTOPES; POLAR SNOW; PRECONCENTRATION; PICOGRAM; CADMIUM; RATIOS; RECORD; COPPER; ZINC</t>
  </si>
  <si>
    <t>An improved decontamination method and ultraclean analytical procedures have been developed to minimize Pb contamination of processed glacial ice cores and to achieve reliable determination of Pb isotopes in North Greenland Eemian Ice Drilling (NEEM) deep ice core sections with concentrations at the sub-picogram per gram level. A PL-7 (Fuso Chemical) silica-gel activator has replaced the previously used colloidal silica activator produced by Merck and has been shown to provide sufficiently enhanced ion beam intensity for Pb isotope analysis for a few tens of picograms of Pb. Considering the quantities of Pb contained in the NEEM Greenland ice core and a sample weight of 10 g used for the analysis, the blank contribution from the sample treatment was observed to be negligible. The decontamination and analysis of the artificial ice cores and selected NEEM Greenland ice core sections confirmed the cleanliness and effectiveness of the overall analytical process. (C) 2015 Elsevier B.V. All rights reserved.</t>
  </si>
  <si>
    <t>[Han, Changhee; Chang, Chaewon; Hong, Sungmin] Inha Univ, Dept Ocean Sci, Inchon 402751, South Korea; [Han, Changhee; Lee, Khanghyun; Chang, Chaewon; Kang, Jung-Ho; Han, Yeongcheol; Hur, Soon Do] Korea Polar Res Inst, Inchon 406840, South Korea; [Burn-Nunes, Laurie J.] Curtin Univ Technol, Dept Imaging &amp; Appl Phys, Perth, WA 6845, Australia</t>
  </si>
  <si>
    <t>Inha University; Korea Polar Research Institute (KOPRI); Korea Institute of Ocean Science &amp; Technology (KIOST); Curtin University</t>
  </si>
  <si>
    <t>Hong, S (corresponding author), Inha Univ, Dept Ocean Sci, 100 Inha Ro, Inchon 402751, South Korea.</t>
  </si>
  <si>
    <t>smhong@inha.ac.kr</t>
  </si>
  <si>
    <t>South Korea by the Basic Science Research Program through the National Research Foundation of Korea (NRF) - Ministry of Education, Science and Technology [2012R1A1A2001832]; KOPRI [PE14010]; Belgium (FNRS-CFB); Belgium (FWO); Canada (NRCan/GSC); China (CAS); Denmark (FIST); France (IPEV); France (CNRS/INSU); France (CEA); France (ANR); Germany (AWI); Iceland (Rannls); Japan (NIPR); Korea (KOPRI); Netherlands (NOW/ALW); Sweden (VR); Switzerland (SNF); UK (NERC); USA (US NSF OPP)</t>
  </si>
  <si>
    <t>South Korea by the Basic Science Research Program through the National Research Foundation of Korea (NRF) - Ministry of Education, Science and Technology(National Research Foundation of Korea); KOPRI(Korea Polar Research Institute of Marine Research Placement (KOPRI));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(Rannls); Japan (NIPR); Korea (KOPRI)(Korea Polar Research Institute of Marine Research Placement (KOPRI)); Netherlands (NOW/ALW); Sweden (VR)(Swedish Research Council); Switzerland (SNF); UK (NERC)(UK Research &amp; Innovation (UKRI)Natural Environment Research Council (NERC)); USA (US NSF OPP)</t>
  </si>
  <si>
    <t>This work was supported in South Korea by the Basic Science Research Program through the National Research Foundation of Korea (NRF) funded by the Ministry of Education, Science and Technology (2012R1A1A2001832). This research was also funded by KOPRI research Grant (PE14010). We wish to thank all personnel involved in the field for the NEEM deep ice core drilling campaign. This work is a contribution to the NEEM project as part of international program supported by funding agencies and institutions in Belgium (FNRS-CFB and FWO), Canada (NRCan/GSC), China (CAS), Denmark (FIST), France (IPEV, CNRS/INSU, CEA and ANR), Germany (AWI), Iceland (Rannls), Japan (NIPR), Korea (KOPRI), Netherlands (NOW/ALW), Sweden (VR), Switzerland (SNF), the UK (NERC), and the USA (US NSF OPP).</t>
  </si>
  <si>
    <t>0039-9140</t>
  </si>
  <si>
    <t>1873-3573</t>
  </si>
  <si>
    <t>Talanta</t>
  </si>
  <si>
    <t>10.1016/j.talanta.2015.03.007</t>
  </si>
  <si>
    <t>CL5GI</t>
  </si>
  <si>
    <t>WOS:000356987400004</t>
  </si>
  <si>
    <t>Maris, MNA; van Wessem, JM; van de Berg, WJ; de Boer, B; Oerlemans, J</t>
  </si>
  <si>
    <t>Maris, M. N. A.; van Wessem, J. M.; van de Berg, W. J.; de Boer, B.; Oerlemans, J.</t>
  </si>
  <si>
    <t>A model study of the effect of climate and sea-level change on the evolution of the Antarctic Ice Sheet from the Last Glacial Maximum to 2100</t>
  </si>
  <si>
    <t>Ice sheet modelling; Last Glacial Maximum; Climate change; Sea-level change; Model validation</t>
  </si>
  <si>
    <t>HISTORY; SURFACE; SHELF; CONSTRAINTS</t>
  </si>
  <si>
    <t>Due to a scarcity of observations and its long memory of uncertain past climate, the Antarctic Ice Sheet remains a largely unknown factor in the prediction of global sea level change. As the history of the ice sheet plays a key role in its future evolution, in this study we model the Antarctic Ice Sheet from the Last Glacial Maximum (21 kyr ago) until the year 2100 with the ice-dynamical model ANICE. We force the model with different temperature, surface mass balance and sea-level records to investigate the importance of these different aspects for the evolution of the ice sheet. Additionally, we compare the model output from 21 kyr ago until the present with observations to assess model performance in simulating the total grounded ice volume and the evolution of different regions of the Antarctic Ice Sheet. Although there are some clear limitations of the model, we conclude that sea-level change has driven the deglaciation of the ice sheet, whereas future temperature change and the history of the ice sheet are the primary cause of changes in ice volume in the future. We estimate the change in grounded ice volume between its maximum (around 15 kyr ago) and the present-day to be between 8.4 and 12.5 m sea-level equivalent and the contribution of the Antarctic Ice Sheet to the global mean sea level in 2100, with respect to 2000, to be -22 to 63 mm.</t>
  </si>
  <si>
    <t>[Maris, M. N. A.; van Wessem, J. M.; van de Berg, W. J.; de Boer, B.; Oerlemans, J.] Univ Utrecht, Inst Marine &amp; Atmospher Res Utrecht, NL-3508 TA Utrecht, Netherlands</t>
  </si>
  <si>
    <t>Utrecht University</t>
  </si>
  <si>
    <t>Maris, MNA (corresponding author), Univ Utrecht, Inst Marine &amp; Atmospher Res Utrecht, POB 80005, NL-3508 TA Utrecht, Netherlands.</t>
  </si>
  <si>
    <t>mnamaris@gmail.com</t>
  </si>
  <si>
    <t>van Wessem, Melchior/AAB-1987-2019; van de Berg, Willem Jan/H-4385-2011</t>
  </si>
  <si>
    <t>van de Berg, Willem Jan/0000-0002-8232-2040; de Boer, Bas/0000-0002-3696-6654; van Wessem, Melchior/0000-0003-3221-791X</t>
  </si>
  <si>
    <t>10.1007/s00382-014-2317-z</t>
  </si>
  <si>
    <t>WOS:000356807800019</t>
  </si>
  <si>
    <t>Elliot, DH; Fanning, CM; Hulett, SRW</t>
  </si>
  <si>
    <t>Elliot, David H.; Fanning, C. Mark; Hulett, Samuel R. W.</t>
  </si>
  <si>
    <t>Age provinces in the Antarctic craton: Evidence from detrital zircons in Permian strata from the Beardmore Glacier region, Antarctica</t>
  </si>
  <si>
    <t>Antarctica; Gondwana; Victoria Group; Detrital zircon geochronology; East Antarctic craton</t>
  </si>
  <si>
    <t>CENTRAL TRANSANTARCTIC MOUNTAINS; PRINCE-CHARLES MOUNTAINS; WILKES SUBGLACIAL BASIN; SOUTHERN VICTORIA LAND; EAST ANTARCTICA; U-PB; GONDWANA-MARGIN; PACIFIC MARGIN; RECYCLED MICROFOSSILS; CRUSTAL ARCHITECTURE</t>
  </si>
  <si>
    <t>The Antarctic Gondwana sequence crops out along the Transantarctic Mountains. Permian strata at Mt. Bowers and Mt. Weeks in the central part of the range were mainly derived from the ice-covered East Antarctic craton, for which the geology is inferred from coastal outcrops and the Miller Range in the Transantarctic Mountains. Analysis of detrital zircons from Permian sandstones at those two localities demonstrate a slowly changing zircon age-probability distribution for four samples from the lower part of the sequence, with an abrupt change for the upper Buckley Formation sandstone. The stratigraphically lowest sample, from a unit informally designated the Mt. Bowers sandstone, is dominated by zircons in the age range 610-540 Ma, with minor components at similar to 1.0 Ga and similar to 2.7 Ga. Upward, the Pagoda Formation sandstone is likewise dominated by zircons of 600-550 Ma age together with a significant Grenville-age cluster (1.3-1.0 Ga) and a minor 1.5-1.4 Ga cluster. The Fairchild Formation sandstone has a preponderance of grains in the range 600-530 Ma, with a scatter of older ages. Zircon grains in the lower Buckley Formation sandstone are principally in the range 575-520 Ma with another cluster at 470-450 Ma and a scattering of older ages. Most zircons in the upper Buckley Formation sandstone are Permian in age, but with a very small component in the range 650-475 Ma and a trace of older ages. Archean to early Mesoproterozoic zircon grains are few in number and may have been recycled from distal outcrops. The 1.5-1.4 Ga grains suggest an unexposed Mesoproterozoic source within the East Antarctic craton, which could have been linked to Laurentian North America. The Grenville-age source is considered to be, similarly, a sub-glacial belt in the interior of East Antarctica. Zircons with a late Neoproterozoic to Ordovician signature (600-460 Ma) were derived from a Ross Orogen foreland sequence, and/or an early and inland extension of the orogen itself. Permian zircons in the upper Buckley sandstone reflect the development of a magmatic arc on the Gondwana Pacific margin. (C) 2014 International Association for Gondwana Research. Published by Elsevier B.V. All rights reserved.</t>
  </si>
  <si>
    <t>[Elliot, David H.; Hulett, Samuel R. W.] Ohio State Univ, Sch Earth Sci, Columbus, OH 43210 USA; [Fanning, C. Mark] Ohio State Univ, Byrd Polar Res Ctr, Columbus, OH 43210 USA; [Fanning, C. Mark] Australian Natl Univ, Res Sch Earth Sci, Canberra, ACT 0200, Australia</t>
  </si>
  <si>
    <t>University System of Ohio; Ohio State University; University System of Ohio; Ohio State University; Australian National University</t>
  </si>
  <si>
    <t>Elliot, DH (corresponding author), Ohio State Univ, Sch Earth Sci, Columbus, OH 43210 USA.</t>
  </si>
  <si>
    <t>elliot.1@osu.edu; Mark.Fanning@anu.edu.au; hulett.geology@gmail.com</t>
  </si>
  <si>
    <t>Fanning, Christopher Mark/I-6449-2016</t>
  </si>
  <si>
    <t>Fanning, Christopher Mark/0000-0003-3331-3145</t>
  </si>
  <si>
    <t>NSF [ANT 0944662]; Office of Polar Programs (OPP); Directorate For Geosciences [0944662] Funding Source: National Science Foundation</t>
  </si>
  <si>
    <t>NSF(National Science Foundation (NSF)); Office of Polar Programs (OPP); Directorate For Geosciences(National Science Foundation (NSF)NSF - Directorate for Geosciences (GEO))</t>
  </si>
  <si>
    <t>This research was supported by NSF Grant ANT 0944662 to DHE. Fieldwork was made possible by the helicopter support provided by Petroleum Helicopters Inc. and by Raytheon Polar Services. John Isbell, Zelinda Koch and Danielle Sieger provided invaluable assistance in the field and discussion of the stratigraphy. Reviews by John Bradshaw and an anonymous reviewer are greatly appreciated and have much improved the manuscript. Byrd Polar Research Center Contribution No.1448.</t>
  </si>
  <si>
    <t>10.1016/j.gr.2014.03.013</t>
  </si>
  <si>
    <t>CL1ZI</t>
  </si>
  <si>
    <t>WOS:000356743000009</t>
  </si>
  <si>
    <t>Melillo, D; Varriale, S; Giacomelli, S; Natale, L; Bargelloni, L; Oreste, U; Pinto, MR; Coscia, MR</t>
  </si>
  <si>
    <t>Melillo, Daniela; Varriale, Sonia; Giacomelli, Stefano; Natale, Lenina; Bargelloni, Luca; Oreste, Umberto; Pinto, Maria Rosaria; Coscia, Maria Rosaria</t>
  </si>
  <si>
    <t>Evolution of the complement system C3 gene in Antarctic teleosts</t>
  </si>
  <si>
    <t>MOLECULAR IMMUNOLOGY</t>
  </si>
  <si>
    <t>Antarctic teleost; Complement system component C3; Anaphylatoxin; Positive evolution; Cold adaptation; Molecular flexibility</t>
  </si>
  <si>
    <t>COMPONENT C3; MOLECULAR-CLONING; BACTERIAL EXOPOLYSACCHARIDES; INTERNAL THIOESTER; CRYSTAL-STRUCTURE; COLD ADAPTATION; RAINBOW-TROUT; BONY FISH; RECEPTOR; BINDING</t>
  </si>
  <si>
    <t>Notothenioidei are typical Antarctic teleosts evolved to adapt to the very low temperatures of the Antarctic seas. Aim of the present paper is to investigate sequence and structure of C3, the third component of the complement system of the notothenioid Trematomus bernacchii and Chionodraco hamatus. We determined the complete nucleotide sequence of two C3 isoforms of T. bernacchii and a single C3 isoform of C. hamatus. These sequences were aligned against other homologous teleost sequences to check for the presence of diversifying selection. Evidence for positive selection was observed in the evolutionary lineage of Antarctic teleost C3 sequences, especially in that of C. hamatus, the most recently diverged species. Adaptive selection affected numerous amino acid positions including three residues located in the anaphylatoxin domain. In an attempt to evaluate the link between sequence variants and specific structural features, we constructed molecular models of Antarctic teleost C3s, of their proteolytic fragments C3b and C3a, and of the corresponding molecules of the phylogenetically related temperate species Epinephelus coioides, using human crystallographic structures as templates. Subsequently, we compared dynamic features of these models by molecular dynamics simulations and found that the Antarctic C3s models show higher flexibility, which likely allows for more pronounced movements of both the TED domain in C3b and the carboxyl-terminal region of C3a. As such dynamic features are associated to positively selected sites, it appears that Antarctic teleost C3 molecules positively evolved toward an increased flexibility, to cope with low kinetic energy levels of the Antarctic marine environment. (C) 2015 Elsevier Ltd. All rights reserved.</t>
  </si>
  <si>
    <t>[Melillo, Daniela; Natale, Lenina; Pinto, Maria Rosaria] Stn Zool Anton Dohrn, Dept Biol &amp; Evolut Marine Organisms, I-80121 Naples, SZN, Italy; [Varriale, Sonia; Giacomelli, Stefano; Oreste, Umberto; Coscia, Maria Rosaria] CNR, Inst Prot Biochem, I-80131 Naples, Italy; [Bargelloni, Luca] Univ Padua, Dept Comparat Biomed &amp; Food Sci, I-35131 Padua, Italy</t>
  </si>
  <si>
    <t>Stazione Zoologica Anton Dohrn di Napoli; Consiglio Nazionale delle Ricerche (CNR); Istituto di Biochimica delle Proteine (IBP-CNR); University of Padua</t>
  </si>
  <si>
    <t>Coscia, MR (corresponding author), CNR, Inst Prot Biochem, Via Pietro Castellino 111, I-80131 Naples, Italy.</t>
  </si>
  <si>
    <t>mr.coscia@ibp.cnr.it</t>
  </si>
  <si>
    <t>Coscia, Maria Rosaria/AAU-1808-2021</t>
  </si>
  <si>
    <t>Italian National Program for Antarctic Research (PNRA) [PEA2009/A1.12]</t>
  </si>
  <si>
    <t>Italian National Program for Antarctic Research (PNRA)</t>
  </si>
  <si>
    <t>This work has been supported by the Italian National Program for Antarctic Research (PNRA), grant PEA2009/A1.12. The funders had no role in study design, data collection and analysis, decision to publish, or preparation of the manuscript.</t>
  </si>
  <si>
    <t>0161-5890</t>
  </si>
  <si>
    <t>MOL IMMUNOL</t>
  </si>
  <si>
    <t>Mol. Immunol.</t>
  </si>
  <si>
    <t>10.1016/j.molimm.2015.03.247</t>
  </si>
  <si>
    <t>Biochemistry &amp; Molecular Biology; Immunology</t>
  </si>
  <si>
    <t>CL5JJ</t>
  </si>
  <si>
    <t>WOS:000356995900022</t>
  </si>
  <si>
    <t>Moeseneder, C; Dutra, L; Thebaud, O; Ellis, N; Boschetti, F; Tickell, S; Dichmont, C; de la Mare, W; Pascual, R; Cannard, T</t>
  </si>
  <si>
    <t>Moeseneder, Christian; Dutra, Leo; Thebaud, Olivier; Ellis, Nick; Boschetti, Fabio; Tickell, Sharon; Dichmont, Cathy; de la Mare, William; Pascual, Ricardo; Cannard, Toni</t>
  </si>
  <si>
    <t>A simulation interface designed for improved user interaction and learning in water quality modelling software</t>
  </si>
  <si>
    <t>ENVIRONMENTAL MODELLING &amp; SOFTWARE</t>
  </si>
  <si>
    <t>Management strategy evaluation; Simulation interface; User interactivity; Interaction; Learning; Decision support system; DSS; EDSS; Water quality; South East Queensland</t>
  </si>
  <si>
    <t>MANAGEMENT STRATEGY EVALUATION; IMPLEMENTATION; FRAMEWORK; SUPPORT; POWERFUL; SYSTEMS</t>
  </si>
  <si>
    <t>Traditional simulation software that supports management decisions is configured and run by experienced scientists. However, it is often criticised for its lack of interactivity, not only in the application of decisions but also in the display of results. This paper presents the simulation interface of software with management strategy evaluation capabilities and its capacity to enable resource managers to learn about water quality management as evaluated in a workshop setting. The software 'MSE Tool' is not intended to produce definitive real-world advice but provides a test-bed for managers to interactively design strategies and explore the complexities inherent to water quality management using a simple, yet effective, user interface. MSE Tool has been used in a pilot application that simulated the effects of management strategies applied in catchments and their effects on riverine, estuarine and marine water quality in South East Queensland, Australia. The approach and the software are suitable for reuse in other management strategy evaluation projects. (C) 2015 Elsevier Ltd. All rights reserved.</t>
  </si>
  <si>
    <t>[Moeseneder, Christian; Dutra, Leo; Thebaud, Olivier; Ellis, Nick; Boschetti, Fabio; Tickell, Sharon; Dichmont, Cathy; Pascual, Ricardo; Cannard, Toni] CSIRO, Commonwealth Sci &amp; Ind Res Org, Oceans &amp; Atmosphere Flagship Ecosci Precinct, Brisbane, Qld 4001, Australia; [Dutra, Leo] Fac Sci Technol &amp; Environm, Sch Marine Studies, Suva, Fiji; [Thebaud, Olivier] IFREMER, Maritime Econ Unit, Plouzane, France; [Thebaud, Olivier] AMURE Res Grp, Plouzane, France; [Thebaud, Olivier] Queensland Univ Technol, Sch Econ &amp; Finance, Brisbane, Qld 4000, Australia; [de la Mare, William] Australian Antarctic Div, Kingston, Tas 7050, Australia</t>
  </si>
  <si>
    <t>Commonwealth Scientific &amp; Industrial Research Organisation (CSIRO); Ifremer; Queensland University of Technology (QUT); Australian Antarctic Division</t>
  </si>
  <si>
    <t>Moeseneder, C (corresponding author), CSIRO, Oceans &amp; Atmosphere Flagship Ecosci Precinct, GPO Box 2583, Brisbane, Qld 4001, Australia.</t>
  </si>
  <si>
    <t>chris.moeseneder@csiro.au</t>
  </si>
  <si>
    <t>Cannard, Toni M/D-8005-2012; Dutra, Leo/R-6256-2019; Cannard, Toni/AAA-8521-2019; Boschetti, Fabio/A-1607-2015; Thebaud, Olivier/D-9792-2011; Moeseneder, Christian H/O-6844-2014; Pascual, Ricardo/A-2846-2012; Ellis, Nick/B-4310-2009</t>
  </si>
  <si>
    <t>Boschetti, Fabio/0000-0001-8999-6913; Thebaud, Olivier/0000-0001-8665-3827; Moeseneder, Christian H/0000-0002-6718-1913; Pascual, Ricardo/0000-0001-5171-4300; Cannard, Toni/0000-0003-4254-8683; Ellis, Nick/0000-0001-8761-5128</t>
  </si>
  <si>
    <t>1364-8152</t>
  </si>
  <si>
    <t>1873-6726</t>
  </si>
  <si>
    <t>ENVIRON MODELL SOFTW</t>
  </si>
  <si>
    <t>Environ. Modell. Softw.</t>
  </si>
  <si>
    <t>10.1016/j.envsoft.2015.04.006</t>
  </si>
  <si>
    <t>Computer Science, Interdisciplinary Applications; Engineering, Environmental; Environmental Sciences; Water Resources</t>
  </si>
  <si>
    <t>Computer Science; Engineering; Environmental Sciences &amp; Ecology; Water Resources</t>
  </si>
  <si>
    <t>CL1YR</t>
  </si>
  <si>
    <t>WOS:000356741300008</t>
  </si>
  <si>
    <t>Armbrecht, LH; Thompson, PA; Wright, SW; Schaeffer, A; Roughan, M; Henderiks, J; Armand, LK</t>
  </si>
  <si>
    <t>Armbrecht, Linda H.; Thompson, Peter A.; Wright, Simon W.; Schaeffer, Amandine; Roughan, Moninya; Henderiks, Jorijntje; Armand, Leanne K.</t>
  </si>
  <si>
    <t>Comparison of the cross-shelf phytoplankton distribution of two oceanographically distinct regions off Australia</t>
  </si>
  <si>
    <t>JOURNAL OF MARINE SYSTEMS</t>
  </si>
  <si>
    <t>Continental shelf; Microscopy; CHEMTAX; Phytoplankton size-classes; Diatoms; Synechococcus</t>
  </si>
  <si>
    <t>VERTICAL-DISTRIBUTION; CONTINENTAL-SHELF; CLASS ABUNDANCES; COASTAL STATION; CLIMATE-CHANGE; VARIABILITY; PIGMENTS; OCEAN; COMMUNITIES; SEASONALITY</t>
  </si>
  <si>
    <t>The coastline of Australia spans tropical to temperate latitudes and encompasses a highly diverse phytoplankton community. Yet little is known about environmental driving forces of compositional and distributional patterns in natural phytoplankton communities of Australia. We investigate the relationships of phytoplankton (pico-, nano-, microphytoplankton, determined by microscopy and CHEMTAX) with a variety of environmental variables along cross-shelf gradients. Case studies were conducted in two highly distinct oceanographic regions of Australia (2010/2012): the tropical-temperate Coffs Harbour region (similar to 30 degrees S, 153 degrees E), where the shelf is narrow (similar to 30 km), and the tropical Kimberley region (similar to 16 degrees S, 122 degrees E), where the shelf is-wide (similar to 200 km). We distinguished three water masses in both study regions: relatively cold, nutrient-rich inshore waters; oligotrophic, stratified offshore waters; and cold, nutrient-rich deep waters. Most phytoplankton taxa (cyanobacteria, cryptophytes, dinoflagellates, haptophytes and prasinophytes) showed group-specific relationships with similar environmental variables in both regions. Diatoms occurred in nutrient-rich inshore waters in the Kimberley, whereas they were widely spread across the narrow continental shelf at Coffs Harbour. Off Coffs Harbour, a senescent bloom of the diatom Leptocylindrus danicus probably caused shelf-scale surface nutrient depletion. While microphytoplankton clearly increased, pico- and nanophytoplankton decreased with distance from the coast over the wide shelf in the Kimberley region. In contrast, the abundance of individual phytoplankton size-classes remained relatively constant across the narrow Coffs Harbour shelf. We conclude that general similarities exist between the relationship of phytoplankton and cross-shelf environmental variables in the two sites and assign differences primarily to the varying spatial resolution of our case studies. (C) 2015 Elsevier B.V. All rights reserved.</t>
  </si>
  <si>
    <t>[Armbrecht, Linda H.; Armand, Leanne K.] Macquarie Univ, Dept Biol Sci, N Ryde, NSW 2109, Australia; [Armbrecht, Linda H.] So Cross Univ, Natl Marine Sci Ctr, Coffs Harbour, NSW 2450, Australia; [Armbrecht, Linda H.; Roughan, Moninya; Armand, Leanne K.] Sydney Inst Marine Sci, Mosman, NSW 2088, Australia; [Thompson, Peter A.] CSIRO Marine &amp; Atmospher Res, Hobart, Tas 7001, Australia; [Wright, Simon W.] Australian Antarctic Div, Kingston, Tas 7050, Australia; [Wright, Simon W.] Antarctic Climate &amp; Ecosyst Cooperat Res Ctr, Sandy Bay, Tas 7005, Australia; [Schaeffer, Amandine; Roughan, Moninya] Univ New S Wales, Sch Math &amp; Stat, Sydney, NSW 2052, Australia; [Henderiks, Jorijntje] Uppsala Univ, Dept Earth Sci, SE-75236 Uppsala, Sweden</t>
  </si>
  <si>
    <t>Macquarie University; Southern Cross University; Sydney Institute of Marine Science; Commonwealth Scientific &amp; Industrial Research Organisation (CSIRO); Australian Antarctic Division; Antarctic Climate &amp; Ecosystems Cooperative Research Centre (ACE CRC); University of New South Wales Sydney; Uppsala University</t>
  </si>
  <si>
    <t>Armbrecht, LH (corresponding author), Macquarie Univ, Dept Biol Sci, N Ryde, NSW 2109, Australia.</t>
  </si>
  <si>
    <t>linda.h.armbrecht@gmail.com</t>
  </si>
  <si>
    <t>Henderiks, Jorijntje/JGL-6527-2023; Armbrecht, Linda/GZB-0547-2022; Henderiks, Jorijntje/ABB-1080-2020; Schaeffer, Amandine/AAW-5476-2021; Armand, Leanne K/C-9004-2009; Thompson, Peter/A-2361-2012; Roughan, Moninya/B-5563-2009</t>
  </si>
  <si>
    <t>Schaeffer, Amandine/0000-0002-8320-4951; Thompson, Peter/0000-0002-9504-5433; Armand, Leanne/0000-0003-3995-308X; Henderiks, Jorijntje/0000-0001-9486-6275; Roughan, Moninya/0000-0003-3825-7533</t>
  </si>
  <si>
    <t>Australian Research Council [DP 1093510]; Macquarie University, Department of Biological Sciences (Higher Degree Research Fund); Australian Biological Resources Study; Australian Marine Sciences Association; NSW Office of Science and Medical Research (Science Leverage Fund); Australian Government through the National Collaborative Research Infrastructure Strategy; Super Science Initiative</t>
  </si>
  <si>
    <t>Australian Research Council(Australian Research Council); Macquarie University, Department of Biological Sciences (Higher Degree Research Fund); Australian Biological Resources Study; Australian Marine Sciences Association; NSW Office of Science and Medical Research (Science Leverage Fund); Australian Government through the National Collaborative Research Infrastructure Strategy(Australian GovernmentDepartment of Industry, Innovation and Science); Super Science Initiative</t>
  </si>
  <si>
    <t>We thank the Marine National Facility, which enabled the field campaign in the Kimberley region, CSIRO for providing the Kimberley dataset, and P. Bonham for technical assistance on the RV Southern Surveyor, subsequent cell counts and pigment analysis. We thank NSW IMOS for providing the facilities and infrastructure at Coffs Harbour, and T. Ingleton, P. Davies, A. Cox, A. Mantovanelli, T. Austin, M. Doblin and C. Robinson for assistance throughout the sampling. The Coffs Harbour field campaign was partially funded by a grant from the Australian Research Council, DP 1093510. We appreciate arrangement of facilities by the NMSC staff and thank M. Ostrowski for providing equipment We thank L Clementson, P. Ajani, A. Ferry and P. Petocz for assistance with HPLC analysis, phytoplankton identification and statistics. LHA was funded by Macquarie University, Department of Biological Sciences (Higher Degree Research Fund, Deputy Vice-Chancellor Research Grant), the Australian Biological Resources Study and the Australian Marine Sciences Association. AS is partially funded by the NSW Office of Science and Medical Research (Science Leverage Fund). IMOS is supported by the Australian Government through the National Collaborative Research Infrastructure Strategy and the Super Science Initiative. This is contribution no. 146 from the Sydney Institute of Marine Science.</t>
  </si>
  <si>
    <t>0924-7963</t>
  </si>
  <si>
    <t>1879-1573</t>
  </si>
  <si>
    <t>J MARINE SYST</t>
  </si>
  <si>
    <t>J. Mar. Syst.</t>
  </si>
  <si>
    <t>10.1016/j.jmarsys.2015.02.002</t>
  </si>
  <si>
    <t>Geosciences, Multidisciplinary; Marine &amp; Freshwater Biology; Oceanography</t>
  </si>
  <si>
    <t>Geology; Marine &amp; Freshwater Biology; Oceanography</t>
  </si>
  <si>
    <t>CK9FQ</t>
  </si>
  <si>
    <t>WOS:000356546400003</t>
  </si>
  <si>
    <t>Murdock, TC; Tschinkel, WR</t>
  </si>
  <si>
    <t>Murdock, T. C.; Tschinkel, W. R.</t>
  </si>
  <si>
    <t>The life history and seasonal cycle of the ant, Pheidole morrisi Forel, as revealed by wax casting</t>
  </si>
  <si>
    <t>INSECTES SOCIAUX</t>
  </si>
  <si>
    <t>Formicidae; Colony size; Seasonality; Worker size; Nest architecture; Brood production; Annual cycle</t>
  </si>
  <si>
    <t>DIVISION-OF-LABOR; FLORIDA HARVESTER ANT; FIRE ANT; POGONOMYRMEX-BADIUS; SOLENOPSIS-INVICTA; COLONY SIZE; SOCIOGENESIS; HYMENOPTERA; SOCIOMETRY; NEST</t>
  </si>
  <si>
    <t>The dimorphic ant, Pheidole morrisi Forel, is the most common ant of the longleaf pine flatwoods ecosystem of northern Florida and occurs throughout the eastern USA. Although ecologically significant, its life history, and annual cycle have been little investigated. The effects of colony size and the annual cycle were described by collecting the full range of colony sizes during each of five seasonal phases (n = 40 total). Nests were cast in wax to capture and census all colony members, and to determine their vertical distribution within the nest. Colony sizes ranged from 800 to 49,000 ants, larger than previous literature reports. Colonies invested in worker production during the spring and fall and reduced worker production as they produced alates in the summer. Colonies over 3000 workers were able to produce alates, but the number was not related to colony size. Vertical distribution of nest volume was strongly top heavy, with the greatest proportion of the nest volume near the surface. The mean weight of majors was about four times that of minors. The mean percentage of total workers that were major workers (11 % by number, 30 % by weight) did not change significantly as colonies grew, but varied with season. Production of major pupae was highest in spring, so that the percentage of colony biomass represented by majors increased from about 27 % in spring to 38 % in late summer. The overall density of the ants was highest in medium-sized colonies, lowest in small colonies, and moderate in large colonies. Broadly, the colony moved lower in the nest from summer to winter and higher from winter to summer. The seasonal vertical distribution of ants suggested that the ants responded to temperature, but not crowding. Temperatures in the nest varied from 12 to 17 A degrees C in the winter to 23-33 A degrees C in the late summer. Broods were nearly always found in the warmest regions. The distribution of callow workers was strongly correlated with that of the brood. The results are discussed in light of the utility of the wax-casting method and the nature of the data needed to describe and understand the superorganism.</t>
  </si>
  <si>
    <t>[Murdock, T. C.; Tschinkel, W. R.] Florida State Univ, Dept Biol Sci, Tallahassee, FL 32306 USA</t>
  </si>
  <si>
    <t>State University System of Florida; Florida State University</t>
  </si>
  <si>
    <t>Tschinkel, WR (corresponding author), Florida State Univ, Dept Biol Sci, B-157, Tallahassee, FL 32306 USA.</t>
  </si>
  <si>
    <t>tmurdock@bio.fsu.edu; tschinkel@bio.fsu.edu</t>
  </si>
  <si>
    <t>National Science Foundation [IOS 1021632]; Division Of Integrative Organismal Systems; Direct For Biological Sciences [1021632] Funding Source: National Science Foundation</t>
  </si>
  <si>
    <t>National Science Foundation(National Science Foundation (NSF)); Division Of Integrative Organismal Systems; Direct For Biological Sciences(National Science Foundation (NSF)NSF - Directorate for Biological Sciences (BIO)NSF - Division of Integrative Organismal Systems (IOS))</t>
  </si>
  <si>
    <t>Ryan Reynolds, Christine Stevens, Caleb Vaughn, and Alice Mallory provided help in the field. The Florida State University Antarctic Research Facility allowed us to store wax casts in their freezer. Christina Kwapich provided helpful comments and discussion. This work was partially supported by National Science Foundation IOS 1021632.</t>
  </si>
  <si>
    <t>0020-1812</t>
  </si>
  <si>
    <t>1420-9098</t>
  </si>
  <si>
    <t>INSECT SOC</t>
  </si>
  <si>
    <t>Insect. Soc.</t>
  </si>
  <si>
    <t>10.1007/s00040-015-0403-9</t>
  </si>
  <si>
    <t>CK5NM</t>
  </si>
  <si>
    <t>WOS:000356271800004</t>
  </si>
  <si>
    <t>Ryan, NJ; Walker, KA</t>
  </si>
  <si>
    <t>Ryan, Niall J.; Walker, Kaley A.</t>
  </si>
  <si>
    <t>The effect of spectroscopic parameter inaccuracies on ground-based millimeter wave remote sensing of the atmosphere</t>
  </si>
  <si>
    <t>JOURNAL OF QUANTITATIVE SPECTROSCOPY &amp; RADIATIVE TRANSFER</t>
  </si>
  <si>
    <t>Millimeter wave; Remote sensing; Retrieval; Ground-based measurements; Spectroscopic uncertainty; PEARL; Eureka; Nunavut</t>
  </si>
  <si>
    <t>ANTARCTIC SPRING STRATOSPHERE; CHLORINE MONOXIDE; FREQUENCY MEASUREMENTS; LOW ALTITUDES; RETRIEVAL; SIMULATION; GHZ</t>
  </si>
  <si>
    <t>A sensitivity study was performed to assess the impact that uncertainties in the spectroscopic parameters of atmospheric species have on the retrieval of gas concentrations using the 265-280 GHz region of the electromagnetic spectrum. Errors in the retrieval of O-3, N2O, HNO3, and ClO from spectra measured by ground-based radiometers were investigated. The goal of the study was to identify the spectroscopic parameters of these target species, and other interfering species, available in the JPL and HITRAN 2008 catalogues, which contribute the largest error to retrieved atmospheric concentration profiles in order to provide recommendations for new laboratory measurements. The parameters investigated were the line position, line strength, broadening coefficients and their temperature dependence, and pressure shift. Uncertainties in the air broadening coefficients of gases tend to contribute the largest error to retrieved atmospheric concentration profiles. For O-3 and N2O, gases with relatively strong spectral signatures, the retrieval is sensitive to uncertainties in the parameters of the main spectral line that is observed. For HNO3, the uncertainties in many closely spaced HNO3 lines can cause large errors in the retrieved profile, and for ClO, the error in the profile is dominated by uncertainties in nearby, stronger O-3 lines. Fourteen spectroscopic parameters are identified, for which updated measurements would have the most impact on the accuracy of ground-based remote sensing of the target species at 265-280 GHz. (C) 2015 Elsevier Ltd. All rights reserved.</t>
  </si>
  <si>
    <t>[Ryan, Niall J.; Walker, Kaley A.] Univ Toronto, Dept Phys, Toronto, ON M5S 1A7, Canada</t>
  </si>
  <si>
    <t>Walker, KA (corresponding author), Univ Toronto, Dept Phys, 60 St George St, Toronto, ON M5S 1A7, Canada.</t>
  </si>
  <si>
    <t>kwalker@atmosp.physics.utoronto.ca</t>
  </si>
  <si>
    <t>Connaught Research Fund at the University of Toronto; Natural Sciences and Engineering Research Council of Canada (NSERC); NSERC CREATE Training Program in Arctic Atmospheric Science; Canada Foundation for Innovation; Ontario Research Fund</t>
  </si>
  <si>
    <t>Connaught Research Fund at the University of Toronto; Natural Sciences and Engineering Research Council of Canada (NSERC)(Natural Sciences and Engineering Research Council of Canada (NSERC)); NSERC CREATE Training Program in Arctic Atmospheric Science(European Research Council (ERC)); Canada Foundation for Innovation(Canada Foundation for InnovationCGIARSpanish Government); Ontario Research Fund</t>
  </si>
  <si>
    <t>This work was supported by the Connaught Research Fund at the University of Toronto, the Natural Sciences and Engineering Research Council of Canada (NSERC), and the NSERC CREATE Training Program in Arctic Atmospheric Science. We also thank the Canada Foundation for Innovation and the Ontario Research Fund for funding an instrument design study for SPEIR. We also thank the anonymous reviewers for their helpful feedback, in particular for their input regarding the discussion section.</t>
  </si>
  <si>
    <t>0022-4073</t>
  </si>
  <si>
    <t>1879-1352</t>
  </si>
  <si>
    <t>J QUANT SPECTROSC RA</t>
  </si>
  <si>
    <t>J. Quant. Spectrosc. Radiat. Transf.</t>
  </si>
  <si>
    <t>10.1016/j.jqsrt.2015.03.012</t>
  </si>
  <si>
    <t>Optics; Spectroscopy</t>
  </si>
  <si>
    <t>CK4LW</t>
  </si>
  <si>
    <t>WOS:000356196300006</t>
  </si>
  <si>
    <t>Wu, YF; Bake, B; Zhang, JS; Rasulov, H</t>
  </si>
  <si>
    <t>Wu Yanfeng; Bake, Batur; Zhang Jusong; Rasulov, Hamid</t>
  </si>
  <si>
    <t>Spatio-temporal patterns of drought in North Xinjiang, China, 1961-2012 based on meteorological drought index</t>
  </si>
  <si>
    <t>JOURNAL OF ARID LAND</t>
  </si>
  <si>
    <t>drought; spatio-temporal pattern; drought indices; North Xinjiang</t>
  </si>
  <si>
    <t>CLIMATE; EVENTS</t>
  </si>
  <si>
    <t>Drought, which is one of the most frequently occurring severe hazards with long time scales and covering wide geographical areas, is a natural phenomenon resulting in significant economic losses in agriculture and industry. Drought is caused by an imbalance between the inputs of and the demand for water which is insufficient to meet the demands of human activities and the eco-environment. As a major arid and semi-arid area and an important agricultural region in Northwest China, North Xinjiang (NX) shows great vulnerability to drought. In this paper, the characteristics of inter-annual and seasonal drought were analyzed in terms of drought occurrence and drought coverage, by using the composite index of meteorological drought and the data of daily precipitation, air temperature, wind speed, relative humidity and sunshine duration from 38 meteorological stations during the period 1961-2012. Trend analysis, wavelet analysis and empirical orthogonal function were also applied to investigate change trend, period and regional characteristics, respectively. In NX, annual and seasonal drought occurrence and drought coverage all showed a decreasing trend that was most significant in winter (with rates of -0.26 month/10a and -15.46%, respectively), and drought occurrence in spring and summer were more frequent than that in autumn and winter. Spatially, drought was severe in eastern regions but mild in western regions of NX. Annual and seasonal drought occurrence at 38 meteorological stations displayed decreasing trends and were most significant in Shihezi-Urumqi-Changji, which can help to alleviate severe drought hazards for local agricultural production and improve human livelihood. NX can be approximately classified into three sub-regions (severe drought region, moderate drought region and mild drought region), which were calculated from annual drought frequencies. The cross wavelet transform suggested that SOI (Southern Oscillation Index), AOI (Arctic Oscillation Index), AAOI (Antarctic Oscillation Index), PAOI (Pacific/North American Oscillation Index) and NAOI (North Atlantic Oscillation Index) have significant correlation with the variation of drought occurrence in NX. To prevent and mitigate the occurrence of drought disasters in NX, agricultural and government managers should pay more attention to those drought events that occur in spring and summer.</t>
  </si>
  <si>
    <t>[Wu Yanfeng; Bake, Batur] Xinjiang Agr Univ, Coll Grassland &amp; Environm Sci, Urumqi 830052, Peoples R China; [Zhang Jusong] Xinjiang Agr Univ, Coll Agron, Urumqi 830052, Peoples R China; [Rasulov, Hamid] Tajik Agrarian Univ, Fac Hydrometeorol, Dushanbe 734003, Tajikistan</t>
  </si>
  <si>
    <t>Xinjiang Agricultural University; Xinjiang Agricultural University; Tajik Agrarian University Named Shirinsho Shotemur</t>
  </si>
  <si>
    <t>Bake, B (corresponding author), Xinjiang Agr Univ, Coll Grassland &amp; Environm Sci, Urumqi 830052, Peoples R China.</t>
  </si>
  <si>
    <t>baturbake@xjau.edu.cn</t>
  </si>
  <si>
    <t>Wu, Yanfeng/I-5630-2017</t>
  </si>
  <si>
    <t>Wu, Yanfeng/0000-0001-9441-8499</t>
  </si>
  <si>
    <t>International Science &amp; Technology Cooperation Program of China [2010DFA92720]; Scientific Innovation Research Project for Graduate Students of Xinjiang; Soil Science Key Discipline Project of Xinjiang Uygur Autonomous Region</t>
  </si>
  <si>
    <t>International Science &amp; Technology Cooperation Program of China; Scientific Innovation Research Project for Graduate Students of Xinjiang; Soil Science Key Discipline Project of Xinjiang Uygur Autonomous Region</t>
  </si>
  <si>
    <t>This study was supported by International Science &amp; Technology Cooperation Program of China (2010DFA92720), the Scientific Innovation Research Project for Graduate Students of Xinjiang, and Soil Science Key Discipline Project of Xinjiang Uygur Autonomous Region.</t>
  </si>
  <si>
    <t>1674-6767</t>
  </si>
  <si>
    <t>2194-7783</t>
  </si>
  <si>
    <t>J ARID LAND</t>
  </si>
  <si>
    <t>J. Arid Land</t>
  </si>
  <si>
    <t>10.1007/s40333-015-0125-x</t>
  </si>
  <si>
    <t>CG3XQ</t>
  </si>
  <si>
    <t>WOS:000353213300011</t>
  </si>
  <si>
    <t>Lang, SA; Liu, XJ; Zhao, B; Chen, XW; Fang, GY</t>
  </si>
  <si>
    <t>Lang, Shinan; Liu, Xiaojun; Zhao, Bo; Chen, Xiuwei; Fang, Guangyou</t>
  </si>
  <si>
    <t>Focused Synthetic Aperture Radar Processing of Ice-Sounding Data Collected Over the East Antarctic Ice Sheet via the Modified Range Migration Algorithm Using Curvelets</t>
  </si>
  <si>
    <t>IEEE TRANSACTIONS ON GEOSCIENCE AND REMOTE SENSING</t>
  </si>
  <si>
    <t>Curvelets as building blocks of ice-sounding data; East Antarctic Ice Sheet (EAIS); High-Resolution Ice-Sounding Radar (HRISR); imaging of ice sheets; modified range migration algorithm using curvelets; speckle noise</t>
  </si>
  <si>
    <t>WEST ANTARCTICA</t>
  </si>
  <si>
    <t>In this paper, we propose a new algorithm to address the speckle noise problem in imaging of ice sheets. It is a wave-equation-based ice-sounding imaging method using curvelets as building blocks of ice-sounding data, which successfully images the topography of ice sheets. First, theory analysis has been carried on to the proposed algorithm. Then, we give the specific steps to implement this algorithm. Finally, we apply this algorithm to the simulation point targets and High-Resolution Ice-Sounding Radar data to prove its validity of imaging of ice sheets. Furthermore, compared with five previous methods in two major aspects-the power of clutter reduction and the equivalent number of looks-the proposed algorithm reduces the speckle noise during the imaging processing without degrading the ability in clutter reduction.</t>
  </si>
  <si>
    <t>[Lang, Shinan; Liu, Xiaojun; Zhao, Bo; Chen, Xiuwei; Fang, Guangyou] Chinese Acad Sci, Inst Elect, Key Lab Electromagnet Radiat &amp; Sensing Technol, Beijing 100190, Peoples R China; [Lang, Shinan] Univ Chinese Acad Sci, Beijing 100049, Peoples R China</t>
  </si>
  <si>
    <t>Chinese Academy of Sciences; Institute of Electronics, CAS; Chinese Academy of Sciences; University of Chinese Academy of Sciences, CAS</t>
  </si>
  <si>
    <t>Lang, SA (corresponding author), Chinese Acad Sci, Inst Elect, Key Lab Electromagnet Radiat &amp; Sensing Technol, Beijing 100190, Peoples R China.</t>
  </si>
  <si>
    <t>langshinan@gmail.com</t>
  </si>
  <si>
    <t>bo, zhao/JRY-8300-2023; Sun, Peng/KDO-4243-2024; Chen, Xiuwei/AAH-6695-2021</t>
  </si>
  <si>
    <t>National High Technology Research and Development Program of China (863 Program) [2011AA040202]; National Natural Science Foundation of China [41306203, 41101071]</t>
  </si>
  <si>
    <t>National High Technology Research and Development Program of China (863 Program)(National High Technology Research and Development Program of China); National Natural Science Foundation of China(National Natural Science Foundation of China (NSFC))</t>
  </si>
  <si>
    <t>This work was supported in part by the National High Technology Research and Development Program of China (863 Program) under Grant 2011AA040202 and in part by the National Natural Science Foundation of China under Grant 41306203 and Grant 41101071. (Corresponding author: S. Lang.)</t>
  </si>
  <si>
    <t>0196-2892</t>
  </si>
  <si>
    <t>1558-0644</t>
  </si>
  <si>
    <t>IEEE T GEOSCI REMOTE</t>
  </si>
  <si>
    <t>IEEE Trans. Geosci. Remote Sensing</t>
  </si>
  <si>
    <t>10.1109/TGRS.2015.2400473</t>
  </si>
  <si>
    <t>Geochemistry &amp; Geophysics; Engineering, Electrical &amp; Electronic; Remote Sensing; Imaging Science &amp; Photographic Technology</t>
  </si>
  <si>
    <t>Geochemistry &amp; Geophysics; Engineering; Remote Sensing; Imaging Science &amp; Photographic Technology</t>
  </si>
  <si>
    <t>CE3XQ</t>
  </si>
  <si>
    <t>WOS:000351763800028</t>
  </si>
  <si>
    <t>Scher, HD; Whittaker, JM; Williams, SE; Latimer, JC; Kordesch, WEC; Delaney, ML</t>
  </si>
  <si>
    <t>Scher, Howie D.; Whittaker, Joanne M.; Williams, Simon E.; Latimer, Jennifer C.; Kordesch, Wendy E. C.; Delaney, Margaret L.</t>
  </si>
  <si>
    <t>Onset of Antarctic Circumpolar Current 30 million years ago as Tasmanian Gateway aligned with westerlies</t>
  </si>
  <si>
    <t>SOUTHERN-OCEAN; ISOTOPIC COMPOSITION; CASCADE SEAMOUNT; ATLANTIC SECTOR; BOTTOM WATER; PACIFIC; DEEP; ND; EOCENE; NEODYMIUM</t>
  </si>
  <si>
    <t>Earth's mightiest ocean current, the Antarctic Circumpolar Current (ACC), regulates the exchange of heat and carbon between the ocean and the atmosphere(1), and influences vertical ocean structure, deep-water production(2) and the global distribution of nutrients and chemical tracers(3). The eastward-flowing ACC occupies a unique circumglobal pathway in the Southern Ocean that was enabled by the tectonic opening of key oceanic gateways during the break-up of Gondwana (for example, by the opening of the Tasmanian Gateway, which connects the Indian and Pacific oceans). Although the ACC is a key component of Earth's present and past climate system(1), the timing of the appearance of diagnostic features of the ACC (for example, low zonal gradients in water-mass tracer fields(4-7)) is poorly known and represents a fundamental gap in our understanding of Earth history. Here we show, using geophysically determined positions of continent-ocean boundaries(8), that the deep Tasmanian Gateway opened 33.5+/-1.5 million years ago (the errors indicate uncertainty in the boundary positions). Following this opening, sediments from Indian and Pacific cores recorded Pacific-type neodymium isotope ratios, revealing deep westward flow equivalent to the present-day Antarctic Slope Current. We observe onset of the ACC at around 30 million years ago, when Southern Ocean neodymium isotopes record a permanent shift to modern Indian-Atlantic ratios. Our reconstructions of ocean circulation show that massive reorganization and homogenization of Southern Ocean water masses coincided with migration of the northern margin of the Tasmanian Gateway into the mid-latitude westerly wind band, which we reconstruct at 64 degrees S, near to the northern margin. Onset of the ACC about 30 million years ago coincided with major changes in global ocean circulation(9) and probably contributed to the lower atmospheric carbon dioxide levels that appear after this time(10).</t>
  </si>
  <si>
    <t>[Scher, Howie D.] Univ S Carolina, Dept Earth &amp; Ocean Sci, Columbia, SC 29208 USA; [Whittaker, Joanne M.] Univ Tasmania, Inst Marine &amp; Antarctic Studies, Hobart, Tas 7001, Australia; [Williams, Simon E.] Univ Sydney, Sch Geosci, EarthByte Grp, Sydney, NSW 2006, Australia; [Latimer, Jennifer C.] Indiana State Univ, Dept Earth &amp; Environm Syst, Terre Haute, IN 47809 USA; [Kordesch, Wendy E. C.] Univ Southampton, Natl Oceanog Ctr, Dept Ocean &amp; Earth Sci, Southampton SO14 3ZH, Hants, England; [Delaney, Margaret L.] Univ Calif Santa Cruz, Ocean Sci Dept, Santa Cruz, CA 95064 USA; [Delaney, Margaret L.] Univ Calif Santa Cruz, Inst Marine Sci, Santa Cruz, CA 95064 USA</t>
  </si>
  <si>
    <t>University of South Carolina System; University of South Carolina Columbia; University of Tasmania; University of Sydney; Indiana State University; University of Southampton; NERC National Oceanography Centre; University of California System; University of California Santa Cruz; University of California System; University of California Santa Cruz</t>
  </si>
  <si>
    <t>Scher, HD (corresponding author), Univ S Carolina, Dept Earth &amp; Ocean Sci, Columbia, SC 29208 USA.</t>
  </si>
  <si>
    <t>hscher@geol.sc.edu</t>
  </si>
  <si>
    <t>Scher, Howie/C-4927-2013; Whittaker, Joanne/B-3695-2010</t>
  </si>
  <si>
    <t>Williams, Simon/0000-0003-4670-8883; Whittaker, Joanne/0000-0002-3170-3935; Kordesch, Wendy/0000-0002-8385-6634</t>
  </si>
  <si>
    <t>UTAS IMAS Visiting Scholarship; EES travel grant; US National Science Foundation (NSF) [OCE 1155630]; ARC [DE140100376]; NSF [OCE-0647876]; Division Of Ocean Sciences; Directorate For Geosciences [1155630] Funding Source: National Science Foundation</t>
  </si>
  <si>
    <t>UTAS IMAS Visiting Scholarship; EES travel grant; US National Science Foundation (NSF)(National Science Foundation (NSF)); ARC(Australian Research Council); NSF(National Science Foundation (NSF)); Division Of Ocean Sciences; Directorate For Geosciences(National Science Foundation (NSF)NSF - Directorate for Geosciences (GEO))</t>
  </si>
  <si>
    <t>H.D.S. received support from an UTAS IMAS Visiting Scholarship and an EES travel grant while this manuscript was prepared, and was supported by the US National Science Foundation (NSF) award OCE 1155630. J.M.W. was supported by ARC grant DE140100376. M.L.D. was supported by NSF award OCE-0647876. This research used data and samples from the Ocean Drilling Program (ODP), which was sponsored by the NSF and participating countries under the management of Joint Oceanographic Institutions. GPlates is free software that is licensed for distribution under the GNU General Public License v2 (http://www.gplates.org). Researchers in the EarthByte group have made GPlates compatible data available, some of which were used in this study. We thank C. Moy, C. Riesselman, R. Rykaczewski and A. Winguth for discussions. M. Seton and W. Sijp provided feedback on an early version of the manuscript. J. Aggarwal, E. Bair, M. Frank and S. Sampson provided analytical support.</t>
  </si>
  <si>
    <t>JUL 30</t>
  </si>
  <si>
    <t>10.1038/nature14598</t>
  </si>
  <si>
    <t>CN7ZL</t>
  </si>
  <si>
    <t>WOS:000358655200042</t>
  </si>
  <si>
    <t>Flynn, EE; Bjelde, BE; Miller, NA; Todgham, AE</t>
  </si>
  <si>
    <t>Flynn, Erin E.; Bjelde, Brittany E.; Miller, Nathan A.; Todgham, Anne E.</t>
  </si>
  <si>
    <t>Ocean acidification exerts negative effects during warming conditions in a developing Antarctic fish</t>
  </si>
  <si>
    <t>Early development; global climate change; Gymnodraco acuticeps; physiological performance; polar fishes</t>
  </si>
  <si>
    <t>EARLY-LIFE-HISTORY; SIZE-AT-AGE; CLIMATE-CHANGE; ELEVATED-TEMPERATURE; NOTOTHENIOID FISHES; SOUTHERN-OCEAN; CO2 TOLERANCE; MARINE; IMPACT; STRESSORS</t>
  </si>
  <si>
    <t>Anthropogenic CO2 is rapidly causing oceans to become warmer and more acidic, challenging marine ectotherms to respond to simultaneous changes in their environment. While recent work has highlighted that marine fishes, particularly during early development, can be vulnerable to ocean acidification, we lack an understanding of how life-history strategies, ecosystems and concurrent ocean warming interplay with interspecific susceptibility. To address the effects of multiple ocean changes on cold-adapted, slowly developing fishes, we investigated the interactive effects of elevated partial pressure of carbon dioxide (pCO(2)) and temperature on the embryonic physiology of an Antarctic dragonfish (Gymnodraco acuticeps), with protracted embryogenesis (similar to 10 months). Using an integrative, experimental approach, our research examined the impacts of near-future warming [-1 (ambient) and 2 degrees C (+3 degrees C)] and ocean acidification [420 (ambient), 650 (moderate) and 1000 mu atm pCO(2) (high)] on survival, development and metabolic processes over the course of 3 weeks in early development. In the presence of increased pCO(2) alone, embryonic mortality did not increase, with greatest overall survival at the highest pCO(2). Furthermore, embryos were significantly more likely to be at a later developmental stage at high pCO(2) by 3 weeks relative to ambient pCO(2). However, in combined warming and ocean acidification scenarios, dragonfish embryos experienced a dose-dependent, synergistic decrease in survival and developed more slowly. We also found significant interactions between temperature, pCO(2) and time in aerobic enzyme activity (citrate synthase). Increased temperature alone increased whole-organism metabolic rate (O-2 consumption) and developmental rate and slightly decreased osmolality at the cost of increased mortality. Our findings suggest that developing dragonfish are more sensitive to ocean warming and may experience negative physiological effects of ocean acidification only in the presence of an increased temperature. In addition to reduced hatching success, alterations in development and metabolism due to ocean warming and acidification could have negative ecological consequences owing to changes in phenology (i.e. early hatching) in the highly seasonal Antarctic ecosystem.</t>
  </si>
  <si>
    <t>[Flynn, Erin E.; Miller, Nathan A.] San Francisco State Univ, Dept Biol, San Francisco, CA 94132 USA; [Flynn, Erin E.; Bjelde, Brittany E.; Miller, Nathan A.; Todgham, Anne E.] Univ Calif Davis, Dept Anim Sci, Davis, CA 95616 USA</t>
  </si>
  <si>
    <t>California State University System; San Francisco State University; University of California System; University of California Davis</t>
  </si>
  <si>
    <t>Todgham, AE (corresponding author), Univ Calif Davis, Dept Anim Sci, Davis, CA 95616 USA.</t>
  </si>
  <si>
    <t>todgham@ucdavis.edu</t>
  </si>
  <si>
    <t>Davis, Brittany/0000-0003-3752-1830</t>
  </si>
  <si>
    <t>National Science Foundation [NSF ANT-1142122]; Achievement Rewards for College Scientists (ARCS) Foundation; Council on Ocean Affairs, Science and Technology (COAST); San Francisco State University Biology Department; Office of Polar Programs (OPP); Directorate For Geosciences [1142122] Funding Source: National Science Foundation</t>
  </si>
  <si>
    <t>National Science Foundation(National Science Foundation (NSF)); Achievement Rewards for College Scientists (ARCS) Foundation; Council on Ocean Affairs, Science and Technology (COAST); San Francisco State University Biology Department; Office of Polar Programs (OPP); Directorate For Geosciences(National Science Foundation (NSF)NSF - Directorate for Geosciences (GEO))</t>
  </si>
  <si>
    <t>This work was supported by the National Science Foundation [NSF ANT-1142122 to A.E.T.], an Achievement Rewards for College Scientists (ARCS) Foundation award to E.E.F., a Council on Ocean Affairs, Science and Technology (COAST) student award to E.E.F. and a San Francisco State University Biology Department scholarship to E.E.F.</t>
  </si>
  <si>
    <t>cov033</t>
  </si>
  <si>
    <t>10.1093/conphys/cov033</t>
  </si>
  <si>
    <t>DK8SP</t>
  </si>
  <si>
    <t>WOS:000375198900001</t>
  </si>
  <si>
    <t>Sigl, M; Winstrup, M; McConnell, JR; Welten, KC; Plunkett, G; Ludlow, F; Büntgen, U; Caffee, M; Chellman, N; Dahl-Jensen, D; Fischer, H; Kipfstuhl, S; Kostick, C; Maselli, OJ; Mekhaldi, F; Mulvaney, R; Muscheler, R; Pasteris, DR; Pilcher, JR; Salzer, M; Schüpbach, S; Steffensen, JP; Vinther, BM; Woodruff, TE</t>
  </si>
  <si>
    <t>Sigl, M.; Winstrup, M.; McConnell, J. R.; Welten, K. C.; Plunkett, G.; Ludlow, F.; Buentgen, U.; Caffee, M.; Chellman, N.; Dahl-Jensen, D.; Fischer, H.; Kipfstuhl, S.; Kostick, C.; Maselli, O. J.; Mekhaldi, F.; Mulvaney, R.; Muscheler, R.; Pasteris, D. R.; Pilcher, J. R.; Salzer, M.; Schuepbach, S.; Steffensen, J. P.; Vinther, B. M.; Woodruff, T. E.</t>
  </si>
  <si>
    <t>Timing and climate forcing of volcanic eruptions for the past 2,500 years</t>
  </si>
  <si>
    <t>CONTINUOUS-FLOW ANALYSIS; TREE-RING WIDTH; ICE CORES; MILLENNIUM ERUPTION; BRISTLECONE-PINE; COMMON ERA; AD 774-775; GREENLAND; TEMPERATURE; VARIABILITY</t>
  </si>
  <si>
    <t>Volcanic eruptions contribute to climate variability, but quantifying these contributions has been limited by inconsistencies in the timing of atmospheric volcanic aerosol loading determined from ice cores and subsequent cooling from climate proxies such as tree rings. Here we resolve these inconsistencies and show that large eruptions in the tropics and high latitudes were primary drivers of interannual-to-decadal temperature variability in the Northern Hemisphere during the past 2,500 years. Our results are based on new records of atmospheric aerosol loading developed from high-resolution, multi-parameter measurements from an array of Greenland and Antarctic ice cores as well as distinctive age markers to constrain chronologies. Overall, cooling was proportional to the magnitude of volcanic forcing and persisted for up to ten years after some of the largest eruptive episodes. Our revised timescale more firmly implicates volcanic eruptions as catalysts in the major sixth-century pandemics, famines, and socioeconomic disruptions in Eurasia and Mesoamerica while allowing multi-millennium quantification of climate response to volcanic forcing.</t>
  </si>
  <si>
    <t>[Sigl, M.; McConnell, J. R.; Chellman, N.; Maselli, O. J.; Pasteris, D. R.] Nevada Syst Higher Educ, Desert Res Inst, Reno, NV 89512 USA; [Winstrup, M.] Univ Washington, Dept Earth &amp; Space Sci, Seattle, WA 98195 USA; [Welten, K. C.] Univ Calif Berkeley, Space Sci Lab, Berkeley, CA 94720 USA; [Plunkett, G.; Pilcher, J. R.] Queens Univ Belfast, Sch Geog Archaeol &amp; Palaeoecol, Belfast BT7 1NN, Antrim, North Ireland; [Ludlow, F.] Yale Univ, Yale Climate &amp; Energy Inst, New Haven, CT 06511 USA; [Ludlow, F.] Yale Univ, Dept Hist, New Haven, CT 06511 USA; [Buentgen, U.] Swiss Fed Res Inst WSL, CH-8903 Birmensdorf, Switzerland; [Buentgen, U.; Fischer, H.] Univ Bern, Oeschger Ctr Climate Change Res, CH-3012 Bern, Switzerland; [Buentgen, U.] Global Change Res Ctr AS CR, Brno 60300, Czech Republic; [Caffee, M.; Woodruff, T. E.] Purdue Univ, Dept Phys, W Lafayette, IN 47907 USA; [Caffee, M.] Purdue Univ, Dept Earth Atmospher &amp; Planetary Sci, W Lafayette, IN 47907 USA; [Dahl-Jensen, D.; Steffensen, J. P.; Vinther, B. M.] Univ Copenhagen, Niels Bohr Inst, Ctr Ice &amp; Climate, DK-2100 Copenhagen, Denmark; [Fischer, H.; Schuepbach, S.] Univ Bern, Climate &amp; Environm Phys, CH-3012 Bern, Switzerland; [Kipfstuhl, S.] Helmholtz Zentrum Polar &amp; Meeresforsch, Alfred Wegener Inst, D-27570 Bremerhaven, Germany; [Kostick, C.] Univ Nottingham, Dept Hist, Nottingham NG7 2RD, England; [Mekhaldi, F.; Muscheler, R.] Lund Univ, Quaternary Sci, Dept Geol, S-22362 Lund, Sweden; [Mulvaney, R.] British Antarctic Survey, NERC, Cambridge CB3 0ET, England; [Salzer, M.] Univ Arizona, Tree Ring Res Lab, Tucson, AZ 85721 USA</t>
  </si>
  <si>
    <t>Nevada System of Higher Education (NSHE); Desert Research Institute NSHE; University of Washington; University of Washington Seattle; University of California System; University of California Berkeley; Queens University Belfast; Yale University; Yale University; Swiss Federal Institutes of Technology Domain; Swiss Federal Institute for Forest, Snow &amp; Landscape Research; University of Bern; Czech Academy of Sciences; Global Change Research Centre of the Czech Academy of Sciences; Purdue University System; Purdue University; Purdue University System; Purdue University; University of Copenhagen; Niels Bohr Institute; University of Bern; Helmholtz Association; Alfred Wegener Institute, Helmholtz Centre for Polar &amp; Marine Research; University of Nottingham; Lund University; UK Research &amp; Innovation (UKRI); Natural Environment Research Council (NERC); NERC British Antarctic Survey; University of Arizona</t>
  </si>
  <si>
    <t>McConnell, JR (corresponding author), Nevada Syst Higher Educ, Desert Res Inst, Reno, NV 89512 USA.</t>
  </si>
  <si>
    <t>joe.mcconnell@dri.edu</t>
  </si>
  <si>
    <t>Salzer, Matthew/AAG-1405-2019; Mulvaney, Robert/K-3929-2012; Caffee, Marc W/K-7025-2015; Plunkett, Gill/M-9934-2019; Dahl-Jensen, Dorthe/AAO-6951-2020; Plunkett, Gill/F-3311-2010; Mekhaldi, Florian/IZD-7414-2023; Steffensen, Jorgen Peder/JFS-7831-2023; buentgen, ulf/J-6952-2013; Fischer, Hubertus/A-1211-2014; Winstrup, Mai/M-5844-2014</t>
  </si>
  <si>
    <t>Salzer, Matthew/0000-0001-5353-7459; Plunkett, Gill/0000-0003-1014-3454; Dahl-Jensen, Dorthe/0000-0002-1474-1948; Steffensen, Jorgen Peder/0000-0002-5516-1093; Ludlow, Francis/0000-0003-0008-0314; Sigl, Michael/0000-0002-9028-9703; Kostick, Conor/0000-0002-4767-7380; Muscheler, Raimund/0000-0003-2772-3631; Fischer, Hubertus/0000-0002-2787-4221; Vinther, Bo/0000-0002-6078-771X; Winstrup, Mai/0000-0002-4794-4004; Welten, Kees/0000-0001-8577-6753</t>
  </si>
  <si>
    <t>US National Science Foundation (NSF); FNRS-CFB in Belgium; FWO in Belgium; NRCan/GSC in Canada; CAS in China; FIST in Denmark; IPEV in France; CNRS/INSU in France; CEA in France; ANR in France; AWI in Germany; RannIs in Iceland; NIPR in Japan; KOPRI in Korea; NWO/ALW in The Netherlands; VR in Sweden; SNF in Switzerland; NERC in UK; US NSF, Office of Polar Programs in USA; NSF/OPP [0839093, 0968391, 1142166, 0909541, 1023672, 1204176, 0636964, 0839137, 0839042, 0636815]; Villum Foundation; Yale Climate and Energy Institute; Initiative for the Science of the Human Past at Harvard; Rachel Carson Center for Environment and Society of the Ludwig-Maximilians-Universitat (LMU Munich); Marie Curie FP7 Integration Grant within the 7th European Union Framework Programme; NSF [ATM1203749]; Swedish Research Council [DNR2013-8421]; SNF; Oeschger Centre; Directorate For Geosciences; Div Atmospheric &amp; Geospace Sciences [1203301, 1203749] Funding Source: National Science Foundation; Directorate For Geosciences; Office of Polar Programs (OPP) [1204176, 1142166, 0636815, 0636964, 0944348, 1023672] Funding Source: National Science Foundation; Division Of Earth Sciences; Directorate For Geosciences [1153689] Funding Source: National Science Foundation; Office of Polar Programs (OPP); Directorate For Geosciences [0839137, 0839042] Funding Source: National Science Foundation; Office Of The Director; Office Of Internatl Science &amp;Engineering [0968391] Funding Source: National Science Foundation; Natural Environment Research Council [bas0100034] Funding Source: researchfish; NERC [bas0100034] Funding Source: UKRI</t>
  </si>
  <si>
    <t>US National Science Foundation (NSF)(National Science Foundation (NSF)); FNRS-CFB in Belgium(Fonds de la Recherche Scientifique - FNRS); FWO in Belgium(FWO); NRCan/GSC in Canada; CAS in China; FIST in Denmark; IPEV in France; CNRS/INSU in France; CEA in France; ANR in France(Agence Nationale de la Recherche (ANR)); AWI in Germany; RannIs in Iceland; NIPR in Japan; KOPRI in Korea(Korea Polar Research Institute of Marine Research Placement (KOPRI)); NWO/ALW in The Netherlands; VR in Sweden(Swedish Research Council); SNF in Switzerland; NERC in UK(UK Research &amp; Innovation (UKRI)Natural Environment Research Council (NERC)); US NSF, Office of Polar Programs in USA(National Science Foundation (NSF)); NSF/OPP(National Science Foundation (NSF)NSF - Directorate for Geosciences (GEO)); Villum Foundation(Villum Fonden); Yale Climate and Energy Institute; Initiative for the Science of the Human Past at Harvard; Rachel Carson Center for Environment and Society of the Ludwig-Maximilians-Universitat (LMU Munich); Marie Curie FP7 Integration Grant within the 7th European Union Framework Programme(Marie Curie ActionsEuropean Union (EU)); NSF(National Science Foundation (NSF)); Swedish Research Council(Swedish Research Council); SNF; Oeschger Centre; Directorate For Geosciences; Div Atmospheric &amp; Geospace Sciences(National Science Foundation (NSF)NSF - Directorate for Geosciences (GEO)); Directorate For Geosciences; Office of Polar Programs (OPP)(National Science Foundation (NSF)NSF - Directorate for Geosciences (GEO)); Division Of Earth Sciences; Directorate For Geosciences(National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 Natural Environment Research Council(UK Research &amp; Innovation (UKRI)Natural Environment Research Council (NERC)); NERC(UK Research &amp; Innovation (UKRI)Natural Environment Research Council (NERC))</t>
  </si>
  <si>
    <t>We thank the many people involved in logistics, drill development and drilling, and ice-core processing and analysis in the field and our laboratories. This work was supported by the US National Science Foundation (NSF). We appreciate the support of the WAIS Divide Science Coordination Office (M. Twickler and J. Souney) for collection and distribution of the WAIS Divide ice core; Ice Drilling and Design and Operations (K. Dahnert) for drilling; the National Ice Core Laboratory (B. Bencivengo) for curating the core; Raytheon Polar Services (M. Kippenhan) for logistics support in Antarctica; and the 109th New York Air National Guard for airlift in Antarctica. NEEM is directed and organized by the Center of Ice and Climate at the Niels Bohr Institute and the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the UK (NERC), and the USA (the US NSF, Office of Polar Programs). We thank B. Nolan, O. Amir, K. D. Pang, M. McCormick, A. Matthews, and B. Rossignol for assistance in surveying and/or interpreting the historical evidence. We thank S. Kuehn for commenting on possible correlations for the tephra. We thank A. Aldahan and G. Possnert for their support in the NGRIP 10Be preparations and measurements at the Department of Earth Sciences and the Tandem laboratory at Uppsala University. We gratefully acknowledge R. Kreidberg for his editorial advice. The following individual grants supported this work: NSF/OPP grants 0839093, 0968391, and 1142166 to J. R. M. for development of the Antarctic ice core records and NSF/OPP grants 0909541, 1023672, and 1204176 to J.R.M. for development of the Arctic ice core records. M.W. was funded by the Villum Foundation. K.C.W. was funded by NSF/OPP grants 0636964 and 0839137. M.C. and T.E.W. were funded by NSF/OPP grants 0839042 and 0636815. F.L. was funded by the Yale Climate and Energy Institute, Initiative for the Science of the Human Past at Harvard, and the Rachel Carson Center for Environment and Society of the Ludwig-Maximilians-Universitat (LMU Munich). C.K. was funded by a Marie Curie FP7 Integration Grant within the 7th European Union Framework Programme. M. Salzer was funded by NSF grantATM1203749. R.M. was funded by the Swedish Research Council (DNR2013-8421). The division of Climate and Environmental Physics, Physics Institute, University of Bern, acknowledges financial support by the SNF and the Oeschger Centre.</t>
  </si>
  <si>
    <t>10.1038/nature14565</t>
  </si>
  <si>
    <t>WOS:000358655200035</t>
  </si>
  <si>
    <t>Liu, JJ; Hu, HQ; Han, DS; Yang, HG; Lester, M</t>
  </si>
  <si>
    <t>Liu, Jianjun; Hu, Hongqiao; Han, Desheng; Yang, Huigen; Lester, Mark</t>
  </si>
  <si>
    <t>Simultaneous ground-based optical and SuperDARN observations of the shock aurora at MLT noon</t>
  </si>
  <si>
    <t>Interplanetary shock; Sudden impulse; Optical aurora; SuperDARN; Sunward flow</t>
  </si>
  <si>
    <t>INTERPLANETARY MAGNETIC-FIELD; WIND DYNAMIC PRESSURE; SOLAR-WIND; HF RADAR; MAGNETOSPHERIC RESPONSE; LATITUDE RECONNECTION; DAYSIDE AURORA; PRECIPITATION; CUSP; INTENSIFICATION</t>
  </si>
  <si>
    <t>Using ground-based high temporal and spatial optical aurora observations, we investigated one fortuitous event to illustrate the direct responses of the fine structure auroral emission to interplanetary shock on 7 January 2005. During the shock impact to the magnetosphere, the Chinese Arctic Yellow River Station (YRS) equipped with all-sky imagers (ASIs) was situated at the magnetic local noon region (similar to 1210 MLT) in the Northern Hemisphere, while the SuperDARN CUTLASS Finland HF radar covering the field of view (FOV) of the ASIs at YRS had fine ionospheric plasma convection measurement. We observed that an intensified red aurora manifesting as a discrete emission band at a higher latitude responds to the shock impact gradually, which results in a distinct broadening of the dayside auroral oval due to the equatorward shifting of its lower latitude boundary after the shock arrival. In contrast, the green diffuse aurora, manifesting as a relatively uniform luminosity structure, reacts immediately to the shock compression, displaying prompt appearance in the southern edge of the FOV and subsequent poleward propagation of its higher latitude boundary. Simultaneously, the CUTLASS Finland radar monitored enhanced backscatter echo power and increased echo number, which coincided with intensified discrete aurora in approximately the same latitudinal region. Doppler velocity measurement showed moving ionospheric irregularities with generally enhanced line-of-sight (LOS) speed, but with prominent sunward flow in the polar cap and antisunward flow in both the eastern and western regions. The SuperDARN global ionospheric convection pattern clearly presented a large-scale plasma flow divided in four circulation cells, with two reversed flow cells nested in the noon sector of the polar cap. These direct observations strongly suggest that the prompt shock compression intensified the wave-particle interaction in the inner magnetosphere and enhanced the lobe magnetic reconnection rate at magnetospheric high latitude.</t>
  </si>
  <si>
    <t>[Liu, Jianjun; Hu, Hongqiao; Han, Desheng; Yang, Huigen] Polar Res Inst China, SOA Key Lab Polar Sci, Shanghai 200136, Peoples R China; [Liu, Jianjun] Chinese Acad Sci, State Key Lab Space Weather, Beijing 100080, Peoples R China; [Lester, Mark] Univ Leicester, Dept Phys &amp; Astron, Leicester LE1 7RH, Leics, England</t>
  </si>
  <si>
    <t>Polar Research Institute of China; Chinese Academy of Sciences; University of Leicester</t>
  </si>
  <si>
    <t>Liu, JJ (corresponding author), Polar Res Inst China, SOA Key Lab Polar Sci, Shanghai 200136, Peoples R China.</t>
  </si>
  <si>
    <t>liujianjun@pric.org.cn</t>
  </si>
  <si>
    <t>Lester, Mark/C-9657-2016; Han, Desheng/P-2663-2017; Han, Desheng/H-6971-2018</t>
  </si>
  <si>
    <t>Han, Desheng/0000-0002-6635-9214</t>
  </si>
  <si>
    <t>National Natural Science Foundation of China [41431072, 41304149, 41374161]; Polar Environment Comprehensive investigation and Assessment Programs (CHINARE); International Collaboration Supporting Project, Chinese Arctic and Antarctic Administration [IC01303]; Pudong development of scieintific and technology program [PKC2013-207]; Specialized Research Fund for State Key Laboratories; Chinese Meridian Project; Science and Technology Facilities Council [PP/E007929/1] Funding Source: researchfish; STFC [PP/E007929/1] Funding Source: UKRI</t>
  </si>
  <si>
    <t>National Natural Science Foundation of China(National Natural Science Foundation of China (NSFC)); Polar Environment Comprehensive investigation and Assessment Programs (CHINARE); International Collaboration Supporting Project, Chinese Arctic and Antarctic Administration; Pudong development of scieintific and technology program; Specialized Research Fund for State Key Laboratories; Chinese Meridian Project; Science and Technology Facilities Council(UK Research &amp; Innovation (UKRI)Science &amp; Technology Facilities Council (STFC)); STFC(UK Research &amp; Innovation (UKRI)Science &amp; Technology Facilities Council (STFC))</t>
  </si>
  <si>
    <t>The authors are greateful to SuperDARN Pis for sharing their data. SuperDARN is a collection of radars funded by national scientific funding agencies of Australia, Canada, China, France, Japan, South Africa, the UK, and the USA. We would like to thank Xiangcai Chen who implemented optical aurora mapping to the MLAT-MLT coordinate system developed from U1O techniques and gave a very helpful discussion. The ACE IMF and solar wind data were provided by CDAWeb service (http://cdaweb.gsfc.nasa.gov). The IMAGE chain magnetometer data were downloaded from the following website: wwo.ava.fmi.fi/image/, and lower latitude geomagnetic data were obtained from WDC at Kyoto and INTERMAGNET. This work is supported by the National Natural Science Foundation of China (41431072, 41304149, and 41374161), the Polar Environment Comprehensive investigation and Assessment Programs (CHINARE 2014-02-03), the International Collaboration Supporting Project, Chinese Arctic and Antarctic Administration (IC01303), the Pudong development of scieintific and technology program (PKC2013-207), and the project is supported by the Specialized Research Fund for State Key Laboratories. Zhongshan HF radar as a member of SuperDARN is funded by Chinese Meridian Project.</t>
  </si>
  <si>
    <t>JUL 29</t>
  </si>
  <si>
    <t>10.1186/s40623-015-0291-2</t>
  </si>
  <si>
    <t>CN6SU</t>
  </si>
  <si>
    <t>WOS:000358565300001</t>
  </si>
  <si>
    <t>Corfield, JR; Price, K; Iwaniuk, AN; Gutiérrez-Ibáñez, C; Birkhead, T; Wylie, DR</t>
  </si>
  <si>
    <t>Corfield, Jeremy R.; Price, Kasandra; Iwaniuk, Andrew N.; Gutierrez-Ibanez, Cristian; Birkhead, Tim; Wylie, Douglas R.</t>
  </si>
  <si>
    <t>Diversity in olfactory bulb size in birds reflects allometry, ecology, and phylogeny</t>
  </si>
  <si>
    <t>FRONTIERS IN NEUROANATOMY</t>
  </si>
  <si>
    <t>olfactory bulb; comparative neuroanatomy; olfaction; sensory ecology; avian ecology</t>
  </si>
  <si>
    <t>DIMETHYL SULFIDE; MOLECULAR PHYLOGENY; ANTARCTIC SEABIRDS; CORYS SHEARWATERS; CEREBRAL INDEXES; ODOR RECOGNITION; NEOCORTEX SIZE; BRAIN; EVOLUTION; NAVIGATION</t>
  </si>
  <si>
    <t>The relative size of olfactory bulbs (OBs) is correlated with olfactory capabilities across vertebrates and is widely used to assess the relative importance of olfaction to a species' ecology. In birds, variations in the relative size of OBs are correlated with some behaviors; however, the factors that have led to the high level of diversity seen in OB sizes across birds are still not well understood. In this study, we use the relative size of OBs as a neuroanatomical proxy for olfactory capabilities in 135 species of birds, representing 21 orders. We examine the scaling of OBs with brain size across avian orders, determine likely ancestral states and test for correlations between OB sizes and habitat, ecology, and behavior. The size of avian OBs varied with the size of the brain and this allometric relationship was for the most part isometric, although species did deviate from this trend. Large OBs were characteristic of more basal species and in more recently derived species the OBs were small. Living and foraging in a semiaquatic environment was the strongest variable driving the evolution of large OBs in birds; olfaction may provide cues for navigation and foraging in this otherwise featureless environment. Some of the diversity in OB sizes was also undoubtedly due to differences in migratory behavior, foraging strategies and social structure. In summary, relative OB size in birds reflect allometry, phylogeny and behavior in ways that parallel that of other vertebrate classes. This provides comparative evidence that supports recent experimental studies into avian olfaction and suggests that olfaction is an important sensory modality for all avian species.</t>
  </si>
  <si>
    <t>[Corfield, Jeremy R.; Price, Kasandra; Wylie, Douglas R.] Univ Alberta, Dept Psychol, Edmonton, AB T6G 2E9, Canada; [Corfield, Jeremy R.; Iwaniuk, Andrew N.] Univ Lethbridge, Dept Neurosci, Lethbridge, AB T1K 3M4, Canada; [Gutierrez-Ibanez, Cristian] Tech Univ Munich, Lehrstuhl Zool, Freising Weihenstephan, Germany; [Birkhead, Tim] Univ Sheffield, Dept Anim &amp; Plant Sci, Sheffield S10 2TN, S Yorkshire, England</t>
  </si>
  <si>
    <t>University of Alberta; University of Lethbridge; Technical University of Munich; University of Sheffield</t>
  </si>
  <si>
    <t>Corfield, JR (corresponding author), Univ Alberta, Dept Psychol, Biol Sci Bldg P-217, Edmonton, AB T6G 2E9, Canada.</t>
  </si>
  <si>
    <t>jr.corfield@gmail.com</t>
  </si>
  <si>
    <t>Iwaniuk, Andrew/H-7255-2019</t>
  </si>
  <si>
    <t>Iwaniuk, Andrew/0000-0001-9273-3655</t>
  </si>
  <si>
    <t>Natural Sciences and Engineering Research Council of Canada (NSERC) [372237, 380284-2009]; NSERC</t>
  </si>
  <si>
    <t>Natural Sciences and Engineering Research Council of Canada (NSERC)(Natural Sciences and Engineering Research Council of Canada (NSERC)); NSERC(Natural Sciences and Engineering Research Council of Canada (NSERC))</t>
  </si>
  <si>
    <t>Funding for this study was provided by Natural Sciences and Engineering Research Council of Canada (NSERC) Discovery Grant (372237) and Accelerator Supplement (380284-2009) to AI, and NSERC grants to DW.</t>
  </si>
  <si>
    <t>1662-5129</t>
  </si>
  <si>
    <t>FRONT NEUROANAT</t>
  </si>
  <si>
    <t>Front. Neuroanat.</t>
  </si>
  <si>
    <t>10.3389/fnana.2015.00102</t>
  </si>
  <si>
    <t>Anatomy &amp; Morphology; Neurosciences</t>
  </si>
  <si>
    <t>Anatomy &amp; Morphology; Neurosciences &amp; Neurology</t>
  </si>
  <si>
    <t>CQ2LN</t>
  </si>
  <si>
    <t>WOS:000360432000001</t>
  </si>
  <si>
    <t>McCrea, I; Aikio, A; Alfonsi, L; Belova, E; Buchert, S; Clilverd, M; Engler, N; Gustavsson, B; Heinselman, C; Kero, J; Kosch, M; Lamy, H; Leyser, T; Ogawa, Y; Oksavik, K; Pellinen-Wannberg, A; Pitout, F; Rapp, M; Stanislawska, I; Vierinen, J</t>
  </si>
  <si>
    <t>McCrea, Ian; Aikio, Anita; Alfonsi, Lucilla; Belova, Evgenia; Buchert, Stephan; Clilverd, Mark; Engler, Norbert; Gustavsson, Bjorn; Heinselman, Craig; Kero, Johan; Kosch, Mike; Lamy, Herve; Leyser, Thomas; Ogawa, Yasunobu; Oksavik, Kjellmar; Pellinen-Wannberg, Asta; Pitout, Frederic; Rapp, Markus; Stanislawska, Iwona; Vierinen, Juha</t>
  </si>
  <si>
    <t>The science case for the EISCAT_3D radar</t>
  </si>
  <si>
    <t>PROGRESS IN EARTH AND PLANETARY SCIENCE</t>
  </si>
  <si>
    <t>EISCAT; EISCAT_3D; Radar; Incoherent scatter; Atmospheric science; Space physics; Plasma physics; Solar system research; Space weather; Radar techniques</t>
  </si>
  <si>
    <t>SOLAR-PROTON-EVENTS; HIGH-LATITUDE IONOSPHERE; ATMOSPHERIC GRAVITY-WAVES; MESOSPHERE WINTER ECHOES; 11-YEAR SUNSPOT CYCLE; POLAR MESOSPHERE; MIDDLE ATMOSPHERE; HIGH-RESOLUTION; SUMMER ECHOES; VHF RADAR</t>
  </si>
  <si>
    <t>The EISCAT (European Incoherent SCATer) Scientific Association has provided versatile incoherent scatter (IS) radar facilities on the mainland of northern Scandinavia (the EISCAT UHF and VHF radar systems) and on Svalbard (the electronically scanning radar ESR (EISCAT Svalbard Radar) for studies of the high-latitude ionised upper atmosphere (the ionosphere). The mainland radars were constructed about 30 years ago, based on technological solutions of that time. The science drivers of today, however, require a more flexible instrument, which allows measurements to be made from the troposphere to the topside ionosphere and gives the measured parameters in three dimensions, not just along a single radar beam. The possibility for continuous operation is also an essential feature. To facilitatefuture science work with a world-leading IS radar facility, planning of a new radar system started first with an EU-funded Design Study (2005-2009) and has continued with a follow-up EU FP7 EISCAT_3D Preparatory Phase project (2010-2014). The radar facility will be realised by using phased arrays, and a key aspect is the use of advanced software and data processing techniques. This type of software radar will act as a pathfinder for other facilities worldwide. The new radar facility will enable the EISCAT_3D science community to address new, significant science questions as well as to serve society, which is increasingly dependent on space-based technology and issues related to space weather. The location of the radar within the auroral oval and at the edge of the stratospheric polar vortex is also ideal for studies of the long-term variability in the atmosphere and global change. This paper is a summary of the EISCAT_3D science case, which was prepared as part of the EU-funded Preparatory Phase project for the new facility. Three science working groups, drawn from the EISCAT user community, participated in preparing this document. In addition to these working group members, who are listed as authors, thanks are due to many others in the EISCAT scientific community for useful contributions, discussions, and support.</t>
  </si>
  <si>
    <t>[McCrea, Ian] STFC Rutherford Appleton Lab, RAL Space, Harwell, Oxon, England; [Aikio, Anita] Univ Oulu, Dept Phys, FIN-90570 Oulu, Finland; [Alfonsi, Lucilla] INGV, Rome, Italy; [Belova, Evgenia; Kero, Johan; Pellinen-Wannberg, Asta] Swedish Inst Space Phys IRF, Kiruna, Sweden; [Buchert, Stephan; Leyser, Thomas] Swedish Inst Space Phys IRF, Uppsala, Sweden; [Clilverd, Mark] British Antarctic Survey, Cambridge CB3 0ET, England; [Engler, Norbert] Leibniz Inst Atmospher Phys, Rostock, Germany; [Gustavsson, Bjorn] Univ Tromso, Dept Phys &amp; Technol, Tromso, Norway; [Heinselman, Craig] EISCAT Sci Assoc, Kiruna, Sweden; [Kosch, Mike] Univ Lancaster, Dept Phys, Lancaster, England; [Kosch, Mike] South African Natl Space Agcy, Hermanus, South Africa; [Lamy, Herve] Belgian Inst Space Aeron, Brussels, Belgium; [Ogawa, Yasunobu] Natl Inst Polar Res, Tachikawa, Tokyo, Japan; [Oksavik, Kjellmar] Univ Bergen, Birkeland Ctr Space Sci, Bergen, Norway; [Pellinen-Wannberg, Asta] Umea Univ, Dept Phys, Umea, Sweden; [Pitout, Frederic] Univ Toulouse, UPS OMP, IRAP, Toulouse, France; [Pitout, Frederic] CNRS, IRAP, Toulouse, France; [Rapp, Markus] German Aerosp Ctr, Inst Atmospher Phys, Oberpfaffenhofen, Wessling, Germany; [Stanislawska, Iwona] Polish Acad Sci, Space Res Ctr, PL-01237 Warsaw, Poland; [Vierinen, Juha] Sodankyla Geophys Observ, Sodankyla, Finland</t>
  </si>
  <si>
    <t>UK Research &amp; Innovation (UKRI); Science &amp; Technology Facilities Council (STFC); STFC Rutherford Appleton Laboratory; University of Oulu; Istituto Nazionale Geofisica e Vulcanologia (INGV); UK Research &amp; Innovation (UKRI); Natural Environment Research Council (NERC); NERC British Antarctic Survey; Leibniz Institut fur Atmospharenphysik e.V. an der Universitat Rostock (IAP); UiT The Arctic University of Tromso; Lancaster University; Research Organization of Information &amp; Systems (ROIS); National Institute of Polar Research (NIPR) - Japan; University of Bergen; Umea University; Universite de Toulouse; Universite Toulouse III - Paul Sabatier; Centre National de la Recherche Scientifique (CNRS); Universite de Toulouse; Universite Toulouse III - Paul Sabatier; Centre National de la Recherche Scientifique (CNRS); Helmholtz Association; German Aerospace Centre (DLR); Polish Academy of Sciences; Space Research Centre of the Polish Academy of Sciences; Centrum Badan Kosmicznych, Polish Academy of Sciences</t>
  </si>
  <si>
    <t>McCrea, I (corresponding author), STFC Rutherford Appleton Lab, RAL Space, Harwell, Oxon, England.</t>
  </si>
  <si>
    <t>ian.mccrea@stfc.ac.uk</t>
  </si>
  <si>
    <t>Oksavik, Kjellmar/GWZ-7781-2022; Rapp, Markus/K-6081-2015; Aikio, Anita/AAB-1279-2021; Vierinen, Juha/M-9726-2015; Alfonsi, Lucilla/V-2969-2018</t>
  </si>
  <si>
    <t>Oksavik, Kjellmar/0000-0003-4312-6992; Rapp, Markus/0000-0003-1508-5900; Ogawa, Yasunobu/0000-0002-8118-4475; Buchert, Stephan/0000-0003-2158-6074; Stanislawska, Iwona/0000-0002-2291-0342; Heinselman, Craig/0000-0003-2815-9665; Alfonsi, Lucilla/0000-0002-1806-9327; Kosch, Michael Jurgen/0000-0003-2846-3915; gustavsson, bjorn/0000-0002-0868-7308; Pitout, Frederic/0000-0002-7073-4515</t>
  </si>
  <si>
    <t>European Union; NERC [bas0100031] Funding Source: UKRI; STFC [ST/G00241X/1] Funding Source: UKRI; Natural Environment Research Council [bas0100031] Funding Source: researchfish; Science and Technology Facilities Council [ST/G00241X/1] Funding Source: researchfish; Div Atmospheric &amp; Geospace Sciences; Directorate For Geosciences [1242204] Funding Source: National Science Foundation; Grants-in-Aid for Scientific Research [26610158] Funding Source: KAKEN</t>
  </si>
  <si>
    <t>European Union(European Union (EU));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Div Atmospheric &amp; Geospace Sciences;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</si>
  <si>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The authors wish to recognise the contributions of the European Union's Seventh Framework programme, which supported the meetings of the working groups and funded the time of the convenors to construct the science case document. We would also like to thank the staff of the EISCAT Scientific Association for their assistance and support. In particular, we express our appreciation to Stephan Buchert and his colleagues at IRF Uppsala, for hosting the annual series of EISCAT_3D User Meetings, which provided the venue for several of our working group discussions and were a rich source of ideas and discussions. In developing the science case, we have sought to reach out to researchers from both within and outside the current member countries of EISCAT. As well as participants from Norway, Sweden, Finland, Japan, and the UK, we are pleased to acknowledge the contributions of our colleagues from Belgium, France, Germany, Italy, and Poland. Their experience and expertise have helped considerably to strengthen this document.</t>
  </si>
  <si>
    <t>2197-4284</t>
  </si>
  <si>
    <t>PROG EARTH PLANET SC</t>
  </si>
  <si>
    <t>Prog. Earth Planet. Sci.</t>
  </si>
  <si>
    <t>10.1186/s40645-015-0051-8</t>
  </si>
  <si>
    <t>CV0MS</t>
  </si>
  <si>
    <t>WOS:000363945400001</t>
  </si>
  <si>
    <t>Younger, JP; Reid, IM; Vincent, RA; Murphy, DJ</t>
  </si>
  <si>
    <t>Younger, J. P.; Reid, I. M.; Vincent, R. A.; Murphy, D. J.</t>
  </si>
  <si>
    <t>A method for estimating the height of a mesospheric density level using meteor radar</t>
  </si>
  <si>
    <t>density; mesosphere; meteor; radar; MLS</t>
  </si>
  <si>
    <t>DIFFUSION-COEFFICIENTS; TEMPERATURES; REGION</t>
  </si>
  <si>
    <t>A new technique for determining the height of a constant density surface at altitudes of 78-85km is presented. The first results are derived from a decade of observations by a meteor radar located at Davis Station in Antarctica and are compared with observations from the Microwave Limb Sounder instrument aboard the Aura satellite. The density of the neutral atmosphere in the mesosphere/lower thermosphere region around 70-110km is an essential parameter for interpreting airglow-derived atmospheric temperatures, planning atmospheric entry maneuvers of returning spacecraft, and understanding the response of climate to different stimuli. This region is not well characterized, however, due to inaccessibility combined with a lack of consistent strong atmospheric radar scattering mechanisms. Recent advances in the analysis of detection records from high-performance meteor radars provide new opportunities to obtain atmospheric density estimates at high time resolutions in the MLT region using the durations and heights of faint radar echoes from meteor trails. Previous studies have indicated that the expected increase in underdense meteor radar echo decay times with decreasing altitude is reversed in the lower part of the meteor ablation region due to the neutralization of meteor plasma. The height at which the gradient of meteor echo decay times reverses is found to occur at a fixed atmospheric density. Thus, the gradient reversal height of meteor radar diffusion coefficient profiles can be used to infer the height of a constant density level, enabling the observation of mesospheric density variations using meteor radar.</t>
  </si>
  <si>
    <t>[Younger, J. P.; Reid, I. M.] ATRAD Pty Ltd, Thebarton, SA, Australia; [Younger, J. P.; Reid, I. M.; Vincent, R. A.] Univ Adelaide, Sch Phys Sci, Adelaide, SA, Australia; [Murphy, D. J.] Australian Antarctic Div, Kingston, Tas, Australia</t>
  </si>
  <si>
    <t>ATRAD Pty Ltd.; University of Adelaide; Australian Antarctic Division</t>
  </si>
  <si>
    <t>Younger, JP (corresponding author), ATRAD Pty Ltd, Thebarton, SA, Australia.</t>
  </si>
  <si>
    <t>joel.younger@adelaide.edu.au</t>
  </si>
  <si>
    <t>Vincent, Robert A/E-5450-2013; Reid, Iain/B-5681-2012; Younger, Joel/I-4601-2012</t>
  </si>
  <si>
    <t>Vincent, Robert A/0000-0001-6559-6544; Reid, Iain/0000-0003-2340-9047; Younger, Joel/0000-0003-2918-1709; Murphy, Damian/0000-0003-1738-5560</t>
  </si>
  <si>
    <t>Australian Research Council [DP0878144, DP1096901]; ASAC grant [2325]; Australian Research Council [DP0878144, DP1096901] Funding Source: Australian Research Council</t>
  </si>
  <si>
    <t>Australian Research Council(Australian Research Council); ASAC grant; Australian Research Council(Australian Research Council)</t>
  </si>
  <si>
    <t>This study has been supported by Australian Research Council grants DP0878144 and DP1096901 and ASAC grant 2325. The authors would like to thank the Aura MLS team for providing the geopotential height and temperature measurements used in this study. The authors would also like to thank Andrew Klekociuk and John French of the Australian Antarctic Division for their helpful discussions. Aura MLS data are available from http://disc.sci.gsfc.nasa.gov/Aura/data-holdings/MLS. Meteor radar data are available from the University of Adelaide and the Australian Antarctic Division upon request.</t>
  </si>
  <si>
    <t>JUL 28</t>
  </si>
  <si>
    <t>10.1002/2015GL065066</t>
  </si>
  <si>
    <t>CO7CU</t>
  </si>
  <si>
    <t>WOS:000359316100053</t>
  </si>
  <si>
    <t>Blum, LW; Halford, A; Millan, R; Bonnell, JW; Goldstein, J; Usanova, M; Engebretson, M; Ohnsted, M; Reeves, G; Singer, H; Clilverd, M; Li, X</t>
  </si>
  <si>
    <t>Blum, L. W.; Halford, A.; Millan, R.; Bonnell, J. W.; Goldstein, J.; Usanova, M.; Engebretson, M.; Ohnsted, M.; Reeves, G.; Singer, H.; Clilverd, M.; Li, X.</t>
  </si>
  <si>
    <t>Observations of coincident EMIC wave activity and duskside energetic electron precipitation on 18-19 January 2013</t>
  </si>
  <si>
    <t>EMIC waves; electron precipitation; radiation belts</t>
  </si>
  <si>
    <t>ION-CYCLOTRON WAVES; PITCH-ANGLE SCATTERING; RELATIVISTIC ELECTRON; GEOMAGNETIC STORMS; PLASMAPAUSE; SIMULATION; SAMPEX</t>
  </si>
  <si>
    <t>Electromagnetic ion cyclotron (EMIC) waves have been suggested to be a cause of radiation belt electron loss to the atmosphere. Here simultaneous, magnetically conjugate measurements are presented of EMIC wave activity, measured at geosynchronous orbit and on the ground, and energetic electron precipitation, seen by the Balloon Array for Radiation belt Relativistic Electron Losses (BARREL) campaign, on two consecutive days in January 2013. Multiple bursts of precipitation were observed on the duskside of the magnetosphere at the end of 18 January and again late on 19 January, concurrent with particle injections, substorm activity, and enhanced magnetospheric convection. The structure, timing, and spatial extent of the waves are compared to those of the precipitation during both days to determine when and where EMIC waves cause radiation belt electron precipitation. The conjugate measurements presented here provide observational support of the theoretical picture of duskside interaction of EMIC waves and MeV electrons leading to radiation belt loss.</t>
  </si>
  <si>
    <t>[Blum, L. W.; Bonnell, J. W.] Univ Calif Berkeley, Space Sci Lab, Berkeley, CA 94720 USA; [Halford, A.; Millan, R.] Dartmouth Coll, Dept Phys &amp; Astron, Hanover, NH 03755 USA; [Goldstein, J.] Southwest Res Inst, San Antonio, TX USA; [Usanova, M.; Li, X.] Lab Atmospher &amp; Space Phys, Boulder, CO USA; [Engebretson, M.; Ohnsted, M.] Augsburg Coll, Dept Phys, Minneapolis, MN USA; [Reeves, G.] Los Alamos Natl Lab, Los Alamos, NM USA; [Singer, H.] NOAA, Space Weather Predict Ctr, Boulder, CO USA; [Clilverd, M.] British Antarctic Survey, Cambridge CB3 0ET, England</t>
  </si>
  <si>
    <t>University of California System; University of California Berkeley; Dartmouth College; Southwest Research Institute; Augsburg University; United States Department of Energy (DOE); Los Alamos National Laboratory; National Oceanic Atmospheric Admin (NOAA) - USA; UK Research &amp; Innovation (UKRI); Natural Environment Research Council (NERC); NERC British Antarctic Survey</t>
  </si>
  <si>
    <t>Blum, LW (corresponding author), Univ Calif Berkeley, Space Sci Lab, Berkeley, CA 94720 USA.</t>
  </si>
  <si>
    <t>lwblum@ssl.berkeley.edu</t>
  </si>
  <si>
    <t>Halford, Alexa/AAH-2098-2019; Reeves, Geoffrey/E-8101-2011; Blum, Lauren/I-2164-2017</t>
  </si>
  <si>
    <t>Halford, Alexa/0000-0002-5383-4602; Reeves, Geoffrey/0000-0002-7985-8098; Blum, Lauren/0000-0002-4797-5476</t>
  </si>
  <si>
    <t>JHU/APL [922613]; BARREL [NNX08AM58G]; NASA [NNX15AF56G]; NSF [PLR-1341493]; Natural Environmental Research Council under Antarctic Funding Initiative [AFI/11/22]; International Space Science Institute International Teams program; Canadian Space Agency; NERC [NE/H014888/1, bas0100031] Funding Source: UKRI; Directorate For Geosciences; Office of Polar Programs (OPP) [1341493] Funding Source: National Science Foundation; Natural Environment Research Council [NE/H014888/1, bas0100031] Funding Source: researchfish</t>
  </si>
  <si>
    <t>JHU/APL; BARREL; NASA(National Aeronautics &amp; Space Administration (NASA)); NSF(National Science Foundation (NSF)); Natural Environmental Research Council under Antarctic Funding Initiative; International Space Science Institute International Teams program; Canadian Space Agency(Canadian Space Agency); NERC(UK Research &amp; Innovation (UKRI)Natural Environment Research Council (NERC)); Directorate For Geosciences; Office of Polar Programs (OPP)(National Science Foundation (NSF)NSF - Directorate for Geosciences (GEO)); Natural Environment Research Council(UK Research &amp; Innovation (UKRI)Natural Environment Research Council (NERC))</t>
  </si>
  <si>
    <t>This work was supported in part by the JHU/APL contract 922613 (RBSP-EFW). The Dartmouth portion of this work was supported by the BARREL grant NNX08AM58G. X. Li acknowledges NASA grant NNX15AF56G. Work at Augsburg College and provision of search coil data from Halley, Antarctica, were supported by NSF grant PLR-1341493. Test particle simulations (JG) were supported by the NASA Van Allen Probes mission's RBSP-ECT project. M.A.C. has received funding from the Natural Environmental Research Council under the Antarctic Funding Initiative (AFI/11/22). This work was also supported by the International Space Science Institute International Teams program. The authors thank I.R. Mann, D.K. Milling, and the rest of the CARISMA team for data, which can be accessed at www.carisma.ca.CARISMA is operated by the University of Alberta and funded by the Canadian Space Agency. Halley spectrograms can be accessed at space. augsburg.edu/searchcoil/browsehalley-graphs.html. The OMNI data were obtained from the GSFC/SPDF OMNIWeb interface at http://omniweb.gsfc.nasa.gov, which are derived from ACE and Wind solar wind plasma and magnetic field observations. BARREL measurements can be found at http://cdaweb.gsfc.nasa.gov/ and GOES at http://satdat.ngdc.noaa.gov/sem/goes/.LANL SOPA data were provided by G.Reeves (reeves@lanl.gov) and are available upon request.</t>
  </si>
  <si>
    <t>10.1002/2015GL065245</t>
  </si>
  <si>
    <t>WOS:000359316100007</t>
  </si>
  <si>
    <t>Oberländer-Hayn, S; Meul, S; Langematz, U; Abalichin, J; Haenel, F</t>
  </si>
  <si>
    <t>Oberlaender-Hayn, Sophie; Meul, Stefanie; Langematz, Ulrike; Abalichin, Janna; Haenel, Florian</t>
  </si>
  <si>
    <t>A chemistry-climate model study of past changes in the Brewer-Dobson circulation</t>
  </si>
  <si>
    <t>Brewer-Dobson circulation; past changes; age of stratospheric air; greenhouse gas concentrations</t>
  </si>
  <si>
    <t>DOPPLER-SPREAD PARAMETERIZATION; WAVE MOMENTUM DEPOSITION; STRATOSPHERIC AIR; MIDDLE ATMOSPHERE; WATER-VAPOR; MEAN AGE; OZONE; STRENGTH; PROPAGATION; VARIABILITY</t>
  </si>
  <si>
    <t>Model simulations indicate an acceleration of the Brewer-Dobson circulation (BDC) in the past with a direct impact on the exchange of air masses between the troposphere and the stratosphere. However, most observational data sets do not confirm the model results. Bonisch et al. (2011) and Ray et al. (2010) indicate a strengthening of the BDC in its shallow branch and a weakening in its deep branch. In contrast, balloon-borne measurements and Michelson Interferometer for Passive Atmospheric Sounding satellite observations show no significant acceleration of the BDC at Northern Hemisphere (NH) midlatitudes. In our study, the change of the BDC in the recent past is analyzed from simulations with the chemistry-climate model ECHAM/MESSy Atmospheric Chemistry. As the sign of change considerably depends on the underlying forcings, namely, changes in concentrations of greenhouse gases (GHGs) and ozone-depleting substances (ODSs), as well as their interactions, we separate their contributions by using sensitivity simulations. The changes in tropical upward mass flux indicate a strengthening of the BDC between 1960 and 2000 in NH winter season in the lower and a weakening in the upper stratosphere with a change in sign at 10hPa. While the lower stratospheric increase of about 2%/decade is caused by equal contributions from rising GHGs and ODSs, rising ODS concentrations counteract the GHG effect in the middle and upper stratosphere with a total decrease of about 0.5%/decade. Changes in mean age of air show a decrease of about 0.13yr/decade in the lower and middle stratosphere and a slight increase in the Arctic upper stratosphere and lower mesosphere, which is induced by interactions between the forcings.</t>
  </si>
  <si>
    <t>[Oberlaender-Hayn, Sophie; Meul, Stefanie; Langematz, Ulrike; Abalichin, Janna] Free Univ Berlin, Inst Meteorol, Berlin, Germany; [Haenel, Florian] Karlsruhe Inst Technol, D-76021 Karlsruhe, Germany</t>
  </si>
  <si>
    <t>Free University of Berlin; Helmholtz Association; Karlsruhe Institute of Technology</t>
  </si>
  <si>
    <t>Oberländer-Hayn, S (corresponding author), Free Univ Berlin, Inst Meteorol, Berlin, Germany.</t>
  </si>
  <si>
    <t>sophie.oberlaender@met.fu-berlin.de</t>
  </si>
  <si>
    <t>DFG Research Unit FOR 1095 Stratospheric Change and its Role for Climate Prediction (SHARP) [LA 1025/13-2, LA 1025/14-2]; project Role of the Middle Atmosphere in Climate (ROMIC) [01LG1221B]; DFG project Sea-Ice and Stratospheric Ozone-Links and Impact in the Arctic and Antarctic (ISOLAA) [LA 1025/19-1]</t>
  </si>
  <si>
    <t>DFG Research Unit FOR 1095 Stratospheric Change and its Role for Climate Prediction (SHARP); project Role of the Middle Atmosphere in Climate (ROMIC); DFG project Sea-Ice and Stratospheric Ozone-Links and Impact in the Arctic and Antarctic (ISOLAA)</t>
  </si>
  <si>
    <t>This work was produced in the DFG Research Unit FOR 1095 Stratospheric Change and its Role for Climate Prediction (SHARP) under the grants LA 1025/13-2 and LA 1025/14-2, the project Role of the Middle Atmosphere in Climate (ROMIC) under the grant 01LG1221B, and the DFG project Sea-Ice and Stratospheric Ozone-Links and Impact in the Arctic and Antarctic (ISOLAA) under the grant LA 1025/19-1. We are grateful for the support concerning the MIPAS data and helpful comments from Gabrielle Stiller. We thank Blanca Ayarzaguena for helpful discussions and three anonymous reviewers for valuable comments, which helped to improve the manuscript. Data for this paper are available at the Freie Universitat Berlin on the SHARP data archive under JGR_BDC_past_changes_Oberlaender-Hayn_etal_2014. tar. For providing the computing time we thank the North-German Supercomputing Alliance (HLRN).</t>
  </si>
  <si>
    <t>JUL 27</t>
  </si>
  <si>
    <t>10.1002/2014JD022843</t>
  </si>
  <si>
    <t>CP3TL</t>
  </si>
  <si>
    <t>WOS:000359804900002</t>
  </si>
  <si>
    <t>Roscoe, HK; Jones, AE; Brough, N; Weller, R; Saiz-Lopez, A; Mahajan, AS; Schoenhardt, A; Burrows, JP; Fleming, ZL</t>
  </si>
  <si>
    <t>Roscoe, Howard K.; Jones, Anna E.; Brough, Neil; Weller, Rolf; Saiz-Lopez, Alfonso; Mahajan, Anoop S.; Schoenhardt, Anja; Burrows, John P.; Fleming, Zoe L.</t>
  </si>
  <si>
    <t>Particles and iodine compounds in coastal Antarctica</t>
  </si>
  <si>
    <t>chemistry; Antarctic; troposphere</t>
  </si>
  <si>
    <t>BOUNDARY-LAYER HALOGENS; CHEMICAL MECHANISM; AEROSOL; EMISSIONS; MONOXIDE; HALLEY</t>
  </si>
  <si>
    <t>Aerosol particle number concentrations have been measured at Halley and Neumayer on the Antarctic coast, since 2004 and 1984, respectively. Sulphur compounds known to be implicated in particle formation and growth were independently measured: sulphate ions and methane sulphonic acid in filtered aerosol samples and gas phase dimethyl sulphide for limited periods. Iodine oxide, IO, was determined by a satellite sensor from 2003 to 2009 and by different ground-based sensors at Halley in 2004 and 2007. Previous model results and midlatitude observations show that iodine compounds consistent with the large values of IO observed may be responsible for an increase in number concentrations of small particles. Coastal Antarctica is useful for investigating correlations between particles, sulphur, and iodine compounds, because of their large annual cycles and the source of iodine compounds in sea ice. After smoothing all the measured data by several days, the shapes of the annual cycles in particle concentration at Halley and Neumayer are approximated by linear combinations of the shapes of sulphur compounds and IO but not by sulphur compounds alone. However, there is no short-term correlation between IO and particle concentration. The apparent correlation by eye after smoothing but not in the short term suggests that iodine compounds and particles are sourced some distance offshore. This suggests that new particles formed from iodine compounds are viable, i.e., they can last long enough to grow to the larger particles that contribute to cloud condensation nuclei, rather than being simply collected by existing particles. If so, there is significant potential for climate feedback near the sea ice zone via the aerosol indirect effect.</t>
  </si>
  <si>
    <t>[Roscoe, Howard K.; Jones, Anna E.; Brough, Neil] British Antarctic Survey, Cambridge CB3 0ET, England; [Weller, Rolf] Alfred Wegener Inst Polar &amp; Marine Res, Bremerhaven, Germany; [Saiz-Lopez, Alfonso] CSIC, Atmospher Chem &amp; Climate Grp, Inst Phys Chem Rocasolano, Madrid, Spain; [Mahajan, Anoop S.] Indian Inst Trop Meteorol, Pune, Maharashtra, India; [Schoenhardt, Anja; Burrows, John P.] Univ Bremen, IUP, D-28359 Bremen, Germany; [Fleming, Zoe L.] Univ Leicester, NCAS, Leicester, Leics, England</t>
  </si>
  <si>
    <t>UK Research &amp; Innovation (UKRI); Natural Environment Research Council (NERC); NERC British Antarctic Survey; Helmholtz Association; Alfred Wegener Institute, Helmholtz Centre for Polar &amp; Marine Research; Consejo Superior de Investigaciones Cientificas (CSIC); CSIC - Instituto de Quimica Fisica Rocasolano (IQFR); Ministry of Earth Sciences (MoES) - India; Indian Institute of Tropical Meteorology (IITM); University of Bremen; University of Leicester</t>
  </si>
  <si>
    <t>Roscoe, HK (corresponding author), British Antarctic Survey, Cambridge CB3 0ET, England.</t>
  </si>
  <si>
    <t>hkro@bas.ac.uk</t>
  </si>
  <si>
    <t>Burrows, John Philip/AAF-8468-2019; Fleming, Zoe/AHB-1124-2022; Saiz-Lopez, Alfonso/B-3759-2015; brough, neil/AAG-8550-2019; Fleming, Zoë/AAU-8214-2020; Mahajan, Anoop/D-2714-2012</t>
  </si>
  <si>
    <t>Burrows, John Philip/0000-0002-6821-5580; Saiz-Lopez, Alfonso/0000-0002-0060-1581; brough, neil/0000-0002-2316-5292; Fleming, Zoë/0000-0001-5732-1479; Mahajan, Anoop/0000-0002-2909-5432</t>
  </si>
  <si>
    <t>Natural Environment Research Council [bas0100034, bas0100024, ncas10006, bas0100032] Funding Source: researchfish; NERC [ncas10006, bas0100024, bas0100034, bas0100032] Funding Source: UKRI</t>
  </si>
  <si>
    <t>10.1002/2015JD023301</t>
  </si>
  <si>
    <t>WOS:000359804900027</t>
  </si>
  <si>
    <t>Trebilco, R; Dulvy, NK; Stewart, H; Salomon, AK</t>
  </si>
  <si>
    <t>Trebilco, Rowan; Dulvy, Nicholas K.; Stewart, Hannah; Salomon, Anne K.</t>
  </si>
  <si>
    <t>The role of habitat complexity in shaping the size structure of a temperate reef fish community</t>
  </si>
  <si>
    <t>Biomass size spectra; Community ecology; Coral reef; Ecosystem baseline; Energy flow; Foundation species</t>
  </si>
  <si>
    <t>KELP FOREST; BODY-SIZE; NEW-ZEALAND; SEA OTTERS; ASSEMBLAGES; INDICATORS; DIVERSITY; ECOLOGY; SPECTRA; DISTRIBUTIONS</t>
  </si>
  <si>
    <t>Understanding how habitat complexity shapes fish communities is necessary to predict the consequences of future habitat change. On temperate rocky reefs, the presence and characteristics of canopy-forming kelps and the architectural complexity, or rugosity, of the underlying rocky substratum are foundational elements of habitat complexity. However, it is not yet clear how these factors shape the size structure of rocky-reef-associated fish communities. Here, we use biomass spectrum models to evaluate how fish community size structure in high-latitude rocky-reef kelp forests is shaped by substratum rugosity and the degree of closure and density of the kelp canopy. We found that the presence of a closed kelp canopy was associated with an average 75% increase in overall fish biomass compared to open-canopy reefs. Furthermore, on the highest-rugosity reefs, the biomass of small fishes (32-64 g) was 800% higher than on the lowest-rugosity reefs, while large fish (1-2 kg) biomass was 60% lower. Consequently, biomass was more evenly distributed across body-size classes on high-rugosity reefs. By decomposing the biomass spectrum into total biomass and mean individual body mass, we found that higher kelp stipe densities also tended to be associated with larger fishes, but this effect was outweighed by the tendency for more small-bodied fishes with increasing rugosity. This study demonstrates how size-based analyses can give new insights into the ecology of temperate reef communities, and may be useful for tracking changes in kelp-associated assemblages in the coming decades with the maturation of marine protected areas, the recovery of sea otter populations, and changing climate.</t>
  </si>
  <si>
    <t>[Trebilco, Rowan; Dulvy, Nicholas K.] Simon Fraser Univ, Earth Ocean Res Grp, Biol Sci, Burnaby, BC V5A 1S6, Canada; [Trebilco, Rowan] Univ Tasmania, Antarctic Climate &amp; Ecosyst Cooperat Res Ctr, Hobart, Tas 7001, Australia; [Stewart, Hannah] Fisheries &amp; Oceans Canada, West Vancouver Labs, Vancouver, BC V7V 1N6, Canada; [Salomon, Anne K.] Simon Fraser Univ, Sch Resource &amp; Environm Management, Burnaby, BC V5A 1S6, Canada</t>
  </si>
  <si>
    <t>Simon Fraser University; University of Tasmania; Antarctic Climate &amp; Ecosystems Cooperative Research Centre (ACE CRC); Fisheries &amp; Oceans Canada; Simon Fraser University</t>
  </si>
  <si>
    <t>Trebilco, R (corresponding author), Simon Fraser Univ, Earth Ocean Res Grp, Biol Sci, 8888 Univ Dr, Burnaby, BC V5A 1S6, Canada.</t>
  </si>
  <si>
    <t>rowan.trebilco@acecrc.org.au; anne.salomon@sfu.ca</t>
  </si>
  <si>
    <t>Trebilco, Rowan/I-5311-2012; Dulvy, Nicholas/I-2895-2012</t>
  </si>
  <si>
    <t>Trebilco, Rowan/0000-0001-9712-8016; Dulvy, Nicholas/0000-0002-4295-9725</t>
  </si>
  <si>
    <t>NSERC Vanier Canada Graduate Scholarship; J. Abbott/M. Fretwell Graduate Fellowship in Fisheries Biology; Simon Fraser University (SFU); Canada Research Chairs program; NSERC; Parks Canada; Council of the Haida Nation's Fisheries Committee</t>
  </si>
  <si>
    <t>NSERC Vanier Canada Graduate Scholarship(European Research Council (ERC)); J. Abbott/M. Fretwell Graduate Fellowship in Fisheries Biology; Simon Fraser University (SFU); Canada Research Chairs program(Canada Research Chairs); NSERC(Natural Sciences and Engineering Research Council of Canada (NSERC)); Parks Canada; Council of the Haida Nation's Fisheries Committee</t>
  </si>
  <si>
    <t>R.T. was supported by an NSERC Vanier Canada Graduate Scholarship, the J. Abbott/M. Fretwell Graduate Fellowship in Fisheries Biology, and a Simon Fraser University (SFU) Graduate Fellowship. N.K.D. was supported by the Canada Research Chairs program, and both N.K.D. and A.K.S. were supported by NSERC Discovery grants. The field component of this research was funded in part by a Parks Canada contribution agreement to A.K.S. Members of the Dulvy Lab (SFU) and attendees of Stats Beerz (SFU) provided valuable feedback and discussion on figures and analyses. We are grateful to Isabelle Cote, Jon Moore, Simon Jennings, Jess Melbourne-Thomas and 4 anonymous re viewers, who provided comments that improved previous versions of this manuscript. For assistance with data collection, we thank Lynn Lee, Taimen Lee-Vigneault, Leandre Vigneault, Alejandro Frid, Jim Hayward, Eric White, Matt Drake, Ryan Cloutier Margot Hessing-Lewis, Mark Wunsch, Steve Romaine and Robert Russ. We also thank the Captain and crew of the CCGV 'Vector', Norm Sloan, Beth Piercy, Dominique Bureau, Joanne Lessard, Sharon Jeffrey and Seaton Taylor for helping facilitate fieldwork in 2011 and 2012, as well as the Gwaii Haanas Archipelago Management Board and the Council of the Haida Nation's Fisheries Committee for supporting this research.</t>
  </si>
  <si>
    <t>JUL 21</t>
  </si>
  <si>
    <t>10.3354/meps11330</t>
  </si>
  <si>
    <t>CN5BW</t>
  </si>
  <si>
    <t>WOS:000358445600016</t>
  </si>
  <si>
    <t>Young, JN; Kranz, SA; Goldman, JAL; Tortell, PD; Morel, FMM</t>
  </si>
  <si>
    <t>Young, Jodi N.; Kranz, Sven A.; Goldman, Johanna A. L.; Tortell, Philippe D.; Morel, Francois M. M.</t>
  </si>
  <si>
    <t>Antarctic phytoplankton down-regulate their carbon-concentrating mechanisms under high CO2 with no change in growth rates</t>
  </si>
  <si>
    <t>Phytoplankton; CO2; Antarctic; CCM; Growth</t>
  </si>
  <si>
    <t>ISOTOPE FRACTIONATION; ANHYDRASE ACTIVITY; MARINE DIATOMS; SEA; ACQUISITION; BLOOM; PRODUCTIVITY; DIATOXANTHIN; EFFICIENCY; DYNAMICS</t>
  </si>
  <si>
    <t>High-latitude oceans, in particular the coastal Western Antarctic Peninsula (WAP) region of the Southern Ocean, are experiencing a rapidly changing environment due to rising surface ocean temperatures and CO2 concentrations. However, the direct effect of increasing CO2 on polar ocean primary production is unclear, with a number of experiments showing conflicting results. It has been hypothesized that increased CO2 may cause a reduction of the energy-intensive carbon concentrating mechanism (CCM) in phytoplankton, and these energy savings may lead to increased productivity. To test this hypothesis, we incubated natural phytoplankton communities in the WAP under high (800 ppm), current (400 ppm) and low (100 ppm) CO2 for 2 to 3 wk during the austral spring-summer of 2012/2013. In 2 incubations with diatom-dominated phytoplankton assemblages, high CO2 led to a clear down-regulation of CCM activity, as evidenced by an increase in half-saturation constants for CO2, a decrease in external carbonic anhydrase activity and a higher biological fractionation of stable carbon isotopes. In a third incubation, there was no observable regulation of the CCM, possibly because HCO3- served as the major inorganic carbon source in all treatments for this phytoplankton assemblage. We did not observe a significant effect of CO2 on growth rates or community composition in the diatom-dominated communities. The lack of a measureable effect on growth despite CCM down-regulation is likely explained by a very small energetic requirement to concentrate CO2 and saturate Rubisco at low temperatures.</t>
  </si>
  <si>
    <t>[Young, Jodi N.; Kranz, Sven A.; Goldman, Johanna A. L.; Morel, Francois M. M.] Princeton Univ, Dept Geosci, Princeton, NJ 08544 USA; [Tortell, Philippe D.] Univ British Columbia, Dept Earth Ocean &amp; Atmospher Sci, Vancouver, BC V6T 1Z4, Canada; [Tortell, Philippe D.] Univ British Columbia, Dept Bot, Vancouver, BC V6T 1Z4, Canada</t>
  </si>
  <si>
    <t>Princeton University; University of British Columbia; University of British Columbia</t>
  </si>
  <si>
    <t>Young, JN (corresponding author), Princeton Univ, Dept Geosci, Princeton, NJ 08544 USA.</t>
  </si>
  <si>
    <t>jny@princeton.edu</t>
  </si>
  <si>
    <t>Morel, Francois M M/A-8107-2008; Kranz, Sven/ABG-9009-2020</t>
  </si>
  <si>
    <t>Tortell, Philippe/0000-0003-0212-2151</t>
  </si>
  <si>
    <t>US National Science Foundation [OPP 1043593, EF 1040965, OCE 0825192]; Natural Science and Engineering Research Council of Canada; Emerging Frontiers; Direct For Biological Sciences [1040965] Funding Source: National Science Foundation; Office of Polar Programs (OPP); Directorate For Geosciences [1043593] Funding Source: National Science Foundation</t>
  </si>
  <si>
    <t>US National Science Foundation(National Science Foundation (NSF)); Natural Science and Engineering Research Council of Canada(Natural Sciences and Engineering Research Council of Canada (NSERC)); Emerging Frontiers; Direct For Biological Sciences(National Science Foundation (NSF)NSF - Directorate for Biological Sciences (BIO)); Office of Polar Programs (OPP); Directorate For Geosciences(National Science Foundation (NSF)NSF - Directorate for Geosciences (GEO))</t>
  </si>
  <si>
    <t>We acknowledge the exceptional assistance provided by the science support and administrative staff at Palmer Station and the entire Palmer LTER science team. We thank Jay Pinckney for running the HPLC samples and Brian Hopkinson for advice on calculating CCM energy savings. This study was funded by the US National Science Foundation (OPP 1043593, EF 1040965, OCE 0825192). Funding to PDT was provided by the Natural Science and Engineering Research Council of Canada. We acknowledge the anonymous reviewers for their insightful comments</t>
  </si>
  <si>
    <t>10.3354/meps11336</t>
  </si>
  <si>
    <t>WOS:000358445600002</t>
  </si>
  <si>
    <t>Hassler, CS; Norman, L; Nichols, CAM; Clementson, LA; Robinson, C; Schoemann, V; Watson, RJ; Doblin, MA</t>
  </si>
  <si>
    <t>Hassler, Christel S.; Norman, Louiza; Nichols, Carol A. Mancuso; Clementson, Lesley A.; Robinson, Charlotte; Schoemann, Veronique; Watson, Roslyn J.; Doblin, Martina A.</t>
  </si>
  <si>
    <t>Iron associated with exopolymeric substances is highly bioavailable to oceanic phytoplankton</t>
  </si>
  <si>
    <t>Algae; Iron; Organic ligand; Biochemistry</t>
  </si>
  <si>
    <t>NATURAL ORGANIC-LIGANDS; POLYSACCHARIDE PRODUCTION; ANTARCTIC WATERS; BOUND IRON; TASMAN SEA; MARINE; COMPLEXATION; LIMITATION; SPECIATION; ZINC</t>
  </si>
  <si>
    <t>Growth limitation of marine algae due to lack of iron occurs in up to 40% of the global ocean. Despite important advances on the impact of organic compounds on iron biogeochemistry, their roles in controlling iron availability to prokaryotic and eukaryotic phytoplankton remain unclear. Whether algal and bacterial exopolymeric substances (EPS) include organic ligands which may help iron-limited phytoplankton growth remains an unknown. If so, then EPS could relieve phytoplankton iron limitation with implications for the biological carbon pump and hence the regulation of atmospheric CO2. Here we compared the biological impact of algal, bacterial and in situ EPS with model compounds, a siderophore and two saccharides on biological parameters including, iron bioavailability, phytoplankton growth, photo-physiology and community structure. Laboratory and field experiments demonstrated that EPS produced by marine microorganisms are efficient in sustaining biological iron uptake as well as algal growth, and can affect natural phytoplankton community structure. Our data suggest that natural phytoplankton growth enhancement in the presence of EPS was not solely due to highly bioavailable iron forms, but also because EPS contains other micronutrients. Stronger ligands were detected following iron-siderophore enrichments (log K-Fe'L = 12.0) and weaker ligands were measured in the presence of EPS (log K-Fe'L = 10.4-11.0). The trend of the conditional stability constants of organic ligands did not seem to be affected as a result of biological activity and photo-chemistry during our four day incubations. The shift in the phytoplankton community observed during our field experiments was not uniformly observed between different sites rendering it difficult to extrapolate which functional group(s) would benefit the most from iron bound to EPS. (C) 2014 Elsevier B.V. All rights reserved.</t>
  </si>
  <si>
    <t>[Hassler, Christel S.] Univ Geneva, Fac Sci Earth &amp; Environm Sci, Inst FA Forel Marine &amp; Lake Biogeochem, 10 Rte Suisse, CH-1290 Versoix, Switzerland; [Hassler, Christel S.; Norman, Louiza; Robinson, Charlotte; Doblin, Martina A.] Univ Technol Sydney, Plant Funct Biol &amp; Climate Change Cluster, Broadway, NSW 2007, Australia; [Nichols, Carol A. Mancuso] CSIRO Marine &amp; Atmospher Res, CSIRO Mat Sci &amp; Engn, Hobart, Tas 7001, Australia; [Clementson, Lesley A.; Watson, Roslyn J.] CSIRO Ocean &amp; Atmosphere, Hobart, Tas 7001, Australia; [Schoemann, Veronique] Univ Libre Bruxelles, Lab Glaciol, B-1050 Brussels, Belgium</t>
  </si>
  <si>
    <t>University of Geneva; University of Technology Sydney; Commonwealth Scientific &amp; Industrial Research Organisation (CSIRO); Commonwealth Scientific &amp; Industrial Research Organisation (CSIRO); Universite Libre de Bruxelles</t>
  </si>
  <si>
    <t>Hassler, CS (corresponding author), Univ Geneva, Fac Sci Earth &amp; Environm Sci, Inst FA Forel Marine &amp; Lake Biogeochem, 10 Rte Suisse, CH-1290 Versoix, Switzerland.</t>
  </si>
  <si>
    <t>Christel.Hassler@unige.ch</t>
  </si>
  <si>
    <t>Clementson, Lesley A/M-6905-2013; Watson, Roslyn J./JVN-9055-2024; Robinson, Charlotte Mary/O-2953-2017; Doblin, Martina/L-1804-2019; Nichols, Carol/C-2290-2008</t>
  </si>
  <si>
    <t>Doblin, Martina/0000-0001-8750-3433; Nichols, Carol/0000-0002-2739-4690; Clementson, Lesley/0000-0003-4415-993X; Hassler, Christel/0000-0002-8976-5469; Robinson, Charlotte Mary/0000-0001-8519-5641</t>
  </si>
  <si>
    <t>Australian Research Council [DP1092892, LE0989539]; CSIRO OCE Fellowship scheme; COFUND Marie Curie fellowship Back to Belgium Grant; UTS Chancellor Fellowship scheme; Australian Research Council [DP1092892, LE0989539] Funding Source: Australian Research Council</t>
  </si>
  <si>
    <t>Australian Research Council(Australian Research Council); CSIRO OCE Fellowship scheme; COFUND Marie Curie fellowship Back to Belgium Grant; UTS Chancellor Fellowship scheme; Australian Research Council(Australian Research Council)</t>
  </si>
  <si>
    <t>We thank the Australian Research Council (Discovery Project DP1092892 and LIEF grant LE0989539) as well as the CSIRO OCE and UTS Chancellor Fellowship schemes for funding. VS was financed by a COFUND Marie Curie fellowship Back to Belgium Grant. Emilie Angles, Jeroen de Jong and Malcolm Woodward, Cliff Law, Jeanette O'Sullivan, Edward Butler and Peter Nichols are thanked for EPS isolation, dFe, macronutrients, flow cytometry, trace metals and lipid analyses, respectively. Warm thanks also go to the CSIRO Hydrochemistry team, the officers and crew of the RV Southern Surveyor and the Marine National Facility support team.</t>
  </si>
  <si>
    <t>JUL 20</t>
  </si>
  <si>
    <t>10.1016/j.marchem.2014.10.002</t>
  </si>
  <si>
    <t>CI8TO</t>
  </si>
  <si>
    <t>WOS:000355044800012</t>
  </si>
  <si>
    <t>Norman, L; Worms, IAM; Angles, E; Bowie, AR; Nichols, CM; Pham, AN; Slaveykova, VI; Townsend, AT; Waite, TD; Hassler, CS</t>
  </si>
  <si>
    <t>Norman, Louiza; Worms, Isabelle A. M.; Angles, Emilie; Bowie, Andrew R.; Nichols, Carol Mancuso; Ninh Pham, A.; Slaveykova, Vera I.; Townsend, Ashley T.; Waite, T. David; Hassler, Christel S.</t>
  </si>
  <si>
    <t>The role of bacterial and algal exopolymeric substances in iron chemistry</t>
  </si>
  <si>
    <t>Iron; Organic ligand; Biogeochemistry; Exopolymeric substances</t>
  </si>
  <si>
    <t>CATHODIC STRIPPING VOLTAMMETRY; ORGANIC COMPLEXING LIGANDS; FLOW-INJECTION ANALYSIS; SUB-ANTARCTIC WATERS; COLLOIDAL IRON; DISSOLVED IRON; CHEMICAL-CHARACTERIZATION; HYDROXAMATE SIDEROPHORES; PLANKTON COMMUNITIES; HYDROXIDE SOLUBILITY</t>
  </si>
  <si>
    <t>It is widely accepted that the complexation of iron (Fe) with organic compounds is the primary factor that regulates Fe reactivity and its bioavailability to phytoplankton in the open ocean. Despite considerable efforts to unravel the provenance of the many organic ligands present in the 'ligand soup' and their contribution to Fe chemistry, much of this pool remains largely unresolved. Bacteria and phytoplankton are known to release exopolymeric substances (EPS) for a variety of functions and it is known that this material has metal binding properties. However, the contribution that bacterial and algal EPS makes to Fe biogeochemistry is not well documented. This study revealed that both bacterial and algal EPS contain functional components known to bind Fe (uronic acid, saccharides) and details the molecular weight distribution of the EPS. It is also demonstrated that components of the EPS have a high affinity for Fe-binding, in some cases similar to that of bacterial siderophores (similar to K-Fe'L 10(12)) and that this material greatly enhances Fe solubility (and, possibly, Fe oxyhydroxide reactivity via prevention of aggregation) in seawater. However, EPS may also accelerate Fe(II) oxidation and thus Fe(II) removal from the system. Our findings indicate that, in remote ocean regions, bacterial and algal EL'S could play a significant role in the biogeochemical cycling of Fe and their contribution should be considered to further our understanding of the dynamics of Fe-limited oceans. (C) 2015 Elsevier B.V. All rights reserved.</t>
  </si>
  <si>
    <t>[Norman, Louiza; Angles, Emilie; Hassler, Christel S.] Univ Technol Sydney, Plant Funct Biol &amp; Climate Change Cluster, Broadway, NSW 2007, Australia; [Worms, Isabelle A. M.; Slaveykova, Vera I.] Univ Geneva, Fac Sci Earth &amp; Environm Sci, Inst FA Forel Environm Biogeochem &amp; Ecotoxicol, CH-1290 Versoix, Switzerland; [Angles, Emilie] CSIRO Marine &amp; Atmospher Res, Hobart, Tas 7001, Australia; [Bowie, Andrew R.] Antarct Climate &amp; Ecosyst CRC, Hobart, Tas 7001, Australia; [Bowie, Andrew R.] Univ Tasmania, Inst Marine &amp; Antarct Studies, Hobart, Tas 7001, Australia; [Nichols, Carol Mancuso] CSIRO Marine &amp; Atmospher Res, CSIRO Mat Sci &amp; Engn, Hobart, Tas 7001, Australia; [Ninh Pham, A.; Waite, T. David] Univ New S Wales, UNSW Water Res Ctr, Sch Civil &amp; Environm Engn, Sydney, NSW 2052, Australia; [Townsend, Ashley T.] Univ Tasmania, Cent Sci Lab, Hobart, Tas 7001, Australia; [Hassler, Christel S.] Univ Geneva, Fac Sci Earth &amp; Environm Sci, Inst FA Forel Marine &amp; Lake Biogeochem, CH-1290 Versoix, Switzerland</t>
  </si>
  <si>
    <t>University of Technology Sydney; University of Geneva; Commonwealth Scientific &amp; Industrial Research Organisation (CSIRO); University of Tasmania; University of Tasmania; Commonwealth Scientific &amp; Industrial Research Organisation (CSIRO); University of New South Wales Sydney; University of Tasmania; University of Geneva</t>
  </si>
  <si>
    <t>Norman, L (corresponding author), Univ Cambridge, Dept Plant Sci, Downing St, Cambridge CB2 3EA, England.</t>
  </si>
  <si>
    <t>ln293@cam.ac.uk</t>
  </si>
  <si>
    <t>Waite, T. David/A-1400-2008; Nichols, Carol/C-2290-2008; Pham, An Ninh/AAD-6072-2019; Slaveykova, Vera/AAL-2669-2020; Townsend, Ashley/J-7445-2014; Bowie, Andrew/C-8677-2013</t>
  </si>
  <si>
    <t>Nichols, Carol/0000-0002-2739-4690; Slaveykova, Vera/0000-0002-8361-2509; Townsend, Ashley/0000-0002-2972-2678; Bowie, Andrew/0000-0002-5144-7799; Waite, T. David/0000-0002-5411-3233; Norman, Louisa/0000-0001-9720-4664; Worms, Isabelle A. M./0000-0002-7498-0078; Hassler, Christel/0000-0002-8976-5469; Pham, An Ninh/0000-0002-3657-2882</t>
  </si>
  <si>
    <t>Australian Research Council [DP1092892, LE0989539]; UTS Chancellor Fellowship and Climate Change Cluster C3 group; Swiss National Science Foundation [PPOOP2_138955]; Australian Research Council [DP1092892] Funding Source: Australian Research Council</t>
  </si>
  <si>
    <t>Australian Research Council(Australian Research Council); UTS Chancellor Fellowship and Climate Change Cluster C3 group; Swiss National Science Foundation(Swiss National Science Foundation (SNSF)); Australian Research Council(Australian Research Council)</t>
  </si>
  <si>
    <t>The authors thank the Australian Research Council (Discovery Project DP1092892 and LIEF grant LE0989539), UTS Chancellor Fellowship and Climate Change Cluster C3 group, and the Swiss National Science Foundation (PPOOP2_138955) schemes for funding. Authors also wish to thank Dr Martha Gledhill for the heme analysis, Assoc Prof Martina Doblin, the guest editor, and two anonymous reviewers whose comments improved the final version of this manuscript, and Prof Peter Ralph for his support of this project. Thanks also to the officers and crew of the RV Southern Surveyor (PINTS and GEOTRACES GP13 voyages) and the Marine National Facility support team.</t>
  </si>
  <si>
    <t>10.1016/j.marchem.2015.03.015</t>
  </si>
  <si>
    <t>WOS:000355044800013</t>
  </si>
  <si>
    <t>Heller, MI; Croot, PL</t>
  </si>
  <si>
    <t>Heller, Maija I.; Croot, Peter L.</t>
  </si>
  <si>
    <t>Copper speciation and distribution in the Atlantic sector of the Southern Ocean</t>
  </si>
  <si>
    <t>Copper speciation; Southern Ocean; Drake Passage; Zero Meridian; Biogeochemistry; Superoxide; Ligand; Silicate</t>
  </si>
  <si>
    <t>CATHODIC STRIPPING VOLTAMMETRY; SEDIMENT TRAP EXPERIMENTS; NATURAL ORGANIC-LIGANDS; DISSOLVED COPPER; SURFACE WATERS; WEDDELL SEA; MARINE-PHYTOPLANKTON; HYDROGEN-PEROXIDE; SUPEROXIDE-DISMUTASE; CHEMICAL SPECIATION</t>
  </si>
  <si>
    <t>The distribution and speciation of dissolved copper (Cu) was investigated in the Atlantic sector of the Southern Ocean in austral autumn of 2008 as part of the IPY GEOTRACES expedition ZERO &amp; DRAKE. Distribution measurements focused on two transects across the major frontal systems along the Zero Meridian and across the Drake Passage whereas speciation work was investigated in the Drake Passage and the ice covered Weddell Sea. Along the two transects the dissolved Cu concentration exhibited a gradient in the surface with Cu values increasing poleward. Vertical profiles of Cu showed in general monotonic increases with depth, which correlated slightly with silicate but poorly with phosphate. Benthic sources of Cu were observed along the Zero Meridian transect and close to the Antarctic Peninsula for the Drake Passage. Dissolved Cu (DCu) appears to be removed from surface waters through adsorption/complexation by particulate matter. Speciation measurements on DCu indicated a relatively uniform distribution of 25-50 nM of L-2 (log K similar to 11.8) class ligands. No L-1 class ligands (log K &gt; 13) were detected in any of the samples examined. Estimates of free Cu (pCu = 13.5 to 12.5) showed only small variations in the upper water column and was generally uniform in deep waters. These findings indicate that there is insufficient free copper to account for the rapid reactivity of superoxide (O-2(-)) with Cu in these waters (Heller and Croot, 2010c) suggesting that the organic Cu complexes present in seawater can undergo rapid redox reactions. (C) 2014 Elsevier B.V. All rights reserved.</t>
  </si>
  <si>
    <t>[Heller, Maija I.; Croot, Peter L.] Helmholtz Zentrum Ozeanforsch Kiel GEOMAR, Chem Oceanog, Kiel, Germany; [Heller, Maija I.] Univ So Calif, Los Angeles, CA 90089 USA; [Croot, Peter L.] Natl Univ Ireland Galway, Sch Nat Sci, Earth &amp; Ocean Sci, Galway, Ireland</t>
  </si>
  <si>
    <t>Helmholtz Association; GEOMAR Helmholtz Center for Ocean Research Kiel; University of Southern California; Ollscoil na Gaillimhe-University of Galway</t>
  </si>
  <si>
    <t>Croot, PL (corresponding author), Natl Univ Ireland Galway, Sch Nat Sci, Earth &amp; Ocean Sci, Galway, Ireland.</t>
  </si>
  <si>
    <t>peter.croot@nuigalway.ie</t>
  </si>
  <si>
    <t>Croot, Peter/C-8460-2009; Heller, Maija I/AAU-4901-2020; Croot, Peter/U-5296-2019</t>
  </si>
  <si>
    <t>Croot, Peter/0000-0003-1396-0601; Heller, Maija I/0000-0002-1258-8660;</t>
  </si>
  <si>
    <t>DFG [CR145/15]; GEOMAR</t>
  </si>
  <si>
    <t>DFG(German Research Foundation (DFG)); GEOMAR</t>
  </si>
  <si>
    <t>We dedicate this paper to the memory of Prof. Eberhard Fahrbach, Chief Scientist during ANTXXIV-3, who sadly passed away in 2013, he made fundamental contributions to Southern Ocean research and his initiation of a repeat survey transect along the Zero Meridian is one of his enduring legacies to the Southern Ocean community. The authors would like to show their deep thanks and appreciation to the crew of the R.V. Polarstern and to the AWI Logistics group for all their efforts in helping us throughout ANTXXIV-3. Funding for participation in this cruise was provided by the DFG (CR145/15) and GEOMAR. Special thanks to Mike Ellwood (ANU) and Yoshiki Sohrin (Kyoto University) for sharing their Southern Ocean datasets. The comments of two anonymous reviewers and the editor Sylvia Sander helped to improve this manuscript</t>
  </si>
  <si>
    <t>10.1016/j.marchem.2014.09.017</t>
  </si>
  <si>
    <t>WOS:000355044800022</t>
  </si>
  <si>
    <t>Baars, O; Croot, PL</t>
  </si>
  <si>
    <t>Baars, Oliver; Croot, Peter L.</t>
  </si>
  <si>
    <t>Dissolved cobalt speciation and reactivity in the eastern tropical North Atlantic</t>
  </si>
  <si>
    <t>Marine cobalt cycle; Cobalt reducibility; Seawater cobalt complexes; Cobalt distribution; Trace metal speciation; Kinetics; Thermodynamics; Reactivity; Marine cobalt redox chemistry</t>
  </si>
  <si>
    <t>ORGANIC COMPLEXATION; SEAWATER; IRON; VITAMIN-B-12; OXIDATION; MANGANESE; PHYTOPLANKTON; CROCOSPHAERA; COLIMITATION; STABILITY</t>
  </si>
  <si>
    <t>Recent studies highlight the role of cobalt (Co) as an important micro-nutrient with a complex scavenged type oceanic distribution. To better understand the biogeochemical cycle of Co we investigate the distribution, speciation and reactivity of dissolved Co in the eastern tropical North Atlantic in the upper 800 m of the water column. For this purpose, we complement classical Co ligand titrations that require a thermodynamic equilibrium with evaluations of ligand-exchange kinetics and reducibility of potential Co(III) species. The experiments include additions of the artificial Co binding ligands dimethylglyoxime or Nioxime and detection by cathodic stripping voltammetry. We find two pools of Co compounds: a labile fraction that exchanges Co within minutes and a strong/inert fraction that does not react within a 24-h period. No intermediate, slowly exchanging fraction is observed. Detection window experiments to determine complex stability constants show that the labile Co fraction is weak and likely consists of Co(II) complexes with no detectable free Co(II) ligands. The fraction of inert Co is always highest at the depth of the chlorophyll-a maximum. Addition of the reductant ascorbate increases the fraction of Co with rapid ligand-exchange kinetics and indicates the presence of dissolved reducible Co(III). The apparent Co(III) reducibility is highest at the chlorophyll-a maximum and decreases in deeper waters. Our results are in agreement with phytoplankton and associated bacteria being a source of Co(III) species, such as vitamin B-12. The presented results have important implications for our understanding of the biological availability and the marine cycle of Co. (C) 2014 Elsevier B.V. All rights reserved.</t>
  </si>
  <si>
    <t>[Baars, Oliver; Croot, Peter L.] GEOMAR, Marine Biogeochem, Kiel, Germany; [Baars, Oliver] Princeton Univ, Princeton, NJ 08544 USA; [Croot, Peter L.] Natl Univ Ireland, Sch Nat Sci, Earth &amp; Ocean Sci, Galway, Ireland</t>
  </si>
  <si>
    <t>Helmholtz Association; GEOMAR Helmholtz Center for Ocean Research Kiel; Princeton University; Ollscoil na Gaillimhe-University of Galway</t>
  </si>
  <si>
    <t>Baars, O (corresponding author), Princeton Univ, Dept Geosci, Guyot Hall, Princeton, NJ 08544 USA.</t>
  </si>
  <si>
    <t>obaars@princeton.edu</t>
  </si>
  <si>
    <t>Croot, Peter/C-8460-2009; Croot, Peter/U-5296-2019</t>
  </si>
  <si>
    <t>Croot, Peter/0000-0003-1396-0601; Baars, Oliver/0000-0002-4644-5086</t>
  </si>
  <si>
    <t>DFG [SPP 1158, CR145/10-1]; [Sonderforschungsbereich 754]</t>
  </si>
  <si>
    <t>DFG(German Research Foundation (DFG));</t>
  </si>
  <si>
    <t>We thank the officers and crew of the RV Meteor. Work onboard the ship was supported by Anna Dammshauser. Many thanks to Kerstin Nachtigall and Peter Streu (GEOMAR) for complementary macronutrient and trace metal analysis. Financial support was provided by the DFG Antarctic Program SPP 1158 via grant to PC (CR145/10-1) and by the Sonderforschungsbereich 754 Climate-Biogeochemistry Interactions in the Tropical Ocean (www.sfb754.de).</t>
  </si>
  <si>
    <t>10.1016/j.marchem.2014.10.006</t>
  </si>
  <si>
    <t>WOS:000355044800027</t>
  </si>
  <si>
    <t>Hancock, LG; Walker, SE; Pérez-Huerta, A; Bowser, SS</t>
  </si>
  <si>
    <t>Hancock, Leanne G.; Walker, Sally E.; Perez-Huerta, Alberto; Bowser, Samuel S.</t>
  </si>
  <si>
    <t>Population Dynamics and Parasite Load of a Foraminifer on Its Antarctic Scallop Host with Their Carbonate Biomass Contributions</t>
  </si>
  <si>
    <t>GLOBAL OCEAN CARBONATE; MCMURDO SOUND; ADAMUSSIUM-COLBECKI; EXPLORERS COVE; SEA-ICE; BENTHIC FORAMINIFERA; ORGANIC-CARBON; FOOD WEBS; ROSS SEA; DIVERSITY</t>
  </si>
  <si>
    <t>We studied the population dynamics and parasite load of the foraminifer Cibicides antarcticus on its host the Antarctic scallop Adamussium colbecki from three localities differing by sea ice cover within western McMurdo Sound, Ross Sea, Antarctica: Explorers Cove, Bay of Sails and Herbertson Glacier. We also estimated CaCO3 biomass and annual production for both species. Cibicides populations varied by locality, valve type, and depth. Explorers Cove with multiannual sea ice had larger populations than the two annual sea ice localities, likely related to differences in nutrients. Populations were higher on Adamussium top valves, a surface that is elevated above the sediment. Depth did not affect Cibicides distributions except at Bay of Sails. Cibicides parasite load (the number of complete boreholes in Adamussium valves) varied by locality between 2% and 50%. For most localities the parasite load was &lt; 20%, contrary to a previous report that similar to 50% of Cibicides were parasitic. The highest and lowest parasite load occurred at annual sea ice localities, suggesting that sea ice condition is not important. Rather, the number of adults that are parasitic could account for these differences. Cibicides bioerosion traces were categorized into four ontogenetic stages, ranging from newly attached recruits to parasitic adults. These traces provide an excellent proxy for population structure, revealing that Explorers Cove had a younger population than Bay of Sails. Both species are important producers of CaCO3. Cibicides CaCO3 biomass averaged 47-73 kg ha(-1) and Adamussium averaged 4987-6806 kg ha(-1) by locality. Annual production rates were much higher. Moreover, Cibicides represents 1.0-2.3% of the total host-parasite CaCO3 biomass. Despite living in the coldest waters on Earth, these species can contribute a substantial amount of CaCO3 to the Ross Sea and need to be incorporated into food webs, ecosystem models, and carbonate budgets for Antarctica.</t>
  </si>
  <si>
    <t>[Hancock, Leanne G.; Walker, Sally E.] Univ Georgia, Dept Geol, Athens, GA 30602 USA; [Perez-Huerta, Alberto] Univ Alabama, Dept Geol Sci, Tuscaloosa, AL USA; [Bowser, Samuel S.] New York State Dept Hlth, Wadsworth Ctr, Albany, NY USA</t>
  </si>
  <si>
    <t>University System of Georgia; University of Georgia; University of Alabama System; University of Alabama Tuscaloosa; State University of New York (SUNY) System; Wadsworth Center</t>
  </si>
  <si>
    <t>Walker, SE (corresponding author), Univ Georgia, Dept Geol, Athens, GA 30602 USA.</t>
  </si>
  <si>
    <t>swalker@gly.uga.edu</t>
  </si>
  <si>
    <t>NSF from Polar Programs Earth Sciences [ANT 0739512, ANT 0739583]; NSF from Office of Polar Programs (Biology) [PLR 0944646, PLR 0433575]; Office of Polar Programs (OPP); Directorate For Geosciences [0944646] Funding Source: National Science Foundation</t>
  </si>
  <si>
    <t>NSF from Polar Programs Earth Sciences; NSF from Office of Polar Programs (Biology); Office of Polar Programs (OPP); Directorate For Geosciences(National Science Foundation (NSF)NSF - Directorate for Geosciences (GEO))</t>
  </si>
  <si>
    <t>NSF grants from Polar Programs Earth Sciences: ANT 0739512 and ANT 0739583. NSF grants from Office of Polar Programs (Biology): PLR 0944646 and PLR 0433575.</t>
  </si>
  <si>
    <t>JUL 17</t>
  </si>
  <si>
    <t>e0132534</t>
  </si>
  <si>
    <t>10.1371/journal.pone.0132534</t>
  </si>
  <si>
    <t>CN1RV</t>
  </si>
  <si>
    <t>WOS:000358198700048</t>
  </si>
  <si>
    <t>Gasson, E; DeConto, R; Pollard, D</t>
  </si>
  <si>
    <t>Gasson, E.; DeConto, R.; Pollard, D.</t>
  </si>
  <si>
    <t>Antarctic bedrock topography uncertainty and ice sheet stability</t>
  </si>
  <si>
    <t>Antarctic ice sheets; Bedmap2; bedrock topography</t>
  </si>
  <si>
    <t>SEA-LEVEL; MODEL; CO2</t>
  </si>
  <si>
    <t>Antarctic bedrock elevation estimates have uncertainties exceeding 1km in certain regions. Bedrock elevation, particularly where the bedrock is below sea level and bordering the ocean, can have a large impact on ice sheet stability. We investigate how present-day bedrock elevation uncertainty affects ice sheet model simulations for a generic past warm period based on the mid-Pliocene, although these uncertainties are also relevant to present-day and future ice sheet stability. We perform an ensemble of simulations with random topographic noise added with various length scales and with amplitudes tuned to the uncertainty of the Bedmap2 data set. Total Antarctic ice sheet retreat in these simulations varies between 12.6 and 17.9m equivalent sea level rise after 3kyrs of warm climate forcing. This study highlights the sensitivity of ice sheet models to existing uncertainties in bedrock elevation and the ongoing need for new data acquisition.</t>
  </si>
  <si>
    <t>[Gasson, E.; DeConto, R.] Univ Massachusetts, Climate Syst Res Ctr, Amherst, MA 01003 USA; [Pollard, D.] Penn State Univ, Earth &amp; Environm Syst Inst, State Coll, PA USA</t>
  </si>
  <si>
    <t>University of Massachusetts System; University of Massachusetts Amherst; Pennsylvania Commonwealth System of Higher Education (PCSHE); Pennsylvania State University</t>
  </si>
  <si>
    <t>Gasson, E (corresponding author), Univ Massachusetts, Climate Syst Res Ctr, Amherst, MA 01003 USA.</t>
  </si>
  <si>
    <t>egw.gasson@gmail.com</t>
  </si>
  <si>
    <t>Gasson, Edward/0000-0003-4653-6217</t>
  </si>
  <si>
    <t>U.S. National Science Foundation [OCE-1202632, AGS-1203910]; Directorate For Geosciences; Div Atmospheric &amp; Geospace Sciences [1203792] Funding Source: National Science Foundation; Directorate For Geosciences; Div Atmospheric &amp; Geospace Sciences [1203910] Funding Source: National Science Foundation</t>
  </si>
  <si>
    <t>U.S. National Science Foundation(National Science Foundation (NSF)); Directorate For Geosciences; Div Atmospheric &amp; Geospace Sciences(National Science Foundation (NSF)NSF - Directorate for Geosciences (GEO)); Directorate For Geosciences; Div Atmospheric &amp; Geospace Sciences(National Science Foundation (NSF)NSF - Directorate for Geosciences (GEO))</t>
  </si>
  <si>
    <t>This study was supported by U.S. National Science Foundation award OCE-1202632 and AGS-1203910. The data used for this study are available upon request from the corresponding author (egw.gasson@gmail.com).</t>
  </si>
  <si>
    <t>JUL 16</t>
  </si>
  <si>
    <t>10.1002/2015GL064322</t>
  </si>
  <si>
    <t>CN8LG</t>
  </si>
  <si>
    <t>WOS:000358691300036</t>
  </si>
  <si>
    <t>Langhorne, PJ; Hughes, KG; Gough, AJ; Smith, IJ; Williams, MJM; Robinson, NJ; Stevens, CL; Rack, W; Price, D; Leonard, GH; Mahoney, AR; Haas, C; Haskell, TG</t>
  </si>
  <si>
    <t>Langhorne, P. J.; Hughes, K. G.; Gough, A. J.; Smith, I. J.; Williams, M. J. M.; Robinson, N. J.; Stevens, C. L.; Rack, W.; Price, D.; Leonard, G. H.; Mahoney, A. R.; Haas, C.; Haskell, T. G.</t>
  </si>
  <si>
    <t>Observed platelet ice distributions in Antarctic sea ice: An index for ocean-ice shelf heat flux</t>
  </si>
  <si>
    <t>SOUTHERN WEDDELL SEA; MCMURDO SOUND; WATER PLUME; ROSS SEA; GROWTH; THICKNESS; BENEATH; WINTER; EVOLUTION; FREEBOARD</t>
  </si>
  <si>
    <t>Antarctic sea ice that has been affected by supercooled Ice Shelf Water (ISW) has a unique crystallographic structure and is called platelet ice. In this paper we synthesize platelet ice observations to construct a continent-wide map of the winter presence of ISW at the ocean surface. The observations demonstrate that, in some regions of coastal Antarctica, supercooled ISW drives a negative oceanic heat flux of -30Wm(-2) that persists for several months during winter, significantly affecting sea ice thickness. In other regions, particularly where the thinning of ice shelves is believed to be greatest, platelet ice is not observed. Our new data set includes the longest ice-ocean record for Antarctica, which dates back to 1902 near the McMurdo Ice Shelf. These historical data indicate that, over the past 100years, any change in the volume of very cold surface outflow from this ice shelf is less than the uncertainties in the measurements.</t>
  </si>
  <si>
    <t>[Langhorne, P. J.; Hughes, K. G.; Gough, A. J.; Smith, I. J.] Univ Otago, Dept Phys, Dunedin, New Zealand; [Williams, M. J. M.; Robinson, N. J.; Stevens, C. L.] Natl Inst Water &amp; Atmospher Res, Wellington, New Zealand; [Stevens, C. L.] Univ Auckland, Dept Phys, Auckland, New Zealand; [Rack, W.; Price, D.] Univ Canterbury, Gateway Antarctica, Christchurch 1, New Zealand; [Leonard, G. H.] Univ Otago, Sch Surveying, Dunedin, New Zealand; [Mahoney, A. R.] Univ Alaska Fairbanks, Inst Geophys, Fairbanks, AK 99775 USA; [Haas, C.] York Univ, Earth &amp; Space Sci &amp; Engn Dept, Toronto, ON M3J 2R7, Canada; [Haskell, T. G.] Callaghan Innovat, Wellington, New Zealand</t>
  </si>
  <si>
    <t>University of Otago; National Institute of Water &amp; Atmospheric Research (NIWA) - New Zealand; University of Auckland; University of Canterbury; University of Otago; University of Alaska System; University of Alaska Fairbanks; York University - Canada</t>
  </si>
  <si>
    <t>Langhorne, PJ (corresponding author), Univ Otago, Dept Phys, Dunedin, New Zealand.</t>
  </si>
  <si>
    <t>pat.langhorne@otago.ac.nz</t>
  </si>
  <si>
    <t>Haas, Christian/L-5279-2016; Robinson, Natalie J/I-4460-2015; Gough, Alex J/D-4784-2009; Rack, Wolfgang/U-8898-2017; Leonard, Greg/F-7157-2010; Langhorne, Pat/C-3539-2018</t>
  </si>
  <si>
    <t>Haas, Christian/0000-0002-7674-3500; Stevens, Craig/0000-0002-4730-6985; Rack, Wolfgang/0000-0003-2447-377X; Hughes, Kenneth/0000-0001-5066-3310; Leonard, Greg/0000-0001-7679-9486; Price, Daniel/0000-0001-6003-0920; Langhorne, Pat/0000-0003-0239-7657</t>
  </si>
  <si>
    <t>New Zealand Ministry of Science and Innovation; Foundation for Research Science and Technology; National Institute of Water and Atmospheric Research; University of Otago; University of Canterbury</t>
  </si>
  <si>
    <t>New Zealand Ministry of Science and Innovation; Foundation for Research Science and Technology(New Zealand Foundation for Research, Science and Technology); National Institute of Water and Atmospheric Research; University of Otago; University of Canterbury</t>
  </si>
  <si>
    <t>Previously unpublished data were collected in McMurdo Sound with the support of Antarctica New Zealand and the winter-over crews of 2003 and 2009. A contribution to the collection of these Antarctic field data was made by Brett Grant, Stefan Jendersie, Justin Beckers, Kelvin Barnsdale, Jono Leitch, and Brian Staite. Contributions to the formulation of ideas in this work were made by Pat Wongpan, Stefan Jendersie, David Dempsey, Craig Purdie, Cecilia Bitz, Lars Smedsrud, Stephen Ackley, and Mario Hoppmann. Project support was supplied by the New Zealand Ministry of Science and Innovation, Foundation for Research Science and Technology, National Institute of Water and Atmospheric Research, and the Universities of Otago and Canterbury. The data compiled for this study may be accessed in the supporting information.</t>
  </si>
  <si>
    <t>10.1002/2015GL064508</t>
  </si>
  <si>
    <t>WOS:000358691300045</t>
  </si>
  <si>
    <t>De Rydt, J; Gudmundsson, GH; Rott, H; Bamber, JL</t>
  </si>
  <si>
    <t>De Rydt, J.; Gudmundsson, G. H.; Rott, H.; Bamber, J. L.</t>
  </si>
  <si>
    <t>Modeling the instantaneous response of glaciers after the collapse of the Larsen B Ice Shelf</t>
  </si>
  <si>
    <t>Larsen B; glacier speedup; buttressing; ice shelf collapse</t>
  </si>
  <si>
    <t>GROUNDING-LINE MIGRATION; ANTARCTIC PENINSULA; SHEET MODELS; RETREAT; DISINTEGRATION; STABILITY; PATTERN; ASSIMILATION; DEFORMATION; INSTABILITY</t>
  </si>
  <si>
    <t>Following the disintegration of the Larsen B Ice Shelf, Antarctic Peninsula, in 2002, regular surveillance of its approximate to 20 tributary glaciers has revealed a response which is varied and complex in both space and time. The major outlets have accelerated and thinned, smaller glaciers have shown little or no change, and glaciers flowing into the remnant Scar Inlet Ice Shelf have responded with delay. In this study we present the first areawide numerical analysis of glacier dynamics before and immediately after the collapse of the ice shelf, combining new data sets and a state-of-the-art numerical ice flow model. We simulate the loss of buttressing at the grounding line and find a good qualitative agreement between modeled changes in glacier flow and observations. Through this study, we seek to improve confidence in our numerical models and their ability to capture the complex mechanical coupling between floating ice shelves and grounded ice.</t>
  </si>
  <si>
    <t>[De Rydt, J.; Gudmundsson, G. H.] British Antarctic Survey, Cambridge CB3 0ET, England; [Rott, H.] ENVEO IT GmbH, Innsbruck, Austria; [Rott, H.] Univ Innsbruck, Inst Meteorol &amp; Geophys, A-6020 Innsbruck, Austria; [Bamber, J. L.] Univ Bristol, Bristol Glaciol Ctr, Sch Geog Sci, Bristol, Avon, England</t>
  </si>
  <si>
    <t>UK Research &amp; Innovation (UKRI); Natural Environment Research Council (NERC); NERC British Antarctic Survey; University of Innsbruck; University of Bristol</t>
  </si>
  <si>
    <t>De Rydt, J (corresponding author), British Antarctic Survey, Cambridge CB3 0ET, England.</t>
  </si>
  <si>
    <t>janryd69@bas.ac.uk</t>
  </si>
  <si>
    <t>Gudmundsson, Gudmundur Hilmar/F-6499-2012; Bamber, Jonathan/C-7608-2011; Gudmundsson, Gudmundur Hilmar/AAU-5987-2020; De Rydt, Jan/H-5692-2018</t>
  </si>
  <si>
    <t>Gudmundsson, Gudmundur Hilmar/0000-0003-4236-5369; Bamber, Jonathan/0000-0002-2280-2819; Gudmundsson, Gudmundur Hilmar/0000-0003-4236-5369; De Rydt, Jan/0000-0002-2978-8706</t>
  </si>
  <si>
    <t>Marie Curie fellowship (European Union Seventh Framework Programme) [PIEF-GA-2011-301268]; Natural Environment Research Council (NERC); NERC [NE/l027401/1]; Natural Environment Research Council [NE/I027401/1, bas0100034] Funding Source: researchfish; NERC [NE/I027401/1, bas0100034] Funding Source: UKRI</t>
  </si>
  <si>
    <t>Marie Curie fellowship (European Union Seventh Framework Programme)(European Union (EU));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</si>
  <si>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Stephen Cornford and Daniel Farinotti for their helpful comments and suggestions. J.D.R. was funded through a Marie Curie fellowship (European Union Seventh Framework Programme (FP7/2007-2013), grant PIEF-GA-2011-301268), and J.D.R. and G.H.G. were partly supported by core funding from the Natural Environment Research Council (NERC) to the British Antarctic Survey. J.L.B. was partly funded by NERC grant NE/l027401/1.</t>
  </si>
  <si>
    <t>10.1002/2015GL064355</t>
  </si>
  <si>
    <t>WOS:000358691300034</t>
  </si>
  <si>
    <t>Gordon, AL; Huber, BA; Busecke, J</t>
  </si>
  <si>
    <t>Gordon, Arnold L.; Huber, Bruce A.; Busecke, Julius</t>
  </si>
  <si>
    <t>Bottom water export from the western Ross Sea, 2007 through 2010</t>
  </si>
  <si>
    <t>Antarctic Bottom Water; Ross Sea</t>
  </si>
  <si>
    <t>NOVA BAY POLYNYA; SHELF; OCEAN; VARIABILITY; FLOW</t>
  </si>
  <si>
    <t>Bottom water export from the Ross Sea, February 2007 to January 2011, exhibits seasonal and interannual variability. Temperature minima coupled to salinity maxima in late austral summer, into the fall, indicate input from High-Salinity Shelf Water (HSSW). Secondary temperature minima lacking the high-salinity trait, characteristic of Low-Salinity Shelf Water (LSSW), appear in the spring. Warmer bottom water similar to modified Circumpolar Deep Water (mCDW) is observed in winter and in early summer. The LSSW and mCDW may be drawn from the Drygalski Basin, as the HSSW pool retreats poleward from the shelf break in response to increased winter polar easterlies allowing these less dense overlying waters to spill into the deep ocean within the benthic layer. Bottom salinity decreased from 2007 to 2011 by 0.007year(-1) significantly higher than regional decadal trends, which we propose is a result of HSSW retreat induced by strengthening polar easterlies.</t>
  </si>
  <si>
    <t>[Gordon, Arnold L.; Huber, Bruce A.; Busecke, Julius] Columbia Univ, Lamont Doherty Earth Observ, Palisades, NY 10964 USA</t>
  </si>
  <si>
    <t>Gordon, AL (corresponding author), Columbia Univ, Lamont Doherty Earth Observ, Palisades, NY 10964 USA.</t>
  </si>
  <si>
    <t>agordon@ldeo.columbia.edu</t>
  </si>
  <si>
    <t>Gordon, Arnold/H-1049-2011</t>
  </si>
  <si>
    <t>Huber, Bruce/0000-0001-6413-1614; Busecke, Julius/0000-0001-8571-865X</t>
  </si>
  <si>
    <t>NSF-OPP ANT [0538148, 1141890]; Office of Polar Programs (OPP); Directorate For Geosciences [1141890] Funding Source: National Science Foundation</t>
  </si>
  <si>
    <t>NSF-OPP ANT; Office of Polar Programs (OPP); Directorate For Geosciences(National Science Foundation (NSF)NSF - Directorate for Geosciences (GEO))</t>
  </si>
  <si>
    <t>This work was supported by NSF-OPP ANT 0538148 and NSF-OPP ANT 1141890. M. Visbeck is acknowledged with gratitude for his participation in the early stages of developing the CALM project. Lamont-Doherty Earth Observatory contribution 7907. The CTD and mooring time series data used in the paper are available upon request to the authors and from the URLs http://www.marine-geo.org/tools/search/entry.php?id=NBP0801 and http://www.marine-geo.org/tools/search/entry.php? id=NBP1101.</t>
  </si>
  <si>
    <t>10.1002/2015GL064457</t>
  </si>
  <si>
    <t>WOS:000358691300038</t>
  </si>
  <si>
    <t>Ahyong, ST; Schnabel, KE; Baba, K</t>
  </si>
  <si>
    <t>Ahyong, Shane T.; Schnabel, Kareen E.; Baba, Keiji</t>
  </si>
  <si>
    <t>Southern High Latitude Squat Lobsters: Galatheoidea and Chirostyloidea from Macquarie Ridge with Description of a New Species of Uroptychus</t>
  </si>
  <si>
    <t>RECORDS OF THE AUSTRALIAN MUSEUM</t>
  </si>
  <si>
    <t>Anomura; Galatheoidea; Chirostyloidea; New Zealand; Macquarie Ridge; Southern Ocean; seamount</t>
  </si>
  <si>
    <t>NEW-ZEALAND; MUNIDOPSIS DECAPODA; PLATE BOUNDARY; CRUSTACEA; ANOMURA; GALATHEIDAE; PACIFIC; BIOGEOGRAPHY; SEAMOUNTS; OCEAN</t>
  </si>
  <si>
    <t>Macquarie Ridge is one of the southernmost seamount ridges, spanning 1600 kilometres from the southern tip of New Zealand to the Australia-Pacific-Antarctic triple junction halfway to Antarctica. Squat lobsters, superfamilies Chirostyloidea and Galatheoidea, are highly diverse at low and mid-latitudes, declining rapidly towards the poles; only 15 of the more than 1000 species have been recorded south of 50 degrees S. Prior to the present study, one species of squat lobster (Munidopsis pyrochela, Munidopsidae) was known from the Macquarie Ridge, but recent research voyages in 2003 and 2008 collected a further five species from both superfamilies and three families. Uroptychus tracey (Chirostylidae) is new to science. Uroptychus insignis (Henderson, 1885) is reported for the first time outside of the western Indian Ocean and re-described based on type material. Subtle differences between the western Indian Ocean and Macquarie Ridge specimens of U. insignis suggest that the latter specimens might represent a separate species. Munida chathamensis Baba, 1974 (Munididae) is re-described and reported for the first time outside of its Chatham Rise type locality. New morphological variation is reported for Munida isos. Munidopsis tasmaniae is reported not only for the first time from the Macquarie Ridge, but also for the first time from New Zealand waters.</t>
  </si>
  <si>
    <t>[Ahyong, Shane T.] Australian Museum, Sydney, NSW 2010, Australia; [Ahyong, Shane T.] Univ New S Wales, Sch Biol Earth &amp; Environm Sci, Sydney, NSW 2052, Australia; [Schnabel, Kareen E.] Natl Inst Water &amp; Atmospher Res, Wellington, New Zealand; [Baba, Keiji] Kumamoto Univ, Fac Educ, Kumamoto 8608555, Japan</t>
  </si>
  <si>
    <t>Australian Museum; University of New South Wales Sydney; National Institute of Water &amp; Atmospheric Research (NIWA) - New Zealand; Kumamoto University</t>
  </si>
  <si>
    <t>Ahyong, ST (corresponding author), Australian Museum, 6 Coll St, Sydney, NSW 2010, Australia.</t>
  </si>
  <si>
    <t>shane.ahyong@austmus.gov.au; kareen.schnabel@niwa.co.nz; kbaba.kumamoto@gmail.com</t>
  </si>
  <si>
    <t>Schnabel, Kareen/0000-0002-9965-9010; Ahyong, Shane/0000-0002-2820-4158</t>
  </si>
  <si>
    <t>NIWA [2014/15 SCI]; Australian Biological Resources Study; New Zealand Foundation for Research, Science and Technology; CSIRO Wealth from Oceans Flagship; New Zealand Ministry for Primary Industry (Fisheries)</t>
  </si>
  <si>
    <t>NIWA; Australian Biological Resources Study; New Zealand Foundation for Research, Science and Technology(New Zealand Foundation for Research, Science and Technology); CSIRO Wealth from Oceans Flagship(Commonwealth Scientific &amp; Industrial Research Organisation (CSIRO)); New Zealand Ministry for Primary Industry (Fisheries)</t>
  </si>
  <si>
    <t>Research for this publication was funded by NIWA under Coasts and Oceans Research Programme 2 Marine Biological Resources - discovery and definition of the marine biota of New Zealand (2014/15 SCI) (KES), and the Australian Biological Resources Study (STA). We are grateful to Tomoyuki Komai and Enrique Macpherson for their constructive reviews of the manuscript, and Miranda Lowe and Paul Clark (BMNH), Laure Corbari (MNHN), Marc Eleaume (MNHN), Tsutomu Tanabe (ZLKU) and Rick Webber (NMNZ) for access to specimens. Enrique is also thanked for sharing observations on Munida spinosa. Both Macquarie Ridge voyages (TAN0306 and TAN0803 MacRidge 2) were part of NIWA's research project Seamounts: their importance to fisheries and marine ecosystems and funded by the former New Zealand Foundation for Research, Science and Technology. MacRidge 2 voyage TAN0803 was an interdisciplinary New Zealand-Australian voyage which also contributed to CSIRO's Division of Marine and Atmospheric Research project Biodiversity Voyages of Discovery funded by the CSIRO Wealth from Oceans Flagship. Some specimens were also collected under the Scientific Observer Program funded by the New Zealand Ministry for Primary Industry (Fisheries). This is a contribution from the Australian Museum Research Institute.</t>
  </si>
  <si>
    <t>AUSTRALIAN MUSEUM</t>
  </si>
  <si>
    <t>SYDNEY</t>
  </si>
  <si>
    <t>6 COLLEGE ST, SYDNEY, NSW 2010, AUSTRALIA</t>
  </si>
  <si>
    <t>0067-1975</t>
  </si>
  <si>
    <t>REC AUST MUS</t>
  </si>
  <si>
    <t>Rec. Aust. Mus.</t>
  </si>
  <si>
    <t>JUL 15</t>
  </si>
  <si>
    <t>10.3853/j.2201-4349.67.2015.1640</t>
  </si>
  <si>
    <t>CN5LS</t>
  </si>
  <si>
    <t>WOS:000358471400001</t>
  </si>
  <si>
    <t>Wolschke, H; Meng, XZ; Xie, ZY; Ebinghaus, R; Cai, MH</t>
  </si>
  <si>
    <t>Wolschke, Hendrik; Meng, Xiang-Zhou; Xie, Zhiyong; Ebinghaus, Ralf; Cai, Minghong</t>
  </si>
  <si>
    <t>Novel flame retardants (N-FRs), polybrominated diphenyl ethers (PBDEs) and dioxin-like polychlorinated biphenyls (DL-PCBs) in fish, penguin, and skua from King George Island, Antarctica</t>
  </si>
  <si>
    <t>Novel brominated flame retardants; Polybrominated diphenyl ethers; Dioxin-like polychlorinated biphenyls; Bioaccumulation; Antarctica</t>
  </si>
  <si>
    <t>PERSISTENT ORGANIC POLLUTANTS; LONG-RANGE TRANSPORT; DECHLORANE PLUS; FOOD-WEB; BIOACCUMULATION; CONTAMINANTS; ENVIRONMENT; CONGENERS; SHANGHAI; TRENDS</t>
  </si>
  <si>
    <t>Persistent organic pollutants (POPs), including polychlorinated biphenyls (PCBs) and polybrominated diphenyl ethers (PBDEs), are frequently detected in biota from Antarctica, whereas no data are available for their replacements, such as novel flame retardants (N-FRs). This study presented the occurrence of several N-FRs, PBDEs, and PCBs in tissue samples of an Antarctic rock cod (Trematomus bernacchii), a young gentoo penguin (Pygoscelis papua), and a brown skua (Stercorarius antarcticus) collected from King George Island. The total concentrations of N-FRs (Sigma N-FRs; mean: 931 pg/g dry weight (dw)) were comparable to PBDEs (Sigma 8PBDEs; 681 pg/g dw), which were much lower than PCBs (Sigma DL-PCBs; 12,800 pg/g dw). Overall, skua contained two to three orders of magnitude higher contamination than penguin and fish. In the future, more attention should be focused on the fate of N-FRs in Antarctica, where usages have increased since PBDEs were banned. To our knowledge, this is the first report of N-FRs in biota from Antarctica. (C) 2015 Elsevier Ltd. All rights reserved.</t>
  </si>
  <si>
    <t>[Wolschke, Hendrik; Xie, Zhiyong; Ebinghaus, Ralf] Helmholtz Zentrum Geesthacht, Inst Coastal Res, D-21502 Geesthacht, Germany; [Meng, Xiang-Zhou] Tongji Univ, Coll Environm Sci &amp; Engn, State Key Lab Pollut Control &amp; Resources Reuse, Shanghai 200092, Peoples R China; [Cai, Minghong] Polar Res Inst China, SOA Key Lab Polar Sci, Shanghai 200136, Peoples R China</t>
  </si>
  <si>
    <t>Helmholtz Association; Helmholtz-Zentrum Hereon; Tongji University; Polar Research Institute of China</t>
  </si>
  <si>
    <t>Meng, XZ (corresponding author), Tongji Univ, Coll Environm Sci &amp; Engn, State Key Lab Pollut Control &amp; Resources Reuse, Shanghai 200092, Peoples R China.</t>
  </si>
  <si>
    <t>xzmeng@tongji.edu.cn; Caiminghong@pric.gov.cn</t>
  </si>
  <si>
    <t>Xie, Zhiyong/E-8436-2014</t>
  </si>
  <si>
    <t>National Natural Science Foundation of China [41172318]; Chinese Polar Environment Comprehensive Investigation and Assessment Programs [CHINARE 2015-02-01-08]; Program for New Century Excellent Talents in University [NCET-12-0417]</t>
  </si>
  <si>
    <t>National Natural Science Foundation of China(National Natural Science Foundation of China (NSFC)); Chinese Polar Environment Comprehensive Investigation and Assessment Programs; Program for New Century Excellent Talents in University(Program for New Century Excellent Talents in University (NCET))</t>
  </si>
  <si>
    <t>This study was funded by the National Natural Science Foundation of China (No. 41172318), Chinese Polar Environment Comprehensive Investigation and Assessment Programs (No. CHINARE 2015-02-01-08), and the Program for New Century Excellent Talents in University (No. NCET-12-0417).</t>
  </si>
  <si>
    <t>10.1016/j.marpolbul.2015.04.012</t>
  </si>
  <si>
    <t>CM0DP</t>
  </si>
  <si>
    <t>WOS:000357348900068</t>
  </si>
  <si>
    <t>Lindsay, CM; Lehman, SJ; Marchitto, TM; Ortiz, JD</t>
  </si>
  <si>
    <t>Lindsay, Colin M.; Lehman, Scott J.; Marchitto, Thomas M.; Ortiz, Joseph D.</t>
  </si>
  <si>
    <t>The surface expression of radiocarbon anomalies near Baja California during deglaciation</t>
  </si>
  <si>
    <t>radiocarbon; foraminifera; paleoceanography; deglaciation; Heinrich stadial 1</t>
  </si>
  <si>
    <t>PACIFIC INTERMEDIATE WATER; NORTH PACIFIC; LAST DEGLACIATION; SOUTHERN-OCEAN; CARBON; C-14; VENTILATION; AGES; FORAMINIFERA; HYDROGRAPHY</t>
  </si>
  <si>
    <t>Periods of declining atmospheric radiocarbon activity (Delta C-14) during the Heinrich 1 (similar to 17.8-14.6 ka) and Younger Dryas (similar to 12.8-11.5 ka) stadials of the last deglaciation coincide with intervals of rising atmospheric CO2, as well as evidence of C-14-depleted carbon at intermediate ocean depths near Baja California, Mexico and in the Arabian Sea. The latter has been interpreted as the signature of aged carbon emerging through the intermediate ocean to the atmosphere from a previously isolated deep ocean reservoir. Here we report measurements from near Baja California that enable us to reconstruct the Delta C-14 of surface waters as recorded by three different species of planktonic foraminifera. We find that surface ocean Delta C-14 recorded by planktonic foraminifera was anomalously low relative to the coeval atmosphere during previously documented periods of low benthic Delta C-14, consistent with upwelling and subsequent mixing and/or partial atmospheric equilibration of the intermediate-depth benthic signal. We also propose an oceanographic explanation for observed Delta C-14 differences between individual planktonic species during deglaciation at this location, based on seasonal growth habitats and a seasonal change in the source of coastal upwelling waters: from northern in the spring to southern in late summer, as the shelf-trapped poleward California Undercurrent strengthens. An analysis of the contemporary hydrography and planktic habitat preferences suggests that G. bulloides and G. sacculifer record primarily springtime conditions off Baja California, when the local influence of waters sourced from the surface of the North Pacific is greatest. This is supported by the strong resemblance of the Delta C-14 of those species and a recent record of planktic Delta C-14 from the Northeast Pacific during deglaciation. Lower Delta C-14 recorded by the late-summer species G. ruber suggests that locally upwelling waters carried C-14-depleted carbon that was proximately sourced from equatorial subsurface waters entrained by the California Undercurrent. Together with the benthic record, these observations are consistent with transport of an anomalous C-14-depletion signal carried primarily by Antarctic Intermediate Water from an ultimate source in the Southern Ocean. (C) 2015 Elsevier B.V. All rights reserved.</t>
  </si>
  <si>
    <t>[Lindsay, Colin M.; Marchitto, Thomas M.] Univ Colorado, Dept Geol Sci, Boulder, CO 80309 USA; [Lindsay, Colin M.; Lehman, Scott J.; Marchitto, Thomas M.] Univ Colorado, Inst Arctic &amp; Alpine Res, Campus Box 450, Boulder, CO 80309 USA; [Ortiz, Joseph D.] Kent State Univ, Dept Geol, Kent, OH 44242 USA</t>
  </si>
  <si>
    <t>University of Colorado System; University of Colorado Boulder; University of Colorado System; University of Colorado Boulder; University System of Ohio; Kent State University; Kent State University Salem; Kent State University Kent</t>
  </si>
  <si>
    <t>Lindsay, CM (corresponding author), Univ Colorado, Inst Arctic &amp; Alpine Res, Campus Box 450, Boulder, CO 80309 USA.</t>
  </si>
  <si>
    <t>Colin.Lindsay@colorado.edu</t>
  </si>
  <si>
    <t>Ortiz, Joseph/E-1144-2011</t>
  </si>
  <si>
    <t>Ortiz, Joseph/0000-0002-6583-3850; MARCHITTO, THOMAS/0000-0003-2397-8768</t>
  </si>
  <si>
    <t>NSF [OCE-0851391]</t>
  </si>
  <si>
    <t>We thank Lex van Geen for providing sediment samples and comments on the manuscript, Chad Wolak, Patrick Cappa, Steve Morgan and Derek Weller for laboratory assistance, John Southon for AMS measurements, and Jess Adkins for sharing Matlab code. Comments from two anonymous reviewers helped improve the manuscript. This work was funded by NSF grant OCE-0851391 to SJL and TMM.</t>
  </si>
  <si>
    <t>10.1016/j.epsl.2015.04.012</t>
  </si>
  <si>
    <t>CJ2YN</t>
  </si>
  <si>
    <t>WOS:000355350700008</t>
  </si>
  <si>
    <t>Jiménez, S; Domingo, A; Brazeiro, A; Defeo, O; Phillips, RA</t>
  </si>
  <si>
    <t>Jimenez, Sebastian; Domingo, Andres; Brazeiro, Alejandro; Defeo, Omar; Phillips, Richard A.</t>
  </si>
  <si>
    <t>Marine debris ingestion by albatrosses in the southwest Atlantic Ocean</t>
  </si>
  <si>
    <t>Seabirds; Procellariiformes; Pollution; Plastics</t>
  </si>
  <si>
    <t>PLASTIC PARTICLES; PROCELLARIIFORM SEABIRDS; FISHING GEAR; ACCUMULATION; POLLUTION; PETRELS; ENVIRONMENT; MANAGEMENT; MIGRATION; CHEMICALS</t>
  </si>
  <si>
    <t>Plastics and other marine debris affect wildlife through entanglement and by ingestion. We assessed the ingestion of marine debris by seven albatross species in the southwest Atlantic by analyzing stomach contents of birds killed in fisheries. Of the 128 specimens examined, including four Diomedea species (n = 78) and three Thalassarche species (n = 50), 21(16.4%) contained 1-4 debris items, mainly in the ventriculus. The most common type was plastic fragments. Debris was most frequent in Diomedea species (25.6%) and, particularly, Diomedea sanfordi (38.9%) and very rare in Thalassarche species (2.0%), presumably reflecting differences in foraging behavior or distribution. Frequency of occurrence was significantly higher in male than female Diomedea albatrosses (39.3% vs. 18.0%). Although levels of accumulated debris were relatively low overall, and unlikely to result in gut blockage, associated toxins might nevertheless represent a health risk for Diomedea albatrosses, compounding the negative impact of other human activities on these threatened species. (C) 2015 Elsevier Ltd. All rights reserved.</t>
  </si>
  <si>
    <t>[Jimenez, Sebastian; Domingo, Andres] Direcc Nacl Recursos Acuat, Recursos Pelag, Montevideo 11200, Uruguay; [Jimenez, Sebastian; Phillips, Richard A.] British Antarctic Survey, Nat Environm Res Council, Cambridge CB3 0ET, England; [Jimenez, Sebastian] Ctr Invest &amp; Conservac Marina CICMAR, Proyecto Albatros &amp; Petreles Uruguay, Montevideo, Uruguay; [Brazeiro, Alejandro] Univ Republica, Fac Ciencias, Inst Ecol &amp; Ciencias Ambientales, Montevideo 11400, Uruguay; [Defeo, Omar] Univ Republica, Fac Ciencias, Dept Ecol &amp; Evoluc, UNDECIMAR, Montevideo 11400, Uruguay</t>
  </si>
  <si>
    <t>UK Research &amp; Innovation (UKRI); Natural Environment Research Council (NERC); NERC British Antarctic Survey; Universidad de la Republica, Uruguay; Universidad de la Republica, Uruguay</t>
  </si>
  <si>
    <t>Jiménez, S (corresponding author), Direcc Nacl Recursos Acuat, Lab Recursos Pelag, Constituyente 1497, Montevideo 11200, Uruguay.</t>
  </si>
  <si>
    <t>jimenezpsebastian@gmail.com</t>
  </si>
  <si>
    <t>Jimenez, Sebastian Jimenez S/K-6168-2017; Jimenez, Sebastian/JMC-9419-2023</t>
  </si>
  <si>
    <t>Defeo, Omar/0000-0001-8318-528X; Brazeiro, Alejandro/0000-0001-8352-9900; Jimenez, Sebastian/0000-0003-3945-4619</t>
  </si>
  <si>
    <t>Royal Society for the Protection of Birds (RSPB); BirdLife International; British Embassy (Montevideo); Agencia Nacional de Investigacion e Innovacion (ANII); International Association of Antarctic Tour Operators (IAATO) [Birdlife International's Save the Albatross campaign]; International Association of Antarctic Tour Operators (IAATO) [Birds Australia]; Natural Environment Research Council [bas0100035] Funding Source: researchfish; NERC [bas0100035] Funding Source: UKRI</t>
  </si>
  <si>
    <t>Royal Society for the Protection of Birds (RSPB); BirdLife International; British Embassy (Montevideo); Agencia Nacional de Investigacion e Innovacion (ANII); International Association of Antarctic Tour Operators (IAATO) [Birdlife International's Save the Albatross campaign]; International Association of Antarctic Tour Operators (IAATO) [Birds Australia]; Natural Environment Research Council(UK Research &amp; Innovation (UKRI)Natural Environment Research Council (NERC)); NERC(UK Research &amp; Innovation (UKRI)Natural Environment Research Council (NERC))</t>
  </si>
  <si>
    <t>This work was made possible by the Laboratorio de Recursos Pelagicos, Direccion Nacional de Recursos Acuaticos (DINARA). We would like to thank the observers of the Programa Nacional de Observadores de la Flota Atunera Uruguaya (PNOFA). Special thanks to Martin Abreu and Rodrigo Forselledo for their invaluable cooperation in the examination of bycaught albatrosses at the laboratory. Part of the field work was undertaken under two programs of the Proyecto Albatros y Petreles - Uruguay, Conservation of Wandering Albatross in Western Atlantic and the Albatross Task Force, funded respectively by the International Association of Antarctic Tour Operators (IAATO) [Birds Australia, and Birdlife International's Save the Albatross campaign], and the Royal Society for the Protection of Birds (RSPB) and BirdLife International. SJ gratefully acknowledges the support by Graham Robertson and the British Embassy (Montevideo), and the Agreement on the Conservation of Albatrosses and Petrels of two long-term study visits to British Antarctic Survey where some of this work was carried out. This paper is part of the PhD thesis of SJ, who receives a scholarship from Agencia Nacional de Investigacion e Innovacion (ANII).</t>
  </si>
  <si>
    <t>10.1016/j.marpolbul.2015.05.034</t>
  </si>
  <si>
    <t>WOS:000357348900028</t>
  </si>
  <si>
    <t>Khan, R; Shirai, N; Ebihara, M</t>
  </si>
  <si>
    <t>Khan, Rahat; Shirai, Naoki; Ebihara, Mitsuru</t>
  </si>
  <si>
    <t>Chemical characteristic of R chondrites in the light of P, REEs, Th and U abundances</t>
  </si>
  <si>
    <t>R chondrites; rare earth elements; uranium; thorium; phosphorus</t>
  </si>
  <si>
    <t>RARE-EARTH-ELEMENTS; SOLAR-SYSTEM ABUNDANCES; TRACE-ELEMENTS; ALLENDE METEORITE; CONDENSATION; FRACTIONATION; RUMURUTI; NEBULA; INCLUSIONS; CHEMISTRY</t>
  </si>
  <si>
    <t>Rare earth elements (REEs), Th, U and P were determined in 15 Rumuruti (R)-type chondrites and the Allende CV chondrite. Repeated analyses of Allende for REEs, Th and U by ICP-MS and P by ICP-AES, and comparisons of these data with literature values ensure high reproducibility (precision) and reliability (accuracy) of acquired data. Cl-normalized REE abundances in R chondrites are slightly enriched in heavy REEs with a small, positive Ce anomaly, in contrast to Allende. Cl-normalized Pr/Tm and Nd/Yb ratios show a positive correlation, suggesting the heterogeneous mixing of two components (CI-like and refractory-dch materials) during the accretion of the R chondrite parent body. A Ce anomaly, however, was likely homogeneously present in the nebula. A mean Th/U ratio of R chondrites is 3.81 +/- 0.13 (1 sigma), which is 5.1% higher than the Cl ratio. Probably, the Th-U fractionation was inherited from the nebula from which the R chondrite parent body formed. Besides the Th-U fractionation, REEs and Th-U are heterogeneously fractionated in R chondrites, for which parent body processing is assumed to be the cause. A mean P content of R chondrites (1254 mu g/g) is higher than for any ordinary chondrite and is close to the EL mean. There appears to be a negative correlation between P and REEs contents in R chondrites. It is probable that REEs were diluted by extraneously supplied, REEs-depleted and P-containing materials (schreibersite or metal). This process must have occurred heterogeneously during accretion so that the heterogeneity of P-containing materials was preserved in the R chondrite parent body and individual R chondrites. (C) 2015 Elsevier B.V. All rights reserved.</t>
  </si>
  <si>
    <t>[Khan, Rahat; Shirai, Naoki; Ebihara, Mitsuru] Tokyo Metropolitan Univ, Grad Sch Sci &amp; Engn, Dept Chem, Hachioji, Tokyo 1920397, Japan</t>
  </si>
  <si>
    <t>Tokyo Metropolitan University</t>
  </si>
  <si>
    <t>Ebihara, M (corresponding author), Tokyo Metropolitan Univ, Grad Sch Sci &amp; Engn, Dept Chem, Hachioji, Tokyo 1920397, Japan.</t>
  </si>
  <si>
    <t>ebihara-mitsuru@tmu.ac.jp</t>
  </si>
  <si>
    <t>Khan, Rahat/0000-0002-5693-3892</t>
  </si>
  <si>
    <t>Tokyo Metropolitan Government; Ministry of Education, Culture, Sports, Science, and Technology, Japan (MEXT) [25246038]; Grants-in-Aid for Scientific Research [25246038] Funding Source: KAKEN</t>
  </si>
  <si>
    <t>Tokyo Metropolitan Government(Tokyo Metropolitan Government); Ministry of Education, Culture, Sports, Science, and Technology, Japan (MEXT)(Ministry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</si>
  <si>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NIPR, Japan, and the MWG, US, for the loan of the Antarctic meteorites used in this study. Reviews by Steven Goderis and an anonymous reviewer were helpful in revising this paper. We are grateful to A.E. Rubin for reading the manuscript and giving us useful comments. R.K. acknowledges the Asian Human Resources Fund from the Tokyo Metropolitan Government. This work is financially supported in part by Grant-in-Aid (KAKENHI) of Ministry of Education, Culture, Sports, Science, and Technology, Japan (MEXT) (No. 25246038 to M.E.).</t>
  </si>
  <si>
    <t>10.1016/j.epsl.2015.04.008</t>
  </si>
  <si>
    <t>WOS:000355350700003</t>
  </si>
  <si>
    <t>Mémin, A; Flament, T; Alizier, B; Watson, C; Rémy, F</t>
  </si>
  <si>
    <t>Memin, A.; Flament, T.; Alizier, B.; Watson, C.; Remy, F.</t>
  </si>
  <si>
    <t>Interannual variation of the Antarctic Ice Sheet from a combined analysis of satellite gravimetry and altimetry data</t>
  </si>
  <si>
    <t>Antarctica; ice sheet; interannual variation; mass changes; GRACE; Envisat</t>
  </si>
  <si>
    <t>CIRCUMPOLAR WAVE; RADAR ALTIMETRY; WEST ANTARCTICA; SNOW; VARIABILITY; ENVISAT</t>
  </si>
  <si>
    <t>Assessment of the long term mass balance of the Antarctic Ice Sheet, and thus the determination of its contribution to sea level rise, requires an understanding of interannual variability and associated causal mechanisms. We performed a combined analysis of surface-mass and elevation changes using data from the GRACE and Envisat satellite missions, respectively. Using empirical orthogonal functions and singular value decompositions of each data set, we find a quasi 4.7-yr periodic signal between 08/2002 and 10/2010 that accounts for similar to 15-30% of the time variability of the filtered and detrended surface-mass and elevation data. Computation of the density of this variable mass load corresponds to snow or uncompacted firn. Changes reach maximum amplitude within the first 100 km from the coast where it contributes up to 30-35% of the annual rate of accumulation. Extending the analysis to 09/2014 using surface-mass changes only, we have found anomalies with a periodicity of about 4-6 yrs that circle the AIS in about 9-10 yrs. These properties connect the observed anomalies to the Antarctic Circumpolar Wave (ACW) which is known to affect several key climate variables, including precipitation. It suggests that variability in the surface-mass balance of the Antarctic Ice Sheet may also be modulated by the ACW. (C) 2015 Elsevier B.V. All rights reserved.</t>
  </si>
  <si>
    <t>[Memin, A.] Univ Nice Sophia Antipolis, CNRS, IRD, Observ Cote Azur,Geoazur UMR 7329, F-06560 Valbonne, France; [Memin, A.; Alizier, B.] Univ Tasmania, Sch Phys Sci, Hobart, Tas 7001, Australia; [Flament, T.; Remy, F.] Univ Toulouse 3, CNRS, OMP, LEGOS,UMR 5566, F-31400 Toulouse, France; [Watson, C.] Univ Tasmania, Sch Land &amp; Food, Hobart, Tas 7001, Australia</t>
  </si>
  <si>
    <t>Institut de Recherche pour le Developpement (IRD); Centre National de la Recherche Scientifique (CNRS); CNRS - National Institute for Earth Sciences &amp; Astronomy (INSU); Universite Cote d'Azur; Observatoire de la Cote d'Azur; University of Tasmania;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University of Tasmania</t>
  </si>
  <si>
    <t>Mémin, A (corresponding author), Univ Nice Sophia Antipolis, CNRS, IRD, Observ Cote Azur,Geoazur UMR 7329, 250 Rue Albert Einstein, F-06560 Valbonne, France.</t>
  </si>
  <si>
    <t>anthony.memin@geoazur.unice.fr</t>
  </si>
  <si>
    <t>Mémin, Anthony/AAX-3919-2020; Watson, Christopher S/D-4707-2013</t>
  </si>
  <si>
    <t>Mémin, Anthony/0000-0003-2931-9034; Watson, Christopher/0000-0002-7464-4592; Flament, Thomas/0000-0001-9702-302X</t>
  </si>
  <si>
    <t>Australian Research Council [FS110200045]; Australian Antarctic Science program [AAS4155]; Australian Research Council [FS110200045] Funding Source: Australian Research Council</t>
  </si>
  <si>
    <t>Australian Research Council(Australian Research Council); Australian Antarctic Science program; Australian Research Council(Australian Research Council)</t>
  </si>
  <si>
    <t>Data are available upon request from A. Memin. A. Memin was supported by an Australian Research Council Super Science Fellowship (FS110200045). C. Watson is supported by the Australian Antarctic Science program (AAS4155). M. King and A. Santamaria-Gomez are acknowledged for discussion and comments that helped improve the manuscript. We thank two anonymous reviewers for their comments which have enabled us to significantly improve the manuscript.</t>
  </si>
  <si>
    <t>10.1016/j.epsl.2015.03.045</t>
  </si>
  <si>
    <t>WOS:000355350700016</t>
  </si>
  <si>
    <t>Vargas, S; Kelly, M; Schnabel, K; Mills, S; Bowden, D; Wörheide, G</t>
  </si>
  <si>
    <t>Vargas, Sergio; Kelly, Michelle; Schnabel, Kareen; Mills, Sadie; Bowden, David; Woerheide, Gert</t>
  </si>
  <si>
    <t>Diversity in a Cold Hot-Spot: DNA-Barcoding Reveals Patterns of Evolution among Antarctic Demosponges (Class Demospongiae, Phylum Porifera) (vol 10, e0127573, 2015)</t>
  </si>
  <si>
    <t>Vargas, Sergio/A-5678-2011; Wörheide, Gert/C-1080-2008</t>
  </si>
  <si>
    <t>Wörheide, Gert/0000-0002-6380-7421; Mills, Victoria/0000-0002-8122-0456; Schnabel, Kareen/0000-0002-9965-9010</t>
  </si>
  <si>
    <t>JUL 14</t>
  </si>
  <si>
    <t>e0133096</t>
  </si>
  <si>
    <t>10.1371/journal.pone.0133096</t>
  </si>
  <si>
    <t>CN1QN</t>
  </si>
  <si>
    <t>WOS:000358194900125</t>
  </si>
  <si>
    <t>Sipler, RE; Connelly, TL</t>
  </si>
  <si>
    <t>Sipler, Rachel E.; Connelly, Tara L.</t>
  </si>
  <si>
    <t>Bioavailability of surface dissolved organic matter to aphotic bacterial communities in the Amundsen Sea Polynya, Antarctica</t>
  </si>
  <si>
    <t>ROSS SEA; PHYTOPLANKTON BLOOMS; WEDDELL SEA; CHEMICAL-COMPOSITION; GROWTH EFFICIENCY; SOUTHERN-OCEAN; ICE; CARBON; TEMPERATURE; VARIABILITY</t>
  </si>
  <si>
    <t>Antarctic seas, and particularly the Amundsen Sea Polynya, are some of the most productive oceanic regions on Earth. Ice-algal production during austral spring is followed by open-water pelagic production later in the season. Although ice-free growth accounts for a greater percentage of the annual net primary production, ice algae provide an important source of nutrients to organisms throughout the water column and benthos in areas and seasons when open-water production is insignificant. The objectives of this study were to assess the bioavailability of dissolved organic matter (DOM), sourced from ice algae or the chlorophyll maximum (chl max), to marine bacterioplankton and to determine the fate of carbon within these different DOM pools, including loss to respiration, incorporation into bacterial biomass and retention within the DOM pool itself. Nutrient concentrations and bacterial abundance, production, and cell volume were monitored during a 7-day bioassay study involving four treatments conducted shipboard in the Amundsen Sea Polynya, Antarctica. The greatest response in bacterial abundance and activity was observed when ice-algal meltwater was supplied to aphotic zone bacterioplankton collected from 170-m depth. However, bacterial growth efficiency was higher (24%) when chl max water was supplied to the same aphotic zone bacterial community compared to the bacterial growth efficiency of the ice-algal treatment (15%). Approximately 15% of dissolved organic carbon (DOC) from the ice-algal source and 18% from the chl max was consumed by aphotic bacterial communities over the relatively short, one-week incubation. In contrast, 65% of the dissolved organic nitrogen (DON) added as an integral part of the ice-algal DOM was consumed, but none of the DON supplied with chl max water was labile. This study underscores the importance of considering DOM sources when investigating or predicting changes in carbon and nitrogen cycling within the Amundsen Sea.</t>
  </si>
  <si>
    <t>[Sipler, Rachel E.] Virginia Inst Marine Sci, Coll William &amp; Mary, Gloucester Point, VA 23062 USA; [Connelly, Tara L.] Univ Georgia, Dept Marine Sci, Athens, GA 30602 USA; [Connelly, Tara L.] Univ Texas Austin, Marine Sci Inst, Port Aransas, TX USA</t>
  </si>
  <si>
    <t>William &amp; Mary; Virginia Institute of Marine Science; University System of Georgia; University of Georgia; University of Texas System; University of Texas Austin</t>
  </si>
  <si>
    <t>Sipler, RE (corresponding author), Virginia Inst Marine Sci, Coll William &amp; Mary, Gloucester Point, VA 23062 USA.</t>
  </si>
  <si>
    <t>sipler@vims.edu</t>
  </si>
  <si>
    <t>10.12952/journal.elementa.000060</t>
  </si>
  <si>
    <t>CS5JT</t>
  </si>
  <si>
    <t>WOS:000362115000001</t>
  </si>
  <si>
    <t>Smales, LR; Weaver, HJ</t>
  </si>
  <si>
    <t>Smales, Lesley R.; Weaver, Haylee J.</t>
  </si>
  <si>
    <t>An annotated checklist of Acanthocephala from Australian fish</t>
  </si>
  <si>
    <t>Acanthocephala; biodiversity; checklist; freshwater and marine fishes; key; Indo Pacific; Australia; Antarctic</t>
  </si>
  <si>
    <t>N.-SP ACANTHOCEPHALA; RHADINORHYNCHUS ACANTHOCEPHALA; MARINE FISHES; GENUS; CAVISOMIDAE; ERECTION; FAMILY; KEY; NEOECHINORHYNCHIDAE; POMPHORHYNCHIDAE</t>
  </si>
  <si>
    <t>Thirty one genera, comprising 58 named species, 15 undetermined species and nine species known only as cystacanths from paratenic fish hosts were found infesting 144 marine, esturine and freshwater species of fish from Australian and Australian Antarctic waters. Host habitats are given and the distribution and records of the acanthocephalans are given. A key to these parasites at the generic level is provided.</t>
  </si>
  <si>
    <t>[Smales, Lesley R.] S Australian Museum, Adelaide, SA 5070, Australia; [Weaver, Haylee J.] Univ Sunshine Coast, Sippy Downs, Qld 4556, Australia</t>
  </si>
  <si>
    <t>University of the Sunshine Coast</t>
  </si>
  <si>
    <t>Smales, LR (corresponding author), S Australian Museum, N Terrace, Adelaide, SA 5070, Australia.</t>
  </si>
  <si>
    <t>l.warner@cqu.edu.au</t>
  </si>
  <si>
    <t>Weaver, Haylee J/A-1467-2012</t>
  </si>
  <si>
    <t>ABRS grants [CN211-07, CN210-05]; Australian Society for Parasitology Network Travel Grants; Churchill Fellowship</t>
  </si>
  <si>
    <t>ABRS grants; Australian Society for Parasitology Network Travel Grants; Churchill Fellowship</t>
  </si>
  <si>
    <t>The authors would particularly like to thank Eileen Harris, BMNH, Leslie Chisholm, SAM, Mal Bryant, QM and Stephen Keable, AM, for the loan of material, and access to specimens and data and also Tom Cribb and Sylvie Pichelin who donated a large number of specimens to the SAM. This project was partially supported by ABRS grants CN211-07, CN210-05, and Australian Society for Parasitology Network Travel Grants in 2012 and 2013 (to LRS) and by a Churchill Fellowship (to HJW). Document delivery services were provided by librarians from Central Queensland University.</t>
  </si>
  <si>
    <t>JUL 13</t>
  </si>
  <si>
    <t>10.11646/zootaxa.3985.3.2</t>
  </si>
  <si>
    <t>CN0YG</t>
  </si>
  <si>
    <t>WOS:000358140700002</t>
  </si>
  <si>
    <t>Turner, J; Hosking, JS; Bracegirdle, TJ; Marshall, GJ; Phillips, T</t>
  </si>
  <si>
    <t>Turner, John; Hosking, J. Scott; Bracegirdle, Thomas J.; Marshall, Gareth J.; Phillips, Tony</t>
  </si>
  <si>
    <t>Recent changes in Antarctic Sea Ice</t>
  </si>
  <si>
    <t>PHILOSOPHICAL TRANSACTIONS OF THE ROYAL SOCIETY A-MATHEMATICAL PHYSICAL AND ENGINEERING SCIENCES</t>
  </si>
  <si>
    <t>sea ice; climate change; Southern Ocean; cryosphere</t>
  </si>
  <si>
    <t>SOUTHERN-OCEAN; CLIMATE-CHANGE; VARIABILITY; TRENDS; RECORD; HEMISPHERE; PENINSULA; IMPACTS; EXTENT</t>
  </si>
  <si>
    <t>In contrast to the Arctic, total sea ice extent (SIE) across the Southern Ocean has increased since the late 1970s, with the annual mean increasing at a rate of 186 x 10(3) km(2) per decade (1.5% per decade; p&lt; 0.01) for 1979-2013. However, this overall increase masks larger regional variations, most notably an increase (decrease) over the Ross (Amundsen-Bellingshausen) Sea. Sea ice variability results from changes in atmospheric and oceanic conditions, although the former is thought to be more significant, since there is a high correlation between anomalies in the ice concentration and the near-surface wind field. The Southern Ocean SIE trend is dominated by the increase in the Ross Sea sector, where the SIE is significantly correlated with the depth of the Amundsen Sea Low (ASL), which has deepened since 1979. The depth of the ASL is influenced by a number of external factors, including tropical sea surface temperatures, but the low also has a large locally driven intrinsic variability, suggesting that SIE in these areas is especially variable. Many of the current generation of coupled climate models have difficulty in simulating sea ice. However, output from the better-performing IPCC CMIP5 models suggests that the recent increase in Antarctic SIE may be within the bounds of intrinsic/internal variability.</t>
  </si>
  <si>
    <t>[Turner, John; Hosking, J. Scott; Bracegirdle, Thomas J.; Marshall, Gareth J.; Phillips, Tony] British Antarctic Survey, NERC, Cambridge CB3 0ET, England</t>
  </si>
  <si>
    <t>Turner, J (corresponding author), British Antarctic Survey, NERC, Madingley Rd, Cambridge CB3 0ET, England.</t>
  </si>
  <si>
    <t>j.turner@bas.ac.uk</t>
  </si>
  <si>
    <t>Bracegirdle, Tom/AAD-6060-2020; Hosking, Scott/D-3437-2013</t>
  </si>
  <si>
    <t>Turner, John/0000-0002-6111-5122; Bracegirdle, Thomas/0000-0002-8868-4739; Hosking, Scott/0000-0002-3646-3504</t>
  </si>
  <si>
    <t>NERC [bas0100032, NE/K012150/1] Funding Source: UKRI; Natural Environment Research Council [bas0100032, NE/K012150/1] Funding Source: researchfish</t>
  </si>
  <si>
    <t>1364-503X</t>
  </si>
  <si>
    <t>1471-2962</t>
  </si>
  <si>
    <t>PHILOS T R SOC A</t>
  </si>
  <si>
    <t>Philos. Trans. R. Soc. A-Math. Phys. Eng. Sci.</t>
  </si>
  <si>
    <t>10.1098/rsta.2014.0163</t>
  </si>
  <si>
    <t>CM0BM</t>
  </si>
  <si>
    <t>WOS:000357343200005</t>
  </si>
  <si>
    <t>Navarro, J; Cardador, L; Brown, R; Phillips, RA</t>
  </si>
  <si>
    <t>Navarro, Joan; Cardador, Laura; Brown, Ruth; Phillips, Richard A.</t>
  </si>
  <si>
    <t>Spatial distribution and ecological niches of non-breeding planktivorous petrels</t>
  </si>
  <si>
    <t>STABLE-ISOTOPES; SEGREGATION; GEOLOCATION; STRATEGIES; PREDATORS; KERGUELEN; PATTERNS; SEABIRDS; CROZET; WINTER</t>
  </si>
  <si>
    <t>According to niche theory, mechanisms exist that allow co-existence of organisms that would otherwise compete for the same prey and other resources. How seabirds cope with potential competition during the non-breeding period is poorly documented, particularly for small species. Here we investigate for the first time the potential role of spatial, environmental (habitat) and trophic (isotopic) segregation as niche-partitioning mechanisms during the non-breeding season for four species of highly abundant, zooplanktivorous seabird that breed sympatrically in the Southern Ocean. Spatial segregation was found to be the main partitioning mechanism; even for the two sibling species of diving petrel, which spent the non-breeding period in overlapping areas, there was evidence from distribution and stable isotope ratios for differences in habitat use and diving depth.</t>
  </si>
  <si>
    <t>[Navarro, Joan; Cardador, Laura] CSIC, Estn Biol Donana, Dept Conservat Biol, Seville 41092, Spain; [Brown, Ruth; Phillips, Richard A.] British Antarctic Survey, NERC, Cambridge CB3 0ET, England</t>
  </si>
  <si>
    <t>Consejo Superior de Investigaciones Cientificas (CSIC); CSIC - Estacion Biologica de Donana (EBD); UK Research &amp; Innovation (UKRI); Natural Environment Research Council (NERC); NERC British Antarctic Survey</t>
  </si>
  <si>
    <t>Navarro, J (corresponding author), CSIC, Estn Biol Donana, Dept Conservat Biol, Seville 41092, Spain.</t>
  </si>
  <si>
    <t>joan@ebd.csic.es</t>
  </si>
  <si>
    <t>Navarro, Joan/C-2119-2009; Cardador, Laura/K-4412-2014</t>
  </si>
  <si>
    <t>Navarro, Joan/0000-0002-5756-9543; Cardador, Laura/0000-0003-2548-8578</t>
  </si>
  <si>
    <t>CGS award from the Natural Environment Research Council (NERC); projects Estacion Biologica de Donana-Severo Ochoa [SEV-2012-0262]; ESFRI-LifeWatch; NERC; Natural Environment Research Council [bas0100035, NE/I023503/1] Funding Source: researchfish; NERC [bas0100035, NE/I023503/1] Funding Source: UKRI</t>
  </si>
  <si>
    <t>CGS award from the Natural Environment Research Council (NERC)(UK Research &amp; Innovation (UKRI)Natural Environment Research Council (NERC)); projects Estacion Biologica de Donana-Severo Ochoa; ESFRI-LifeWatch; NERC(UK Research &amp; Innovation (UKRI)Natural Environment Research Council (NERC)); Natural Environment Research Council(UK Research &amp; Innovation (UKRI)Natural Environment Research Council (NERC)); NERC(UK Research &amp; Innovation (UKRI)Natural Environment Research Council (NERC))</t>
  </si>
  <si>
    <t>Thanks to Jaume Forcada for assistance in the field, Ricardo Alvarez and Susana Carrasco for help with the isotopic analysis, and Isabel Afan (LAST-EBD) for her advice on map design. Fieldwork was supported by a CGS award from the Natural Environment Research Council (NERC). J.N. and L.C. were supported by the projects Estacion Biologica de Donana-Severo Ochoa (SEV-2012-0262) and ESFRI-LifeWatch. This study represents a contribution to the Ecosystems component of the British Antarctic Survey Polar Science for Planet Earth Programme, also funded by NERC.</t>
  </si>
  <si>
    <t>10.1038/srep12164</t>
  </si>
  <si>
    <t>CM7DD</t>
  </si>
  <si>
    <t>WOS:000357849700001</t>
  </si>
  <si>
    <t>Hao, QZ; Wang, L; Oldfield, F; Guo, ZT</t>
  </si>
  <si>
    <t>Hao, Qingzhen; Wang, Luo; Oldfield, Frank; Guo, Zhengtang</t>
  </si>
  <si>
    <t>Extra-long interglacial in Northern Hemisphere during MISs 15-13 arising from limited extent of Arctic ice sheets in glacial MIS 14</t>
  </si>
  <si>
    <t>SOUTHERN-OCEAN; CLIMATE VARIABILITY; CHINESE LOESS; QUATERNARY GLACIATIONS; MONSOON VARIATIONS; ANTARCTIC CLIMATE; HUMAN-EVOLUTION; PLEISTOCENE; INSOLATION; ORIGIN</t>
  </si>
  <si>
    <t>Knowledge of the behavior of Northern Hemisphere (NH) ice sheets over the past million years is crucial for understanding the role of orbitally driven insolation changes on glacial/interglacial cycles. Here, based on the demonstrable link between changes in Chinese loess grain-size and NH ice-sheet extent, we use loess grain-size records to confirm that northern ice-sheets were restricted during marine oxygen isotope stage (MIS) 14. Thus, an unusually long NH interglacial climate of over 100 kyr persisted during MISs 15-13, much longer than expected from marine oxygen isotope records. Taking a global view of the paleoclimate records, MIS 14 inception seems to be a response to changes in Antarctic ice-sheets rather than to NH cooling. Orbital configuration in the two Polar regions shows that the onset of MIS 14 was forced by austral insolation changes, rather than by boreal summer insolation, as Milankovitch theory proposes. Our analysis of MIS 14 raises the possibility that southern insolation forcing may have played an important role in the inception of several other glacials. We suggest that the extra-long NH interglacial climate during MISs 15-13 provided favorable conditions for the second major dispersal episode of African hominins into Eurasia.</t>
  </si>
  <si>
    <t>[Hao, Qingzhen; Wang, Luo; Guo, Zhengtang] Chinese Acad Sci, Key Lab Cenozo Geol &amp; Environm, Inst Geol &amp; Geophys, Beijing 100029, Peoples R China; [Oldfield, Frank] Univ Liverpool, Sch Environm Sci, Liverpool L69 7ZT, Merseyside, England</t>
  </si>
  <si>
    <t>Chinese Academy of Sciences; Institute of Geology &amp; Geophysics, CAS; University of Liverpool</t>
  </si>
  <si>
    <t>Hao, QZ (corresponding author), Chinese Acad Sci, Key Lab Cenozo Geol &amp; Environm, Inst Geol &amp; Geophys, POB 9825, Beijing 100029, Peoples R China.</t>
  </si>
  <si>
    <t>haoqz@mail.iggcas.ac.cn; wangluo@mail.iggcas.ac.cn</t>
  </si>
  <si>
    <t>Guo, Zhengtang/B-6854-2008; Hao, Qingzhen/KCK-8974-2024; Wang, Luo/A-1430-2009</t>
  </si>
  <si>
    <t>Guo, Zhengtang/0000-0003-2259-9715; Hao, Qingzhen/0000-0002-6281-5817; Wang, Luo/0000-0003-2217-8478</t>
  </si>
  <si>
    <t>National Natural Science Foundation of China [41172323]; Ministry of Land and Resources [201211077]; Ministry of Science and Technology [2014FY110300]; Chinese Academy of Sciences</t>
  </si>
  <si>
    <t>National Natural Science Foundation of China(National Natural Science Foundation of China (NSFC)); Ministry of Land and Resources; Ministry of Science and Technology(Spanish Government); Chinese Academy of Sciences(Chinese Academy of Sciences)</t>
  </si>
  <si>
    <t>We thank Yang Song and Shuzhen Peng for field and laboratory assistance. This work was supported by the National Natural Science Foundation of China (41172323), Ministry of Land and Resources (201211077), Ministry of Science and Technology (2014FY110300), and the Chinese Academy of Sciences.</t>
  </si>
  <si>
    <t>JUL 10</t>
  </si>
  <si>
    <t>10.1038/srep12103</t>
  </si>
  <si>
    <t>CM5JP</t>
  </si>
  <si>
    <t>WOS:000357724400002</t>
  </si>
  <si>
    <t>Singh, AD; Rai, AK; Verma, K; Das, S; Bharti, SK</t>
  </si>
  <si>
    <t>Singh, A. D.; Rai, A. K.; Verma, K.; Das, S.; Bharti, S. K.</t>
  </si>
  <si>
    <t>Benthic foraminiferal diversity response to the climate induced changes in the eastern Arabian Sea oxygen minimum zone during the last 30 ka BP</t>
  </si>
  <si>
    <t>Quaternary; Benthic foraminifera; Diversity; OMZ; Arabian Sea; Environment</t>
  </si>
  <si>
    <t>SURFACE OCEAN PRODUCTIVITY; SPECIES-DIVERSITY; CONTINENTAL-MARGIN; SEDIMENT GEOCHEMISTRY; VERTICAL-DISTRIBUTION; DISSOLVED-OXYGEN; ORGANIC-MATTER; INDIAN-OCEAN; NE ATLANTIC; PAKISTAN</t>
  </si>
  <si>
    <t>A high resolution record of deep sea benthic foraminiferal diversity variations in the eastern Arabian Sea for the last 30 ka BP was obtained from two sediment cores (SK17 and MD131) retrieved from the present day Oxygen Minimum Zone (OMZ) in the Indian margin off Goa. The benthic foraminiferal diversity is represented in terms of Sander's rarefaction number (S-100), Shannon Wiener Index [H(S)], Equitability (E') and Alpha Index (alpha). Records of diversity indices exhibit millennial scale changes during the late glacial and deglacial periods, corresponding to the Northern Hemisphere climatic events. We compared the faunal diversity with proxy records of primary productivity (C-org %) and bottom water oxygen (low-O-2 taxa %). We suggest that benthic foraminiferal diversity in the eastern Arabian Sea OMZ is largely controlled by the primary productivity induced organic carbon flux and strength of bottom water oxygenation. The less diverse fauna along with increased percentages of C-org and low-O-2 taxa during the last glacial maximum (18-22.5 ka BP) suggest eutrophic and oxygen-poor benthic environment, attributed mainly to a strong OMZ associated with intense winter monsoon wind induced productivity and a weak deep ocean circulation. The intervals of distinct increase in diversity closely correspond with North Atlantic cold Heinrich events, when eastern Arabian Sea experienced significant declines in monsoon driven productivity and better deep sea ventilation due to enhanced inflow of Antarctic Intermediate Water (AAIW). (C) 2014 Elsevier Ltd and INQUA. All rights reserved.</t>
  </si>
  <si>
    <t>[Singh, A. D.; Verma, K.; Das, S.; Bharti, S. K.] Banaras Hindu Univ, Ctr Adv Study Geol, Varanasi 221005, Uttar Pradesh, India; [Rai, A. K.] Univ Allahabad, Earth &amp; Planetary Sci, Allahabad 211002, Uttar Pradesh, India; [Das, S.] Geol Survey India, Marine &amp; Coastal Survey Div, Mangalore 575001, India; [Bharti, S. K.] Geol Survey India, Paleontol Div 1, CHQ, Kolkata 700016, India</t>
  </si>
  <si>
    <t>Banaras Hindu University (BHU); University of Allahabad; Geological Survey India; Geological Survey India</t>
  </si>
  <si>
    <t>Indian Space Research Organisation (ISRO-GBP project); Department of Science and Technology, Government of India, New Delhi [SR/S4/ES-30/2002]</t>
  </si>
  <si>
    <t>Indian Space Research Organisation (ISRO-GBP project); Department of Science and Technology, Government of India, New Delhi(Department of Science &amp; Technology (India))</t>
  </si>
  <si>
    <t>This research was supported by the Indian Space Research Organisation (ISRO-GBP project sanctioned in 2008) and the Department of Science and Technology (Project No. SR/S4/ES-30/2002), Government of India, New Delhi. We thank the anonymous reviewers for the constructive comments.</t>
  </si>
  <si>
    <t>10.1016/j.quaint.2014.11.052</t>
  </si>
  <si>
    <t>CK7YH</t>
  </si>
  <si>
    <t>WOS:000356452500011</t>
  </si>
  <si>
    <t>Gwak, Y; Park, JI; Kim, M; Kim, HS; Kwon, MJ; Oh, SJ; Kim, YP; Jin, E</t>
  </si>
  <si>
    <t>Gwak, Yunho; Park, Ji-in; Kim, Minjae; Kim, Hong Suk; Kwon, Myong Jong; Oh, Seung Jin; Kim, Young-Pil; Jin, EonSeon</t>
  </si>
  <si>
    <t>Creating Anti-icing Surfaces via the Direct Immobilization of Antifreeze Proteins on Aluminum</t>
  </si>
  <si>
    <t>ZIRCONIUM-OXIDE; TREHALOSE; MECHANISM; BINDING; ICE; NANOPARTICLES; PRESERVATION; INHIBITION; SELECTION; PEPTIDES</t>
  </si>
  <si>
    <t>Cryoprotectants such as antifreeze proteins (AFPs) and sugar molecules may provide a solution for icing problems. These anti-icing substances protect cells and tissues from freezing by inhibiting ice formation. In this study, we developed a method for coating an industrial metal material (aluminum, Al) with AFP from the Antarctic marine diatom, Chaetoceros neogracile (Cn-AFP), to prevent or delay ice formation. To coat Al with Cn-AFP, we used an Al-binding peptide (ABP) as a conjugator and fused it with Cn-AFP. The ABP bound well to the Al and did not considerably change the functional properties of AFP. Cn-AFP-coated Al (Cn-AFP-Al) showed a sufficiently low supercooling point. Additional trehalose coating of Cn-AFP-Al considerably delayed AFP denaturation on the Al without affecting its antifreeze activity. This metal surface-coating method using trehalose-fortified AFP can be applied to other metals important in the aircraft and cold storage fields where anti-icing materials are critical.</t>
  </si>
  <si>
    <t>[Gwak, Yunho; Park, Ji-in; Kim, Minjae; Kim, Young-Pil; Jin, EonSeon] Hanyang Univ, Res Inst Nat Sci, Dept Life Sci, Seoul 133791, South Korea; [Kim, Hong Suk; Kwon, Myong Jong; Oh, Seung Jin] Samsung Elect Co Ltd, DMC R&amp;D Ctr, Suwon 443742, Gyeonggi Do, South Korea; [Kim, Young-Pil] Hanyang Univ, Inst Nano Sci &amp; Technol, Res Inst Convergence Basic Sci, Seoul 133791, South Korea</t>
  </si>
  <si>
    <t>Hanyang University; Samsung; Samsung Electronics; Hanyang University</t>
  </si>
  <si>
    <t>Jin, E (corresponding author), Hanyang Univ, Res Inst Nat Sci, Dept Life Sci, Seoul 133791, South Korea.</t>
  </si>
  <si>
    <t>ypilkim@hanyang.ac.kr; esjin@hanyang.ac.kr</t>
  </si>
  <si>
    <t>Kim, Young-Pil/A-5437-2009; Kim, Minjae/JEF-6368-2023; Jin, EonSeon/AAW-6839-2020</t>
  </si>
  <si>
    <t>Kim, Young-Pil/0000-0001-7234-1320; Kim, Minjae/0000-0002-2356-1295; Jin, EonSeon/0000-0001-5691-0124</t>
  </si>
  <si>
    <t>Korea CCS RD Center (KCRC) [NRF-2014M1A8A1049273]; Mid-career Researcher Program through the National Research Foundation (NRF) - Ministry of Science, ICT, and Future Planning (MSIP) [2013R1A2A2A03015161]; Basic Science Research Program through the NRF - Ministry of Education [2012R1A6A1029029]; Marine Biotechnology Program - Ministry of Oceans and Fisheries, Korea</t>
  </si>
  <si>
    <t>Korea CCS RD Center (KCRC); Mid-career Researcher Program through the National Research Foundation (NRF) - Ministry of Science, ICT, and Future Planning (MSIP); Basic Science Research Program through the NRF - Ministry of Education(National Research Foundation of Korea); Marine Biotechnology Program - Ministry of Oceans and Fisheries, Korea</t>
  </si>
  <si>
    <t>This work was supported by the Korea CCS R&amp;D Center (KCRC) (NRF-2014M1A8A1049273) and Mid-career Researcher Program (No. 2013R1A2A2A03015161) through the National Research Foundation (NRF) funded by the Ministry of Science, ICT, and Future Planning (MSIP). This work was also supported by and Basic Science Research Program (No. 2012R1A6A1029029) through the NRF funded by the Ministry of Education. This work was also supported by a grant from Marine Biotechnology Program Funded by the Ministry of Oceans and Fisheries, Korea.</t>
  </si>
  <si>
    <t>JUL 8</t>
  </si>
  <si>
    <t>10.1038/srep12019</t>
  </si>
  <si>
    <t>CM3RO</t>
  </si>
  <si>
    <t>WOS:000357601300002</t>
  </si>
  <si>
    <t>Hoskins, JL; Janion-Scheepers, C; Chown, SL; Duffy, GA</t>
  </si>
  <si>
    <t>Hoskins, Jessica L.; Janion-Scheepers, Charlene; Chown, Steven L.; Duffy, Grant A.</t>
  </si>
  <si>
    <t>Growth and reproduction of laboratory-reared neanurid Collembola using a novel slime mould diet</t>
  </si>
  <si>
    <t>DROSOPHILA-MELANOGASTER; ANTARCTIC SPRINGTAIL; STRESS RESISTANCE; ARCTIC COLLEMBOLA; FEEDING GUILDS; REACTION NORMS; TEMPERATURE; ADAPTATION; BIODIVERSITY; EVOLUTION</t>
  </si>
  <si>
    <t>Although significant progress has been made using insect taxa as model organisms, non-tracheated terrestrial arthropods, such as Collembola, are underrepresented as model species. This underrepresentation reflects the difficulty in maintaining populations of specialist Collembola species in the laboratory. Until now, no species from the family Neanuridae have been successfully reared. Here we use controlled growth experiments to provide explicit evidence that the species Neanura muscorum can be raised under laboratory conditions when its diet is supplemented with slime mould. Significant gains in growth were observed in Collembola given slime mould rather than a standard diet of algae-covered bark. These benefits are further highlighted by the reproductive success of the experimental group and persistence of laboratory breeding stocks of this species and others in the family. The necessity for slime mould in the diet is attributed to the 'suctorial' mouthpart morphology characteristic of the Neanuridae. Maintaining laboratory populations of neanurid Collembola species will facilitate their use as model organisms, paving the way for studies that will broaden the current understanding of the environmental physiology of arthropods.</t>
  </si>
  <si>
    <t>[Hoskins, Jessica L.; Janion-Scheepers, Charlene; Chown, Steven L.; Duffy, Grant A.] Monash Univ, Sch Biol Sci, Clayton, Vic 3800, Australia</t>
  </si>
  <si>
    <t>Duffy, GA (corresponding author), Monash Univ, Sch Biol Sci, Clayton, Vic 3800, Australia.</t>
  </si>
  <si>
    <t>grant.duffy@monash.edu</t>
  </si>
  <si>
    <t>Chown, Steven/ABD-7646-2021; Chown, Steven/H-3347-2011</t>
  </si>
  <si>
    <t>Chown, Steven/0000-0001-6069-5105; Janion-Scheepers, Charlene/0000-0001-5942-7912; Duffy, Grant/0000-0002-9031-8164</t>
  </si>
  <si>
    <t>Australian Research Council [DP140102815]</t>
  </si>
  <si>
    <t>Australian Research Council(Australian Research Council)</t>
  </si>
  <si>
    <t>This work was funded by Australian Research Council grant DP140102815. We thank Carla Sgro and Penny Greenslade for valuable discussion of this work, Robert Bryson-Richardson for microscopy assistance, and all members of the ChownLab for laboratory support and helpful comments on the manuscript.</t>
  </si>
  <si>
    <t>10.1038/srep11957</t>
  </si>
  <si>
    <t>CM3RA</t>
  </si>
  <si>
    <t>WOS:000357599800001</t>
  </si>
  <si>
    <t>Strobel, A; Burkhardt-Holm, P; Schmid, P; Segner, H</t>
  </si>
  <si>
    <t>Strobel, Anneli; Burkhardt-Holm, Patricia; Schmid, Peter; Segner, Helmut</t>
  </si>
  <si>
    <t>Benzo(a)pyrene Metabolism and EROD and GST Biotransformation Activity in the Liver of Red- and White-Blooded Antarctic Fish</t>
  </si>
  <si>
    <t>ENVIRONMENTAL SCIENCE &amp; TECHNOLOGY</t>
  </si>
  <si>
    <t>SOUTH SHETLAND ISLANDS; CYTOCHROME-C-OXIDASE; IN-VITRO METABOLISM; TREMATOMUS-BERNACCHII; THERMAL TOLERANCE; BETA-NAPHTHOFLAVONE; NOTOTHENIOID FISHES; OXIDATIVE STRESS; TRACE-METALS; TEMPERATURE</t>
  </si>
  <si>
    <t>Climate change and anthropogenic pollution are of increasing concern in remote areas such as Antarctica. The evolutionary adaptation of Antarctic notothenioid fish to the cold and stable Southern Ocean led to a low plasticity of their physiological functions, what may limit their capacity to deal with altered temperature regimes and pollution in the Antarctic environment. Using a biochemical approach, we aimed to asSess the hepatic biotransformation capacities of Antarctic fish species by determining (i) the activities of ethoxyresorufin-O-deethylase (EROD) and glutathione-S-transferase (GST), and (ii) the metabolic clearance of benzo(alpha)pyrene by hepatic S9 supernatants. In addition, we determined the thermal sensitivity of the xenobiotic biotransformation enzymes. We investigated the xenobiotic metabolism of the red-blooded Gobionotothen gibberifrons and Notothenia rossii, the hemoglobin-less Chaenocephalus aceratus and Champsocephalus gunnari, and the rainbow trout Oncorhynchus mykiss as a reference. Our results revealed similar metabolic enzyme activities and metabolic clearance rates between red- and white-blooded Antarctic fish, but significantly lower rates in comparison to rainbow trout. Therefore, bioaccumulation factors for metabolizable lipophilic contaminants may be higher in Antarctic than in temperate fish. Likewise, the thermal adaptive capacities and flexibilities of the EROD and GST activities in Antarctic fish were significantly lower than in rainbow trout. As a consequence, increasing water temperatures in the Southern Ocean will additionally compromise the already low detoxification capacities of Antarctic fish.</t>
  </si>
  <si>
    <t>[Strobel, Anneli; Burkhardt-Holm, Patricia] Univ Basel, Dept Environm Sci, Programme Man Society Environm MGU, CH-4051 Basel, Switzerland; [Schmid, Peter] Swiss Fed Labs Mat Sci &amp; Technol, Empa, CH-8600 Dubendorf, Switzerland; [Segner, Helmut] Univ Bern, Vetsuisse Fac, Ctr Fish &amp; Wildlife Hlth, CH-3012 Bern, Switzerland; [Burkhardt-Holm, Patricia] Univ Alberta, Dept Biol Sci, Edmonton, AB T6G 2R3, Canada</t>
  </si>
  <si>
    <t>University of Basel; Swiss Federal Institutes of Technology Domain; Swiss Federal Laboratories for Materials Science &amp; Technology (EMPA); University of Bern; University of Alberta</t>
  </si>
  <si>
    <t>Strobel, A (corresponding author), Univ Basel, Dept Environm Sci, Programme Man Society Environm MGU, Vesalgasse 1, CH-4051 Basel, Switzerland.</t>
  </si>
  <si>
    <t>anneli.strobel@unibas.ch</t>
  </si>
  <si>
    <t>Strobel, Anneli/S-5853-2016; Liu, Yifan/S-6217-2017</t>
  </si>
  <si>
    <t>Swiss National Science Foundation [SNSF 31003A_149964/1]</t>
  </si>
  <si>
    <t>Swiss National Science Foundation(Swiss National Science Foundation (SNSF))</t>
  </si>
  <si>
    <t>We thank Dr. Lisa Baumann, Dr. Anja Moller, and Christian Kropf, FIWI, for their valuable help. We are also grateful to Prof. Meike Mevissen and Jana Zielinski, DCR-VPH, for their support during the HPLC measurements. This work was funded by the Swiss National Science Foundation (SNSF 31003A_149964/1).</t>
  </si>
  <si>
    <t>0013-936X</t>
  </si>
  <si>
    <t>1520-5851</t>
  </si>
  <si>
    <t>ENVIRON SCI TECHNOL</t>
  </si>
  <si>
    <t>Environ. Sci. Technol.</t>
  </si>
  <si>
    <t>JUL 7</t>
  </si>
  <si>
    <t>10.1021/acs.est.5b00176</t>
  </si>
  <si>
    <t>Engineering, Environmental; Environmental Sciences</t>
  </si>
  <si>
    <t>Engineering; Environmental Sciences &amp; Ecology</t>
  </si>
  <si>
    <t>CM6ZN</t>
  </si>
  <si>
    <t>WOS:000357840300064</t>
  </si>
  <si>
    <t>Zheng, W; Xie, ZQ; Bergquist, BA</t>
  </si>
  <si>
    <t>Zheng, Wang; Xie, Zhouqing; Bergquist, Bridget A.</t>
  </si>
  <si>
    <t>Mercury Stable Isotopes in Ornithogenic Deposits As Tracers of Historical Cycling of Mercury in Ross Sea, Antarctica</t>
  </si>
  <si>
    <t>MASS-INDEPENDENT FRACTIONATION; METHYL MERCURY; CHEMICAL FORM; ATMOSPHERIC MERCURY; PENGUIN EGGSHELL; TROPHIC TRANSFER; LATE-HOLOCENE; EDIBLE FISH; FOOD-WEB; ICE-AGE</t>
  </si>
  <si>
    <t>Production of methylmercury (MeHg) in ocean waters and its bioaccumulation in marine organisms are critical processes controlling the fate and toxicity of mercury (Hg). However, these processes are not well understood in the Antarctic, where high levels of MeHg are observed in the subsurface ocean (100-1000 m). We explored the use of Hg stable isotope compositions in historical and modern biological deposits as a new approach for discerning Hg sources and tracing MeHg cycling in the ocean and bioaccumulation in marine biota. We found similar mass independent isotope fractionation (MIF) of Hg between a sediment profile containing historical penguin and seal feces deposits from coastal Antarctica and modern penguin and seal feces, suggesting that penguin and seal feces were the dominant sources of Hg to the sediments at different time periods. Furthermore, sediments dominated by seal feces displayed a significantly lower MIF slope (Delta Hg-199/Delta Hg-201) than those dominated by penguin feces despite similar extents of MIF. Since seals forage at greater depths (&gt;400 m) than penguins (&lt;100 m), the high MIF values and lower Delta Hg-199/Delta Hg-201 in seal feces suggest that a significant fraction of MeHg accumulated by seals was produced in situ in the subsurface ocean from residual inorganic Hg(II) that sank from the euphotic zone after partial photoreduction. Our results suggest that in situ Hg methylation can be an important source of MeHg for marine biota, and Hg isotope compositions in biological archives can be valuable tracers of MeHg cycling.</t>
  </si>
  <si>
    <t>[Zheng, Wang; Bergquist, Bridget A.] Univ Toronto, Dept Earth Sci, Toronto, ON M5S 3B1, Canada; [Xie, Zhouqing] Univ Sci &amp; Technol China, Inst Polar Environm, Sch Earth &amp; Space Sci, Hefei 230026, Anhui, Peoples R China</t>
  </si>
  <si>
    <t>University of Toronto; Chinese Academy of Sciences; University of Science &amp; Technology of China, CAS</t>
  </si>
  <si>
    <t>Xie, ZQ (corresponding author), Univ Sci &amp; Technol China, Inst Polar Environm, Sch Earth &amp; Space Sci, Hefei 230026, Anhui, Peoples R China.</t>
  </si>
  <si>
    <t>zqxie@ustc.edu.cn; bergquist@es.utoronto.ca</t>
  </si>
  <si>
    <t>xie, zhouqing/P-9661-2019</t>
  </si>
  <si>
    <t>Multidisciplinary Applied Geochemistry Network (MAGNET) postdoctoral fellowship; NSERC-Discovery; CIFAR; National Natural Science Foundation of China [41025020]</t>
  </si>
  <si>
    <t>Multidisciplinary Applied Geochemistry Network (MAGNET) postdoctoral fellowship; NSERC-Discovery(Natural Sciences and Engineering Research Council of Canada (NSERC)); CIFAR(Canadian Institute for Advanced Research (CIFAR)); National Natural Science Foundation of China(National Natural Science Foundation of China (NSFC))</t>
  </si>
  <si>
    <t>W.Z. was supported by Multidisciplinary Applied Geochemistry Network (MAGNET) postdoctoral fellowship, NSERC-Discovery and CIFAR. Z.X. was supported by grants from the National Natural Science Foundation of China (41025020). We thank L. Sun, X. Liu, Y. Luo, and S. D. Emslie for field sampling. We thank the Editor and anonymous reviewers for their valuable comments.</t>
  </si>
  <si>
    <t>10.1021/acs.est.5b00523</t>
  </si>
  <si>
    <t>WOS:000357840300017</t>
  </si>
  <si>
    <t>Wang, Z; Xie, ZY; Mi, WY; Möller, A; Wolschke, H; Ebinghaus, R</t>
  </si>
  <si>
    <t>Wang, Zhen; Xie, Zhiyong; Mi, Wenying; Moeller, Axel; Wolschke, Hendrik; Ebinghaus, Ralf</t>
  </si>
  <si>
    <t>Neutral Poly/Per-Fluoroalkyl Substances in Air from the Atlantic to the Southern Ocean and in Antarctic Snow</t>
  </si>
  <si>
    <t>POLYFLUORINATED COMPOUNDS; PERFLUOROALKYL SUBSTANCES; ATMOSPHERIC CHEMISTRY; NORTH PACIFIC; OXIDATION; EXCHANGE; KINETICS; ACIDS; PAHS</t>
  </si>
  <si>
    <t>The oceanic scale occurrences of typical neutral poly/per-fluoroallcyl substances (PFASs) in the atmosphere across the Atlantic, as well as their air-snow exchange at the Antarctic Peninsula, were investigated. Total concentrations of the 12 PFASs (Sigma PFASs) in gas phase ranged from 2.8 to 68.8 pg m(3) (mean: 23.5 pg m(-3)), and the levels in snow were from 125 to 303 pg L-1 (mean: 209 pg L-1) Fluorotelomer alcohols (FTOHs) were dominant in both air and snow. The differences of specific compounds to Sigma PFASs were not significant between aft and snow. Sigma PFASs were higher above the northern Atlantic compared to the southern Atlantic, and the levels above the southern Atlantic &lt;30 degrees S was the lowest. High atmospheric PFAS levels around the Antarctic Peninsula were the results of a combination of air mass, weak elimination processes and air-snow exchange of PFASs. Higher ratios of 8:2 to 10:2 to 6:2 FTOH were observed in the southern hemisphere, especially around the Antarctic Peninsula, suggesting that PFASs in the region were mainly from the long-range atmospheric transport. No obvious decrease of PFASs was observed in the background marine atmosphere after 2005.</t>
  </si>
  <si>
    <t>[Wang, Zhen; Xie, Zhiyong; Mi, Wenying; Moeller, Axel; Wolschke, Hendrik; Ebinghaus, Ralf] Helmholtz Zentrum Geesthacht, Ctr Mat &amp; Coastal Res, Inst Coastal Res, Dept Environm Chem, D-21502 Geesthacht, Germany; [Wang, Zhen] Natl Marine Environm Monitoring Ctr, Dalian 116023, Peoples R China</t>
  </si>
  <si>
    <t>Helmholtz Association; Helmholtz-Zentrum Hereon; National Marine Environmental Monitoring Center</t>
  </si>
  <si>
    <t>Xie, ZY (corresponding author), Helmholtz Zentrum Geesthacht, Ctr Mat &amp; Coastal Res, Inst Coastal Res, Dept Environm Chem, D-21502 Geesthacht, Germany.</t>
  </si>
  <si>
    <t>zhiyong.xie@hzg.de</t>
  </si>
  <si>
    <t>10.1021/acs.est.5b00920</t>
  </si>
  <si>
    <t>WOS:000357840300034</t>
  </si>
  <si>
    <t>Lee, WY; Kokubun, N; Jung, JW; Chung, H; Kim, JH</t>
  </si>
  <si>
    <t>Lee, Won Young; Kokubun, Nobuo; Jung, Jin-Woo; Chung, Hosung; Kim, Jeong-Hoon</t>
  </si>
  <si>
    <t>Diel diving behavior of breeding gentoo penguins on King George Island in Antarctica</t>
  </si>
  <si>
    <t>bio-logging; foraging behavior; Pygoscelis papua; diving behavior; gentoo penguin</t>
  </si>
  <si>
    <t>PYGOSCELIS-PAPUA; CHINSTRAP PENGUINS; SOUTH GEORGIA; APTENODYTES PATAGONICUS; FORAGING STRATEGIES; VERTICAL MIGRATION; SIGNY ISLAND; DIVE DEPTH; BIRDS; KRILL</t>
  </si>
  <si>
    <t>Many marine birds dive to catch prey in water. The gentoo penguin (Pygoscelis papua), a specialized diving seabird that preys on krill and fish, is distributed from the sub-Antarctic islands to Antarctic regions. Here, we observed the diving behavior of breeding gentoo penguins on King George Island, South Shetland Islands, Antarctica. Using a time-depth recorder, we collected diving depths every second from seven gentoo breeders for 5-21 days during the chick-rearing period and analyzed their diving characteristics. Most dives occurred in shallow water, although the dive efficiency (=bottom duration time/[dive duration + post-dive surface time]) was highest at depths of 30-35 m and decreased as the penguins dove deeper. Gentoo penguins did not dive more frequently during the day than at night, but during nighttime, most dives occurred in shallow water (&lt;20 m) and the dive efficiency was also higher at this time. As penguins repeated their foraging trips, the number of dives, depth of dives, and trip duration did not change significantly. Our results suggest that the diel dive patterns of gentoo penguins might be related to the vertical migration of krill (upward to the surface at night). In addition, we observed that gentoo penguins could perform active diving behavior even at night, possibly aided by civil twilight during the chick-rearing period in Antarctic regions.</t>
  </si>
  <si>
    <t>[Lee, Won Young; Jung, Jin-Woo; Chung, Hosung; Kim, Jeong-Hoon] Korea Polar Res Inst, Div Polar Life Sci, Inchon 406840, South Korea; [Kokubun, Nobuo] Natl Inst Polar Res, Tokyo, Japan; [Jung, Jin-Woo] Kongju Natl Univ, Dept Biol Sci, Gongju, South Korea</t>
  </si>
  <si>
    <t>Korea Polar Research Institute (KOPRI); Korea Institute of Ocean Science &amp; Technology (KIOST); Research Organization of Information &amp; Systems (ROIS); National Institute of Polar Research (NIPR) - Japan; Kongju National University</t>
  </si>
  <si>
    <t>Kim, JH (corresponding author), Korea Polar Res Inst, Div Polar Life Sci, Inchon 406840, South Korea.</t>
  </si>
  <si>
    <t>jhkim94@kopri.re.kr</t>
  </si>
  <si>
    <t>Long-Term Ecological Researches on King George Island - Korea Polar Research Institute [PE14020]; Basic Science Research Program through National Research Foundation of Korea (NRF) - Ministry of Education, Science and Technology [NRF-2014 R1A6A3A01008495]; NIPR</t>
  </si>
  <si>
    <t>Long-Term Ecological Researches on King George Island - Korea Polar Research Institute; Basic Science Research Program through National Research Foundation of Korea (NRF) - Ministry of Education, Science and Technology; NIPR(National Institute of Polar Research (NIPR) - Japan)</t>
  </si>
  <si>
    <t>This research was supported by the Long-Term Ecological Researches on King George Island to Predict Ecosystem Responses to Climate Change (PE14020) funded by Korea Polar Research Institute. Also, this work was partly supported by Basic Science Research Program through the National Research Foundation of Korea (NRF) funded by the Ministry of Education, Science and Technology (NRF-2014 R1A6A3A01008495). This was also partly supported by NIPR visiting scientist program for polar sciences from Asian countries in 2014.</t>
  </si>
  <si>
    <t>JUL 4</t>
  </si>
  <si>
    <t>10.1080/19768354.2015.1074107</t>
  </si>
  <si>
    <t>CP9OO</t>
  </si>
  <si>
    <t>WOS:000360224200007</t>
  </si>
  <si>
    <t>Cerda, IA; Tambussi, CP; Degrange, FJ</t>
  </si>
  <si>
    <t>Cerda, Ignacio A.; Tambussi, Claudia P.; Degrange, Federico J.</t>
  </si>
  <si>
    <t>Unexpected microanatomical variation among Eocene Antarctic stem penguins (Aves: Sphenisciformes)</t>
  </si>
  <si>
    <t>HISTORICAL BIOLOGY</t>
  </si>
  <si>
    <t>microanatomy; Aves; skeletal adaptations; histology; Sphenisciformes</t>
  </si>
  <si>
    <t>BONE MICROSTRUCTURE; WEST ANTARCTICA; SEYMOUR ISLAND; PENINSULA; DIVERSITY; HISTOLOGY; EVOLUTION; AMNIOTES; LIFE</t>
  </si>
  <si>
    <t>The microanatomical and histological structure of Eocene Antarctic stem penguin tarsometatarsi is examined in order to characterise the bone microstructure. Eight adult tarsometatarsi belonging to eight fossil species (Palaeeudyptes gunnari, Palaeeudyptes klekowskii, Anthropornis grandis, Anthropornis nordenskjoeldi, Archaeospheniscus wimani, Marambiornis exilis, Delphinornis arctowskii and Delphinornis larseni) collected from the Antarctic A. nordenskjoeldi Biozone (La Meseta Formation, similar to 34.2Ma) were examined. The thin sections revealed a distinctive microanatomical variation among taxa. Whereas Anthropornis spp., A. wimani and P. gunnari possess massive, clearly osteosclerotic bones (medullary cavities absent or strongly reduced), the bones of Delphinornis spp., P. klekowski and M. exilis exhibit well-developed medullary cavities. The cortical bone in all the specimens consists of primary, well-vascularised fibro-lamellar bone and variable amounts of secondary bone. Medullary cavities are coated by a thick layer of lamellar bone tissue and coarse compacted cancellous bone. Although several causes can explain the striking microanatomical variation (e.g. ontogeny), we interpret that such variation is related to differential adaptations to the aquatic life, for which taxa with more massive bones were possibly adapted to deeper and more prolonged diving excursions.</t>
  </si>
  <si>
    <t>[Cerda, Ignacio A.] Univ Nacl Rio Negro, Inst Invest Paleobiol &amp; Geol, Museo Carlos Ameghino, RA-8300 Cipolletti, Rio Negro, Argentina; [Cerda, Ignacio A.; Tambussi, Claudia P.; Degrange, Federico J.] Consejo Nacl Invest Cient &amp; Tecn, RA-1033 Buenos Aires, DF, Argentina; [Tambussi, Claudia P.; Degrange, Federico J.] CONICET UNC, Ctr Invest Ciencias Tierra CICTERRA, Cordoba, Argentina</t>
  </si>
  <si>
    <t>Consejo Nacional de Investigaciones Cientificas y Tecnicas (CONICET); Consejo Nacional de Investigaciones Cientificas y Tecnicas (CONICET); National University of Cordoba</t>
  </si>
  <si>
    <t>Cerda, IA (corresponding author), Univ Nacl Rio Negro, Inst Invest Paleobiol &amp; Geol, Museo Carlos Ameghino, Belgrano 1700,Paraje Pichi Ruca Predio Marabunta, RA-8300 Cipolletti, Rio Negro, Argentina.</t>
  </si>
  <si>
    <t>nachocerda6@yahoo.com.ar</t>
  </si>
  <si>
    <t>Instituto Antartico Argentino [ANCYPT PICT 2007-0365, PICTO 2012-0093]; Consejo Nacional de Investigaciones Cientificas y Tecnicas (CONICET)</t>
  </si>
  <si>
    <t>Instituto Antartico Argentino; Consejo Nacional de Investigaciones Cientificas y Tecnicas (CONICET)(Consejo Nacional de Investigaciones Cientificas y Tecnicas (CONICET))</t>
  </si>
  <si>
    <t>Part of this study was funded by Instituto Antartico Argentino [grant number ANCYPT PICT 2007-0365], [grant number PICTO 2012-0093] and Consejo Nacional de Investigaciones Cientificas y Tecnicas (CONICET).</t>
  </si>
  <si>
    <t>0891-2963</t>
  </si>
  <si>
    <t>1029-2381</t>
  </si>
  <si>
    <t>HIST BIOL</t>
  </si>
  <si>
    <t>Hist. Biol.</t>
  </si>
  <si>
    <t>10.1080/08912963.2014.896907</t>
  </si>
  <si>
    <t>Biology; Paleontology</t>
  </si>
  <si>
    <t>Life Sciences &amp; Biomedicine - Other Topics; Paleontology</t>
  </si>
  <si>
    <t>CC1OD</t>
  </si>
  <si>
    <t>WOS:000350109700006</t>
  </si>
  <si>
    <t>Otero, RA; O'Gorman, JP; Hiller, N</t>
  </si>
  <si>
    <t>Otero, R. A.; O'Gorman, J. P.; Hiller, N.</t>
  </si>
  <si>
    <t>Reassessment of the upper Maastrichtian material from Chile referred to Mauisaurus Hector, 1874 (Plesiosauroidea: Elasmosauridae) and the taxonomical value of the hemispherical propodial head among austral elasmosaurids</t>
  </si>
  <si>
    <t>NEW ZEALAND JOURNAL OF GEOLOGY AND GEOPHYSICS</t>
  </si>
  <si>
    <t>Aristonectinae; Late Cretaceous; palaeobiogeography; Plesiosauria; Weddellian Province</t>
  </si>
  <si>
    <t>STRATIGRAPHY; ISLAND</t>
  </si>
  <si>
    <t>The femoral hemispherical articular head was regarded as autapomorphic of Mauisaurus haasti Hector, 1874 from the upper Campanian of New Zealand. Review of three Maastrichtian taxa, Aristonectes quiriquinensis from Chile, Aristonectes sp. from Antarctica and Kaiwhekea katiki from New Zealand, reveals that the femoral hemispherical head is a common character among aristonectines. This feature can therefore be discarded as an autapomorphy of Mauisaurus haasti. Propodials of A. quiriquinensis are shown to be the same as those in two coeval Chilean specimens previously referred to Mauisaurus sp.; in consequence, these are now referred to A. quiriquinensis. Additionally, specimens referred to A. quiriquinensis allow confirmation that during ontogeny the humerus and the femur change from a flat capitulum in juveniles to hemispherical heads of both the humeri and femora in the adult stage. The evidence shows that the presence of Mauisaurus along the southeastern Pacific margin cannot be verified to date.</t>
  </si>
  <si>
    <t>[Otero, R. A.] Univ Chile, Fac Ciencias, Dept Biol, Lab Ontogenia &amp; Filogenia, Santiago, Chile; [O'Gorman, J. P.] Univ Nacl La Plata, Museo La Plata, Div Paleontol Vertebrados, La Plata, Buenos Aires, Argentina; [O'Gorman, J. P.] Consejo Nacl Invest Cient &amp; Tecn, RA-1033 Buenos Aires, DF, Argentina; [Hiller, N.] Univ Canterbury, Dept Geol Sci, Christchurch 1, New Zealand; [Hiller, N.] Canterbury Museum, Christchurch, New Zealand</t>
  </si>
  <si>
    <t>Universidad de Chile; National University of La Plata; Museo La Plata; Consejo Nacional de Investigaciones Cientificas y Tecnicas (CONICET); University of Canterbury</t>
  </si>
  <si>
    <t>Otero, RA (corresponding author), Univ Chile, Fac Ciencias, Dept Biol, Lab Ontogenia &amp; Filogenia, Santiago, Chile.</t>
  </si>
  <si>
    <t>otero2112@gmail.com</t>
  </si>
  <si>
    <t>Otero, Rodrigo/0000-0002-3046-2973</t>
  </si>
  <si>
    <t>Antarctic Ring Project (Anillos de Ciencia Antartica ACT-105, Conicyt-Chile); Domeyko II grant Red Paleontologica U-Chile of the University of Chile [UR-C12/1]; [PICT 2008-0261]; [PICT 2012-0748]; [PICTO 2010-0093]; [PIP 433]; [UNLP N 677]; [UNLP N607]</t>
  </si>
  <si>
    <t>Antarctic Ring Project (Anillos de Ciencia Antartica ACT-105, Conicyt-Chile)(Comision Nacional de Investigacion Cientifica y Tecnologica (CONICYT)CONICYT PIA/ANILLOS); Domeyko II grant Red Paleontologica U-Chile of the University of Chile; ; ; ; ; ;</t>
  </si>
  <si>
    <t>RAO was supported by the Antarctic Ring Project (Anillos de Ciencia Antartica ACT-105, Conicyt-Chile) and by the Domeyko II UR-C12/1 grant Red Paleontologica U-Chile of the University of Chile. Dr RE Fordyce (University of Otago, New Zealand), Dr P Scofield and Dr C Vink (Canterbury Museum, Christchurch, New Zealand) are especially acknowledged for granting access to the New Zealand specimens reviewed here. JPO'G was supported by projects PICT 2008-0261, PICT 2012-0748, PICTO 2010-0093, PIP 433, UNLP N 677 and UNLP N607. Some materials (MLP 89-III-3-1) were collected with the logistic support from the Instituto Antartico Argentino (Buenos Aires), as well as from the Fuerza Aerea Argentina. JD Stillwell (Monash University, Australia) and a second anonymous reviewer are acknowledged for the review of the manuscript and comments that helped to improve it.</t>
  </si>
  <si>
    <t>0028-8306</t>
  </si>
  <si>
    <t>1175-8791</t>
  </si>
  <si>
    <t>NEW ZEAL J GEOL GEOP</t>
  </si>
  <si>
    <t>N. Z. J. Geol. Geophys.</t>
  </si>
  <si>
    <t>JUL 3</t>
  </si>
  <si>
    <t>10.1080/00288306.2015.1037775</t>
  </si>
  <si>
    <t>Geology; Geosciences, Multidisciplinary</t>
  </si>
  <si>
    <t>CU1ZW</t>
  </si>
  <si>
    <t>WOS:000363322000004</t>
  </si>
  <si>
    <t>Greenslade, P</t>
  </si>
  <si>
    <t>Greenslade, P.</t>
  </si>
  <si>
    <t>Synonymy of two monobasic Anurophorinae genera (Collembola: Isotomidae) from the Antarctic Continent</t>
  </si>
  <si>
    <t>NEW ZEALAND ENTOMOLOGIST</t>
  </si>
  <si>
    <t>Gressittacantha; Neocryptopygus; Cryptopygus; table of species; generic diversity; habitats</t>
  </si>
  <si>
    <t>SPRINGTAILS; ISLANDS</t>
  </si>
  <si>
    <t>Two monotypic endemic genera, Gressittacantha and Neocryptopygus, from Continental Antarctica, and erected on a single character respectively, are here synonymised with Cryptopygus, a genus with two already described species on the Antarctic Continent. A table of diagnostic characters for the now four Cryptopygus species from the Antarctic Continent is provided and comments made on habitats and Antarctic collembolan diversity. A possible new species of Cryptopygus from the Antarctic Continent is foreshadowed.</t>
  </si>
  <si>
    <t>[Greenslade, P.] Federat Univ, Fac Sci &amp; Technol, Sch Appl &amp; Biomed Sci, Ballarat, Vic 3353, Australia; [Greenslade, P.] Australian Natl Univ, Dept Biol, Canberra, ACT 0200, Australia; [Greenslade, P.] S Australian Museum, Adelaide, SA 5000, Australia</t>
  </si>
  <si>
    <t>Federation University Australia; Australian National University</t>
  </si>
  <si>
    <t>Greenslade, P (corresponding author), Federat Univ, Fac Sci &amp; Technol, Sch Appl &amp; Biomed Sci, Ballarat, Vic 3353, Australia.</t>
  </si>
  <si>
    <t>pgreenslade@federation.edu.au</t>
  </si>
  <si>
    <t>0077-9962</t>
  </si>
  <si>
    <t>1179-3430</t>
  </si>
  <si>
    <t>NZ ENTOMOL</t>
  </si>
  <si>
    <t>N. Z. Entomol.</t>
  </si>
  <si>
    <t>10.1080/00779962.2015.1033810</t>
  </si>
  <si>
    <t>CP3HC</t>
  </si>
  <si>
    <t>WOS:000359767800005</t>
  </si>
  <si>
    <t>Dessi-Fulgheri, F</t>
  </si>
  <si>
    <t>Dessi-Fulgheri, Francesco</t>
  </si>
  <si>
    <t>Antarctic ecosystems: An extreme environment in a changing world</t>
  </si>
  <si>
    <t>ETHOLOGY ECOLOGY &amp; EVOLUTION</t>
  </si>
  <si>
    <t>francesco.dessi@unifi.it</t>
  </si>
  <si>
    <t>0394-9370</t>
  </si>
  <si>
    <t>1828-7131</t>
  </si>
  <si>
    <t>ETHOL ECOL EVOL</t>
  </si>
  <si>
    <t>Ethol. Ecol. Evol.</t>
  </si>
  <si>
    <t>10.1080/03949370.2015.1046717</t>
  </si>
  <si>
    <t>CJ3TD</t>
  </si>
  <si>
    <t>WOS:000355406000007</t>
  </si>
  <si>
    <t>Banerjee, R; Chakraborti, P; Bhowmick, R; Mukhopadhyay, S</t>
  </si>
  <si>
    <t>Banerjee, Rachana; Chakraborti, Pratim; Bhowmick, Rupa; Mukhopadhyay, Subhasish</t>
  </si>
  <si>
    <t>Distinct molecular features facilitating ice-binding mechanisms in hyperactive antifreeze proteins closely related to an Antarctic sea ice bacterium</t>
  </si>
  <si>
    <t>JOURNAL OF BIOMOLECULAR STRUCTURE &amp; DYNAMICS</t>
  </si>
  <si>
    <t>antifreeze proteins; ice-recrystallization inhibition; horizontal gene transfer; molecular docking; phylogenetic analysis</t>
  </si>
  <si>
    <t>HORIZONTAL GENE-TRANSFER; FREEZING RESISTANCE; STRUCTURE PREDICTION; DOCKING; IDENTIFICATION; SEQUENCE; DYNAMICS; DIATOMS; SURFACE; SERVER</t>
  </si>
  <si>
    <t>Antifreeze proteins or ice-binding proteins (IBPs) facilitate the survival of certain cellular organisms in freezing environment by inhibiting the growth of ice crystals in solution. Present study identifies orthologs of the IBP of Colwellia sp. SLW05, which were obtained from a wide range of taxa. Phylogenetic analysis on the basis of conserved regions (predicted as the 'ice-binding domain' [IBD]) present in all the orthologs, separates the bacterial and archaeal orthologs from that of the eukaryotes'. Correspondence analysis pointed out that the bacterial and archaeal IBDs have relatively higher average hydrophobicity than the eukaryotic members. IBDs belonging to bacterial as well as archaeal AFPs contain comparatively more strands, and therefore are revealed to be under higher evolutionary selection pressure. Molecular docking studies prove that the ice crystals form more stable complex with the bacterial as well as archaeal proteins than the eukaryotic orthologs. Analysis of the docked structures have traced out the ice-binding sites (IBSs) in all the orthologs which continue to facilitate ice-binding activity even after getting mutated with respect to the well-studied IBSs of Typhula ishikariensis and notably, all these mutations performing ice-binding using 'anchored clathrate mechanism' have been found to prefer polar and hydrophilic amino acids. Horizontal gene transfer studies point toward a strong selection pressure favoring independent evolution of the IBPs in some polar organisms including prokaryotes as well as eukaryotes because these proteins facilitate the polar organisms to acclimatize to the adversities in their niche, thus safeguarding their existence.</t>
  </si>
  <si>
    <t>[Banerjee, Rachana; Mukhopadhyay, Subhasish] Univ Calcutta, Dept Biophys Mol Biol &amp; Bioinformat, Kolkata 700009, India; [Chakraborti, Pratim] Apt Software Avenues Pvt Ltd, City Ctr, Unit G 301, Sect 1, Kolkata 700064, India; [Bhowmick, Rupa] CSIR Natl Chem Lab, Chem Engn &amp; Proc Dev Div, Pune 411008, Maharashtra, India</t>
  </si>
  <si>
    <t>University of Calcutta; Council of Scientific &amp; Industrial Research (CSIR) - India; CSIR - National Chemical Laboratory (NCL)</t>
  </si>
  <si>
    <t>Banerjee, R (corresponding author), Univ Calcutta, Dept Biophys Mol Biol &amp; Bioinformat, 92 APC Rd, Kolkata 700009, India.</t>
  </si>
  <si>
    <t>rachanabanerjee23@yahoo.co.in</t>
  </si>
  <si>
    <t>Banerjee, Rachana/GLR-4701-2022</t>
  </si>
  <si>
    <t>Banerjee, Rachana/0000-0002-5672-5196; Bhowmick, Rupa/0000-0001-5812-0513</t>
  </si>
  <si>
    <t>0739-1102</t>
  </si>
  <si>
    <t>1538-0254</t>
  </si>
  <si>
    <t>J BIOMOL STRUCT DYN</t>
  </si>
  <si>
    <t>J. Biomol. Struct. Dyn.</t>
  </si>
  <si>
    <t>10.1080/07391102.2014.952665</t>
  </si>
  <si>
    <t>CH0OJ</t>
  </si>
  <si>
    <t>WOS:000353720700004</t>
  </si>
  <si>
    <t>Kapsenberg, L; Kelley, AL; Shaw, EC; Martz, TR; Hofmann, GE</t>
  </si>
  <si>
    <t>Kapsenberg, Lydia; Kelley, Amanda L.; Shaw, Emily C.; Martz, Todd R.; Hofmann, Gretchen E.</t>
  </si>
  <si>
    <t>Near-shore Antarctic pH variability has implications for the design of ocean acidification experiments (vol 5, 9638, 2015)</t>
  </si>
  <si>
    <t>[Kapsenberg, Lydia; Kelley, Amanda L.; Hofmann, Gretchen E.] Univ Calif Santa Barbara, Dept Ecol Evolut &amp; Marine Biol, Santa Barbara, CA 93106 USA; [Shaw, Emily C.] Univ Queensland, Sch Geog Planning &amp; Environm Management, Biophys Remote Sensing Grp, Brisbane, Qld 4072, Australia; [Martz, Todd R.] Univ Calif San Diego, Scripps Inst Oceanog, La Jolla, CA 92093 USA</t>
  </si>
  <si>
    <t>University of California System; University of California Santa Barbara; University of Queensland; University of California System; University of California San Diego; Scripps Institution of Oceanography</t>
  </si>
  <si>
    <t>Kapsenberg, L (corresponding author), Univ Calif Santa Barbara, Dept Ecol Evolut &amp; Marine Biol, Santa Barbara, CA 93106 USA.</t>
  </si>
  <si>
    <t>Martz, Todd R/A-7704-2012</t>
  </si>
  <si>
    <t>JUL 2</t>
  </si>
  <si>
    <t>10.1038/srep10497</t>
  </si>
  <si>
    <t>CL8ZX</t>
  </si>
  <si>
    <t>WOS:000357264700001</t>
  </si>
  <si>
    <t>Müller, MN; Trull, TW; Hallegraeff, GM</t>
  </si>
  <si>
    <t>Mueller, Marius N.; Trull, Thomas W.; Hallegraeff, Gustaaf M.</t>
  </si>
  <si>
    <t>Differing responses of three Southern Ocean Emiliania huxleyi ecotypes to changing seawater carbonate chemistry</t>
  </si>
  <si>
    <t>Southern Ocean; Coccolithophores; Ocean acidification; Emiliania huxleyi</t>
  </si>
  <si>
    <t>COCCOLITHOPHORE; CALCIFICATION; CO2; PRYMNESIOPHYCEAE; ACIDIFICATION; TEMPERATURE; DIFFERENTIATION; PHYTOPLANKTON; MORPHOTYPES; ECOLOGY</t>
  </si>
  <si>
    <t>The invasion of anthropogenic carbon dioxide into the surface ocean is altering seawater carbonate speciation, a process commonly called ocean acidification. The high latitude waters of the Southern Ocean are one of the primary and most severely affected regions. Coccolithophores are an important phytoplankton group, responsible for the majority of pelagic calcium carbonate production in the world's oceans, with a distribution that ranges from tropical to polar waters. Emiliania huxleyi is numerically the most abundant coccolithophore species and appears in several different ecotypes. We tested the effects of ocean acidification on 3 carefully selected E. huxleyi ecotypes isolated from the Southern Ocean. Their responses were measured in terms of growth, photosynthesis, calcification, cellular geometry, and stoichiometry. The 3 ecotypes exhibited differing sensitivities in regards to seawater carbonate chemistry when cultured at the same temperature (14 degrees C) and continuous light (110 mu mol photons m(-2) s(-1)). Under future ocean acidification scenarios, particulate inorganic to organic carbon ratios (PIC:POC) decreased by 38-44, 47-51 and 71-98% in morphotype A 'over-calcified' (A o/c), A and B/C, respectively. All ecotypes reduced their rate of calcification, but the cold-water adapted ecotype (morphotype B/C) was by far the most sensitive, and almost ceased calcification at partial pressure of carbon dioxide (pCO(2)) levels above 1000 mu atm. We recommend that future surveys for E. huxleyi cells in the Southern Ocean should include the capability of recognising 'naked cells' by molecular and microscopic tools. The distinct differences in the physiological responses of these 3 dominant Southern Ocean coccolithophore ecotypes are likely to have consequences for future coccolithophore community structures and thereby the Southern Ocean carbon cycle.</t>
  </si>
  <si>
    <t>[Mueller, Marius N.; Hallegraeff, Gustaaf M.] IMAS, Hobart, Tas 7001, Australia; [Mueller, Marius N.] Univ Sao Paulo, Inst Oceanog, BR-05508120 Sao Paulo, Brazil; [Trull, Thomas W.] Univ Tasmania, Antarctic Climate &amp; Ecosyst Cooperat Res Ctr, Hobart, Tas 7001, Australia; [Trull, Thomas W.] CSIRO, Oceans &amp; Atmosphere Flagship, Hobart, Tas 7001, Australia</t>
  </si>
  <si>
    <t>University of Tasmania; Universidade de Sao Paulo; Antarctic Climate &amp; Ecosystems Cooperative Research Centre (ACE CRC); University of Tasmania; Commonwealth Scientific &amp; Industrial Research Organisation (CSIRO)</t>
  </si>
  <si>
    <t>Müller, MN (corresponding author), IMAS, Private Bag 129, Hobart, Tas 7001, Australia.</t>
  </si>
  <si>
    <t>mnmuller@usp.br</t>
  </si>
  <si>
    <t>/AAL-3738-2021; Trull, Tom W/B-7028-2014; Hallegraeff, Gustaaf/C-8351-2013; Muller, Marius N./N-9338-2014</t>
  </si>
  <si>
    <t>Hallegraeff, Gustaaf/0000-0001-8464-7343; Muller, Marius N./0000-0003-4765-3933</t>
  </si>
  <si>
    <t>Australian Research Council [DP 1093801]; Conselho Nacional de Desenvolvimento Cientifico e Tecnologico Brasil (CNPq) [405585/2013-6]</t>
  </si>
  <si>
    <t>Australian Research Council(Australian Research Council); Conselho Nacional de Desenvolvimento Cientifico e Tecnologico Brasil (CNPq)(Conselho Nacional de Desenvolvimento Cientifico e Tecnologico (CNPQ))</t>
  </si>
  <si>
    <t>We thank P. Boyd for data comments and D. Davis for laboratory assistance. The work was funded by the Australian Research Council (DP 1093801) and the Conselho Nacional de Desenvolvimento Cientifico e Tecnologico Brasil (CNPq, Processo: 405585/2013-6).</t>
  </si>
  <si>
    <t>10.3354/meps11309</t>
  </si>
  <si>
    <t>CN5BR</t>
  </si>
  <si>
    <t>WOS:000358445000006</t>
  </si>
  <si>
    <t>Quezada, OC</t>
  </si>
  <si>
    <t>Canales Quezada, Olivia</t>
  </si>
  <si>
    <t>CHILE AND THE ANTARCTIC ENVIRONMENTAL PROTECTION SYSTEM</t>
  </si>
  <si>
    <t>[Canales Quezada, Olivia] Fdn Valle Hermoso, Calle Roma 116, Caleta Abarca, Vina Del Mar, Chile</t>
  </si>
  <si>
    <t>Quezada, OC (corresponding author), Fdn Valle Hermoso, Calle Roma 116, Caleta Abarca, Vina Del Mar, Chile.</t>
  </si>
  <si>
    <t>olivia.canalesq@gmail.com</t>
  </si>
  <si>
    <t>JUL-SEP</t>
  </si>
  <si>
    <t>DG9ZQ</t>
  </si>
  <si>
    <t>WOS:000372442700002</t>
  </si>
  <si>
    <t>Ghosh, P; Berkey, FT</t>
  </si>
  <si>
    <t>Ghosh, Payel; Berkey, F. T.</t>
  </si>
  <si>
    <t>Autonomous identification and classification of ionospheric sporadic E in digital ionograms</t>
  </si>
  <si>
    <t>EARTH AND SPACE SCIENCE</t>
  </si>
  <si>
    <t>LAYER E-S; RADIO OCCULTATION; DIURNAL-VARIATION; NA LAYER; TIME; MODEL; VARIABILITY; MORPHOLOGY; SOLAR; ARRAY</t>
  </si>
  <si>
    <t>This paper introduces a methodology to autonomously identify and classify ionospheric sporadic E layers (E-s) from digital ionograms acquired using a NOAA dynasonde operated at the Bear Lake Observatory (BLO) in northern Utah. This approach uses a windowed-fuzzy clustering technique to group ionospheric echoes present in digital ionograms, employing the transitive property of equivalence. The algorithm introduces a variance constraint to automatically determine the number and size of the clusters present in the data set. Principal component analysis (PCA) of the cluster shapes is employed for curvature estimation and to enable classification of the data into the four principal types of temperate latitude sporadic E. A visual evaluation of the autonomously classified ionograms suggests that the algorithm accurately identifies similar to 95% of the sporadic E echoes present in the BLO data set. The paper also includes a proof-of-concept analysis of the methodology, deriving Es parameters for summer and winter intervals, that explicitly characterizes the diurnal and seasonal variations present in the E region at 42 degrees N. This analysis was derived from approximately 34,000 digital ionograms acquired over 4 months. While the experimental data show lower peak E region heights than predicted by modeling studies, they are generally consistent with GPS satellite occultation measurements. Our analysis of the temporal variation of f(o)E during summer and winter intervals is inconsistent with previous results that suggest a seasonal E region density anomaly. The results confirm, however, the ionospheric effect of increased NO densities in both the summer and winter E region, as predicted by modeling studies. The identification of sporadic E using the approach outlined in this work markedly facilitates the analysis of E-s parameters, as well as eliminating any human biases from the ionogram analysis process.</t>
  </si>
  <si>
    <t>[Ghosh, Payel] Univ Texas MD Anderson Canc Ctr, Dept Diagnost Radiol, Houston, TX USA; [Berkey, F. T.] Utah State Univ, Space Dynam Lab, Logan, UT 84322 USA; [Berkey, F. T.] White Salmon, Washington, DC USA</t>
  </si>
  <si>
    <t>University of Texas System; UTMD Anderson Cancer Center; Utah System of Higher Education; Utah State University</t>
  </si>
  <si>
    <t>Berkey, FT (corresponding author), Utah State Univ, Space Dynam Lab, Logan, UT 84322 USA.</t>
  </si>
  <si>
    <t>tom.berkey@gmail.com</t>
  </si>
  <si>
    <t>National Science Foundation [ATM 02-18206]</t>
  </si>
  <si>
    <t>National Science Foundation(National Science Foundation (NSF))</t>
  </si>
  <si>
    <t>This work was supported in part by the National Science Foundation under grant ATM 02-18206 to Utah State University. The authors are indebted to G.O.L. Jones formerly of the British Antarctic Survey for providing his IDL code, which served as an important framework for this study. The digital ionospheric data used in this study can be requested from World Data Center A or the Corresponding author (tom.berkey@gmail.com).</t>
  </si>
  <si>
    <t>2333-5084</t>
  </si>
  <si>
    <t>EARTH SPACE SCI</t>
  </si>
  <si>
    <t>Earth Space Sci.</t>
  </si>
  <si>
    <t>JUL</t>
  </si>
  <si>
    <t>10.1002/2014EA000091</t>
  </si>
  <si>
    <t>Astronomy &amp; Astrophysics; Geosciences, Multidisciplinary</t>
  </si>
  <si>
    <t>Astronomy &amp; Astrophysics; Geology</t>
  </si>
  <si>
    <t>DE6NJ</t>
  </si>
  <si>
    <t>WOS:000370750300002</t>
  </si>
  <si>
    <t>Agarwal, N; Jungclaus, JH; Köhl, A; Mechoso, CR; Stammer, D</t>
  </si>
  <si>
    <t>Agarwal, N.; Jungclaus, J. H.; Koehl, A.; Mechoso, C. R.; Stammer, D.</t>
  </si>
  <si>
    <t>Additional contributions to CMIP5 regional sea level projections resulting from Greenland and Antarctic ice mass loss</t>
  </si>
  <si>
    <t>sea level; climate change; ice-sheet melting</t>
  </si>
  <si>
    <t>INTERNAL CLIMATE VARIABILITY; MODELS; RISE</t>
  </si>
  <si>
    <t>The impact of Greenland and Antarctic ice sheet mass loss on regional sea level is evaluated here under RCP 4.5 and RCP 8.5 scenarios for the period 2081-2099. To this end, estimates of associated fresh water sources are added to the Max Planck Institute for Meteorology's Earth System Model ocean component and the dynamical impact is quantified in terms of the difference in sea level relative to previous phase 5 of the Coupled Model Intercomparison Project runs. Overall, the addition of these freshwater sources have only a small impact on regional sea level variations relative to the global mean (&lt;2 cm in magnitude). However, in some regions, notably in the North Atlantic and Arctic Ocean, an additional increase in regional steric sea level by 4-8 cm can be obtained, which is similar to 20% more than the previous climate model response. Climate feedbacks can have additional sea level impacts regionally, e.g., through changes in the wind forcing or surface freshwater fluxes. Overall, the dynamical regional sea level response to the polar ice mass loss is of the same order as the simulated decadal sea level variability.</t>
  </si>
  <si>
    <t>[Agarwal, N.; Jungclaus, J. H.] Max Planck Inst Meteorol, D-20146 Hamburg, Germany; [Koehl, A.; Stammer, D.] Univ Hamburg, CEN, Hamburg, Germany; [Mechoso, C. R.] Univ Calif Los Angeles, Dept Atmospher &amp; Ocean Sci, Los Angeles, CA USA</t>
  </si>
  <si>
    <t>Max Planck Society; University of Hamburg; University of California System; University of California Los Angeles</t>
  </si>
  <si>
    <t>Agarwal, N (corresponding author), ISRO, Ctr Space Applicat, Atmospher &amp; Ocean Sci Grp, Ahmadabad 380053, Gujarat, India.</t>
  </si>
  <si>
    <t>neeraj@sac.isro.gov.in</t>
  </si>
  <si>
    <t>Kohl, Armin/I-9378-2014</t>
  </si>
  <si>
    <t>Kohl, Armin/0000-0002-9777-674X; agarwal, neeraj/0000-0002-8693-1222</t>
  </si>
  <si>
    <t>Max Planck Society (MPG) Fellowship; BMBF (Federal Ministry of Education and Science); EU; CliSAP Excellence Cluster of the University of Hamburg through the Deutsche Forschungsgemeinschaft (DFG); National Science Foundation at UCLA [AGS 1041477]; DFG; Div Atmospheric &amp; Geospace Sciences; Directorate For Geosciences [1041477] Funding Source: National Science Foundation</t>
  </si>
  <si>
    <t>Max Planck Society (MPG) Fellowship; BMBF (Federal Ministry of Education and Science)(Federal Ministry of Education &amp; Research (BMBF)); EU(European Union (EU)); CliSAP Excellence Cluster of the University of Hamburg through the Deutsche Forschungsgemeinschaft (DFG)(German Research Foundation (DFG)); National Science Foundation at UCLA; DFG(German Research Foundation (DFG)); Div Atmospheric &amp; Geospace Sciences; Directorate For Geosciences(National Science Foundation (NSF)NSF - Directorate for Geosciences (GEO))</t>
  </si>
  <si>
    <t>This work was funded in part through a Max Planck Society (MPG) Fellowship awarded to D Stammer, through the BMBF (Federal Ministry of Education and Science) funded Project RACE, through the EU-funded NaCLIM project, and through the CliSAP Excellence Cluster of the University of Hamburg, funded through the Deutsche Forschungsgemeinschaft (DFG). Additional funding was provided by the National Science Foundation grant AGS 1041477 at UCLA. Contribution to the CliSAP Excellence Cluster, also funded through the DFG.</t>
  </si>
  <si>
    <t>10.1088/1748-9326/10/7/074008</t>
  </si>
  <si>
    <t>CY9XH</t>
  </si>
  <si>
    <t>WOS:000366759200011</t>
  </si>
  <si>
    <t>Leggat, PA</t>
  </si>
  <si>
    <t>Leggat, Peter A.</t>
  </si>
  <si>
    <t>Australian Antarctic First Aid Manual, 8th edition</t>
  </si>
  <si>
    <t>JOURNAL OF MILITARY AND VETERANS HEALTH</t>
  </si>
  <si>
    <t>[Leggat, Peter A.] James Cook Univ, Coll Publ Hlth Med &amp; Vet Sci, Townsville, Qld 4811, Australia</t>
  </si>
  <si>
    <t>James Cook University</t>
  </si>
  <si>
    <t>Leggat, PA (corresponding author), James Cook Univ, Coll Publ Hlth Med &amp; Vet Sci, Townsville, Qld 4811, Australia.</t>
  </si>
  <si>
    <t>peter.leggat@jcu.edu.au</t>
  </si>
  <si>
    <t>AUSTRALASIAN MILITARY MEDICINE ASSOC</t>
  </si>
  <si>
    <t>HOBART</t>
  </si>
  <si>
    <t>AMMA SECRETARIAT, 113 HARRINGTON ST, HOBART, TAS 7000, AUSTRALIA</t>
  </si>
  <si>
    <t>1835-1271</t>
  </si>
  <si>
    <t>1839-2733</t>
  </si>
  <si>
    <t>J MIL VETERANS HEALT</t>
  </si>
  <si>
    <t>J. Mil. Veterans Health</t>
  </si>
  <si>
    <t>CX5CT</t>
  </si>
  <si>
    <t>WOS:000365719800010</t>
  </si>
  <si>
    <t>Bell, EJ; Turner, P; Meinke, H; Holbrook, NJ</t>
  </si>
  <si>
    <t>Bell, E. J.; Turner, P.; Meinke, H.; Holbrook, N. J.</t>
  </si>
  <si>
    <t>Developing rural community health risk assessments for climate change: a Tasmanian pilot study</t>
  </si>
  <si>
    <t>RURAL AND REMOTE HEALTH</t>
  </si>
  <si>
    <t>climate risk assessment; health sector adaptation; rural community health; Tasmania</t>
  </si>
  <si>
    <t>PERCEPTIONS</t>
  </si>
  <si>
    <t>Introduction: This article examines the development and pilot implementation of an approach to support local community decision-makers to plan health adaptation responses to climate change. The approach involves health and wellbeing risk assessment supported through the use of an electronic tool. While climate change is a major foreseeable public health threat, the extent to which health services are prepared for, or able to adequately respond to, climate change impact-related risks remains unclear. Building health decision-support mechanisms in order to involve and empower local stakeholders to help create the basis for agreement on these adaptive actions is an important first step. The primary research question was 'What can be learned from pilot implementation of a community health and well-being risk assessment (CHWRA) information technology-based tool designed to support understanding of, and decision-making on, local community challenges and opportunities associated with health risks posed by climate change?' Methods: The article examines the complexity of climate change science to adaptation translational processes, with reference to existing research literature on community development. This is done in the context of addressing human health risks for rural and remote communities in Tasmania, Australia. This process is further examined through the pilot implementation of an electronic tool designed to support the translation of physically based climate change impact information into community-level assessments of health risks and adaptation priorities. The procedural and technical nature of the CHWRA tool is described, and the implications of the data gathered from stakeholder workshops held at three rural Tasmanian local government sites are considered and discussed. Results: Bushfire, depression and waterborne diseases were identified by community stakeholders as being potentially 'catastrophic' health effects 'likely' to 'almost certain' to occur at one or more Tasmanian rural sites-based on an Intergovernmental Panel on Climate Change style of assessment. Consensus statements from stakeholders also suggested concern with regard to managing the ways that climate change can multiply socioeconomic and health outcome inequality. Above all, stakeholder responses emphasised the importance of an applied, complexity-oriented understanding of how climate and climate change impacts affect local communities and local services to compromise the overall quality of human health in these communities. Conclusions: Complex community-level assessments about climate change and related health risks and responses can be captured electronically in ways that offer potentially actionable information about priorities for health sector adaptation, as a first step in planning. What is valuable about these community judgements is the creation of shared values and commitments. Future iteration of the IT tool could include decision-support modules to support best practice health sector adaptation scenarios, providing participants with opportunities to develop their know-how about health sector adaptation to climate change. If managed carefully, such tools could work within a balanced portfolio of measures to help reduce the rising health burden from climate change.</t>
  </si>
  <si>
    <t>[Bell, E. J.; Turner, P.; Meinke, H.; Holbrook, N. J.] Univ Tasmania, Hobart, Tas, Australia</t>
  </si>
  <si>
    <t>Bell, EJ (corresponding author), Univ Tasmania, Hobart, Tas, Australia.</t>
  </si>
  <si>
    <t>Turner, Paul/ABE-2261-2021; Meinke, Holger/C-7215-2013; Meinke, Holger/GRS-6385-2022; Holbrook, Neil/M-7544-2013</t>
  </si>
  <si>
    <t>Turner, Paul/0000-0003-4504-2338; Meinke, Holger/0000-0003-2657-3264; Holbrook, Neil/0000-0002-3523-6254</t>
  </si>
  <si>
    <t>Australian Centre for Excellence in Local Government; Local Government Association of Tasmania; Southern Tasmanian Councils Authority</t>
  </si>
  <si>
    <t>The content of this article was submitted as part of a consultant's report to the funder and has been presented at a wide range of national and international conferences. Prior to the project being conducted, the intentions of this study were described in a paper published in the 2011 conference proceedings of the Australian Centre for Excellence in Local Government Researchers Forum. This project has also had the support of key national and Tasmanian stakeholders: the Australian Centre for Excellence in Local Government, the Local Government Association of Tasmania and the Southern Tasmanian Councils Authority, as well as the three local government authorities who participated in the pilot. The authors thank the local community organisations that provided participants. Special thanks are also owed to the University of Tasmania's Antarctic Climate and Ecosystems</t>
  </si>
  <si>
    <t>AUSTRALIAN RURAL HEALTH EDUC NETWORK</t>
  </si>
  <si>
    <t>DEAKIN WEST</t>
  </si>
  <si>
    <t>PO BOX 242, DEAKIN WEST, ACT 2600, AUSTRALIA</t>
  </si>
  <si>
    <t>1445-6354</t>
  </si>
  <si>
    <t>RURAL REMOTE HEALTH</t>
  </si>
  <si>
    <t>Rural Remote Health</t>
  </si>
  <si>
    <t>Public, Environmental &amp; Occupational Health</t>
  </si>
  <si>
    <t>CX3LZ</t>
  </si>
  <si>
    <t>WOS:000365601800015</t>
  </si>
  <si>
    <t>Guo, J; Mu, SY; Liu, YF; Zhang, YY; Zhang, S</t>
  </si>
  <si>
    <t>Guo, Jing; Mu, Siyang; Liu, Yuanfa; Zhang, Yuyan; Zhang, Sen</t>
  </si>
  <si>
    <t>Thermal Properties of Electrospun Polyacrylonitrile-Graft-Antarctic Krill Protein</t>
  </si>
  <si>
    <t>AATCC JOURNAL OF RESEARCH</t>
  </si>
  <si>
    <t>DSC; Electrospinning; FTIR; Grafting; Krill; PAN; Polyacrylonitrile; Protein; SEM; TGA; XRD</t>
  </si>
  <si>
    <t>Antarctic krill proteins (AKP) were grafted onto polyacrylonitrile (PAN) to improve its hygroscopicity. AKP, extracted from Antarctic krill, was activated by maleic anhydride and then reacted with PAN in water to prepare PAN-graft-AKP (PAN-g-AKP). PAN-g-AKP was dissolved in N, N-dimethylformamide and the hydrophilic PAN-g-AKP nanofiber was prepared by electrospinning. Fourier transform infrared (FTIR) spectroscopic results showed that the protein was grafted to PAN. Scanning electron microscopy (SEM) images showed that PAN-g-AKP nanofibers had good morphology with a smooth surface. X-ray diffraction (XRD) curves showed that the crystallinity of PAN-g-AKP nanofibers decreased with increased AKP content. Thermogravimetric analysis (TGA) and differential scanning calorimetry (DSC) analyses were also performed. The hygroscopicity of PAN-g-AKP fibers improved over PAN-based fibers based on water retention rate.</t>
  </si>
  <si>
    <t>[Guo, Jing; Mu, Siyang; Liu, Yuanfa; Zhang, Yuyan; Zhang, Sen] Dalian Polytech Univ, Dalian 116034, Liaoning, Peoples R China</t>
  </si>
  <si>
    <t>Dalian Polytechnic University</t>
  </si>
  <si>
    <t>Guo, J (corresponding author), Dalian Polytech Univ, Sch Text &amp; Mat Engn, 1 Qing Gong Yuan, Dalian 116034, Liaoning, Peoples R China.</t>
  </si>
  <si>
    <t>guojing8161@163.com</t>
  </si>
  <si>
    <t>zhang, sen/GXH-3513-2022; Zhang, Sen/HKW-2973-2023; Liao, Hongmei/ABT-7677-2022</t>
  </si>
  <si>
    <t>Zhang, Sen/0000-0001-7429-7300;</t>
  </si>
  <si>
    <t>National Natural Science Foundation of China [51373027]; Education Department of General Item [LR2012017]</t>
  </si>
  <si>
    <t>National Natural Science Foundation of China(National Natural Science Foundation of China (NSFC)); Education Department of General Item</t>
  </si>
  <si>
    <t>This project was funded by the National Natural Science Foundation of China (No: 51373027) and the Education Department of General Item (No: LR2012017).</t>
  </si>
  <si>
    <t>AMER ASSOC TEXTILE CHEMISTS COLORISTS-AATCC</t>
  </si>
  <si>
    <t>RES TRIANGLE PK</t>
  </si>
  <si>
    <t>1 DAVID DR, PO BOX 12215, RES TRIANGLE PK, NC 27709 USA</t>
  </si>
  <si>
    <t>2330-5517</t>
  </si>
  <si>
    <t>AATCC J RES</t>
  </si>
  <si>
    <t>AATCC J. Res.</t>
  </si>
  <si>
    <t>JUL-AUG</t>
  </si>
  <si>
    <t>10.14504/ajr.2.4.3</t>
  </si>
  <si>
    <t>Materials Science, Textiles</t>
  </si>
  <si>
    <t>Materials Science</t>
  </si>
  <si>
    <t>CU6EA</t>
  </si>
  <si>
    <t>WOS:000363623200003</t>
  </si>
  <si>
    <t>Presta, ML; Hoffmeyer, MS; Capitanio, FL</t>
  </si>
  <si>
    <t>Laura Presta, Maria; Susana Hoffmeyer, Monica; Lia Capitanio, Fabiana</t>
  </si>
  <si>
    <t>Population structure and maturity stages of Fritillaria borealis (Appendicularia, Tunicata): seasonal cycle in Ushuaia Bay (Beagle Channel)</t>
  </si>
  <si>
    <t>BRAZILIAN JOURNAL OF OCEANOGRAPHY</t>
  </si>
  <si>
    <t>Appendicularians; Maturity stages; Beagle Channel</t>
  </si>
  <si>
    <t>CALANOID COPEPODS; OIKOPLEURA-DIOICA</t>
  </si>
  <si>
    <t>Fritillaria borealis is a cosmopolitan species, very frequent in sub-antarctic and antarctic waters. The objective of this paper was to analyze its size structure and maturity stages at two sites in Ushuaia Bay: a coastal site exposed to anthropogenic pressure (E1) and a reference site (E2) located in the external zone of the bay. Zooplankton was collected during the 2012 seasonal cycle. The sampling method involved the use of a 67 mu m-mesh net. Appendicularians were classified in four maturity stages: I) undifferentiated gonads, II) testis and ovary differentiated, III) expanded testis, IV) discharged testis, expanded ovary. Our results showed that the highest densities of F. borealis occurred in spring and summer at both sites; coinciding with high values of chlorophyll-a. The percentage of juveniles (I and II) exhibited a spatial and temporal pattern similar to that observed for chlorophyll-a values. During spring-summer, juveniles and mature specimens (III and IV) showed a greater gonadal development than those individuals found in autumn-winter. In conclusion, the mismatching in the population structure and the pattern of densities of F. borealis between coastal and external zones would suggest the existence of two sub-populations susceptible to the influence of the anthropogenic impact in the bay.</t>
  </si>
  <si>
    <t>[Laura Presta, Maria; Lia Capitanio, Fabiana] Univ Buenos Aires, Inst Biodiversidad &amp; Biol Expt Aplicada, Consejo Nacl Invest Cient &amp; Tecn, IBBEA,CONICET, RA-1053 Buenos Aires, DF, Argentina; [Susana Hoffmeyer, Monica] Univ Nacl Sur, Consejo Nacl Invest Cient &amp; Tecn, Inst Argentino Oceanog, IADO,CONICET, RA-8000 Bahia Blanca, Buenos Aires, Argentina</t>
  </si>
  <si>
    <t>Consejo Nacional de Investigaciones Cientificas y Tecnicas (CONICET); University of Buenos Aires; National University of the South; Consejo Nacional de Investigaciones Cientificas y Tecnicas (CONICET)</t>
  </si>
  <si>
    <t>Presta, ML (corresponding author), Univ Buenos Aires, Inst Biodiversidad &amp; Biol Expt Aplicada, Consejo Nacl Invest Cient &amp; Tecn, IBBEA,CONICET, Intendente Guiraldes 2160,Ciudad Univ,C1428EG, RA-1053 Buenos Aires, DF, Argentina.</t>
  </si>
  <si>
    <t>mlpresta@hotmail.com</t>
  </si>
  <si>
    <t>UBACYT [20020100200048]; CONICET [PIP 11220110100351]; Consejo Nacional de Investigaciones Cientificas y Tecnicas, Argentina</t>
  </si>
  <si>
    <t>UBACYT; CONICET(Consejo Nacional de Investigaciones Cientificas y Tecnicas (CONICET)); Consejo Nacional de Investigaciones Cientificas y Tecnicas, Argentina(Consejo Nacional de Investigaciones Cientificas y Tecnicas (CONICET))</t>
  </si>
  <si>
    <t>We wish to thank the Centro Austral de Investigaciones Cientificas (Ushuaia city, Tierra del Fuego, Argentina) and very especially Dra. Luciana Riccialdelli and Lic. Paola Villatarco for their collaboration with the zooplankton samplings and Captain Marcelo Perez for his shipboard assistance. This study was partially supported by UBACYT 20020100200048 and CONICET PIP 11220110100351 grants to F. Capitanio. M. L. Presta was funded by a doctoral fellowship (Consejo Nacional de Investigaciones Cientificas y Tecnicas, Argentina).</t>
  </si>
  <si>
    <t>INST OCEANOGRAFICO, UNIV SAO PAULO</t>
  </si>
  <si>
    <t>SAO PAULO</t>
  </si>
  <si>
    <t>PRACA DO OCEANOGRAFICO, 191, CIDADE UNIVERSITARIA, SAO PAULO, SP 00000, BRAZIL</t>
  </si>
  <si>
    <t>1679-8759</t>
  </si>
  <si>
    <t>1982-436X</t>
  </si>
  <si>
    <t>BRAZ J OCEANOGR</t>
  </si>
  <si>
    <t>Braz. J. Oceanogr.</t>
  </si>
  <si>
    <t>10.1590/S1679-87592015087206303</t>
  </si>
  <si>
    <t>CS8UH</t>
  </si>
  <si>
    <t>WOS:000362363800011</t>
  </si>
  <si>
    <t>Medina, RG; Barcellos, SA; Victoria, FD; de Albuquerqueu, MP; Pereira, AB; Stefenon, VM</t>
  </si>
  <si>
    <t>Medina, Rayssa Garay; Barcellos, Suziane Alves; Victoria, Filipe de Carvalho; de Albuquerqueu, Margeli Pereira; Pereira, Antonio Batista; Stefenon, Valdir Marcos</t>
  </si>
  <si>
    <t>Evidence of morphometric differentiation among Antarctic moss populations as a response to local microenvironment</t>
  </si>
  <si>
    <t>ACTA BOTANICA BRASILICA</t>
  </si>
  <si>
    <t>Andreae gainii; Bryum pseudotriquetrum; Nelson Island; phenotypic plasticity; Polytrichum juniperinum</t>
  </si>
  <si>
    <t>SOUTHERN VICTORIA LAND; PHENOTYPIC PLASTICITY; GENETIC DIVERSITY; BRAZILIAN RESEARCH; DISPERSAL</t>
  </si>
  <si>
    <t>Studies on phenotypic variation among populations growing in different microenvironments may provide information about plasticity related to environmental pressures, and thus help to elucidate the potential evolutionary forces contributing to the origin and maintenance of diversity in any region. In this study we investigate morphometric variation on a small geographic scale for three species of Antarctic mosses. All species revealed significant differentiation among populations for all evaluated traits. The comparison of morphometric measures of populations of Polytrichum juniperinum from Nelson Island and from southern Brazil suggests that the effects of a small geographic scale in Antarctica are the same as a large geographic scale in environments where the climate is more homogeneous and microhabitats have minor influence on vegetation. However, further investigations over a larger area, evaluating more species, and using controlled garden experiments are recommended in order to evaluate the capacity for plasticity of moss species in different climatic conditions and on different geographic scales.</t>
  </si>
  <si>
    <t>[Medina, Rayssa Garay; Barcellos, Suziane Alves; Victoria, Filipe de Carvalho; de Albuquerqueu, Margeli Pereira; Pereira, Antonio Batista; Stefenon, Valdir Marcos] Univ Fed Pampa, BR-97300000 Sao Gabriel, RS, Brazil; [Victoria, Filipe de Carvalho; de Albuquerqueu, Margeli Pereira; Pereira, Antonio Batista; Stefenon, Valdir Marcos] Natl Inst Sci &amp; Technol Antarct Environm Res, BR-97300000 Sao Gabriel, RS, Brazil</t>
  </si>
  <si>
    <t>Universidade Federal do Pampa</t>
  </si>
  <si>
    <t>Stefenon, VM (corresponding author), Univ Fed Pampa, Campus Sao Gabriel,Antonio Trilha 1847, BR-97300000 Sao Gabriel, RS, Brazil.</t>
  </si>
  <si>
    <t>valdirstefenon@unipampa.edu.br</t>
  </si>
  <si>
    <t>Stefenon, Valdir Marcos/C-3497-2013; Pereira, Antonio/AAD-5703-2019; Stefenon, Valdir Marcos/L-7125-2013; Barcellos, Suziane/AAQ-3364-2021; Pereira, Antonio B/I-8201-2014; Victoria, Filipe C/E-1890-2012; Victoria, Filipe/F-6066-2013</t>
  </si>
  <si>
    <t>Stefenon, Valdir Marcos/0000-0003-1091-700X; Barcellos, Suziane/0000-0003-2863-9976; Pereira, Antonio B/0000-0003-0368-4594; Victoria, Filipe/0000-0002-8580-1813</t>
  </si>
  <si>
    <t>Brazilian Antarctic Program, through the National Council for Research and Development (CNPq) [574018/2008, 14664/2009-2]; Research Foundation of the State of Rio de Janeiro (FAPERJ) [E-26/170.023/2008]; Ministry of the Environment (MMA); Ministry of Science and Technology (MCT); Interministerial Commission for Sea Resources (CIRM)</t>
  </si>
  <si>
    <t>Brazilian Antarctic Program, through the National Council for Research and Development (CNPq)(Conselho Nacional de Desenvolvimento Cientifico e Tecnologico (CNPQ)); Research Foundation of the State of Rio de Janeiro (FAPERJ)(Fundacao Carlos Chagas Filho de Amparo a Pesquisa do Estado do Rio De Janeiro (FAPERJ)); Ministry of the Environment (MMA); Ministry of Science and Technology (MCT); Interministerial Commission for Sea Resources (CIRM)</t>
  </si>
  <si>
    <t>This work was supported by the Brazilian Antarctic Program, through the National Council for Research and Development (CNPq; process no. 574018/2008 and 14664/2009-2), the Research Foundation of the State of Rio de Janeiro (FAPERJ; process E-26/170.023/2008), the Ministry of the Environment (MMA), the Ministry of Science and Technology (MCT), the Interministerial Commission for Sea Resources (CIRM). Logistic for the sampling in south Brazil was provided by UNIPAMPA.</t>
  </si>
  <si>
    <t>SOC BOTANICA BRASIL</t>
  </si>
  <si>
    <t>CAIXA POSTAL 3005, SAO PAULO SP, 01061-970, BRAZIL</t>
  </si>
  <si>
    <t>0102-3306</t>
  </si>
  <si>
    <t>1677-941X</t>
  </si>
  <si>
    <t>ACTA BOT BRAS</t>
  </si>
  <si>
    <t>Acta Bot. Bras.</t>
  </si>
  <si>
    <t>10.1590/0102-33062014abb0034</t>
  </si>
  <si>
    <t>CS1YI</t>
  </si>
  <si>
    <t>WOS:000361864400010</t>
  </si>
  <si>
    <t>Bomfleur, B; Mörs, T; Ferraguti, M; Reguero, MA; McLoughlin, S</t>
  </si>
  <si>
    <t>Bomfleur, Benjamin; Mors, Thomas; Ferraguti, Marco; Reguero, Marcelo A.; McLoughlin, Stephen</t>
  </si>
  <si>
    <t>Fossilized spermatozoa preserved in a 50-Myr-old annelid cocoon from Antarctica</t>
  </si>
  <si>
    <t>Annelida; Clitellata; fossilization; spermatozoa; taphonomy; Antarctica</t>
  </si>
  <si>
    <t>18S RDNA; PHYLOGENY; SPERM</t>
  </si>
  <si>
    <t>The origin and evolution of clitellate annelids-earthworms, leeches and their relatives-is poorly understood, partly because body fossils of these delicate organisms are exceedingly rare. The distinctive egg cases (cocoons) of Clitellata, however, are relatively common in the fossil record, although their potential for phylogenetic studies has remained largely unexplored. Here, we report the remarkable discovery of fossilized spermatozoa preserved within the secreted wall layers of a 50-Myr-old clitellate cocoon from Antarctica, representing the oldest fossil animal sperm yet known. Sperm characters are highly informative for the classification of extant Annelida. The Antarctic fossil spermatozoa have several features that point to affinities with the peculiar, leech-like 'crayfish worms' (Branchiobdellida). We anticipate that systematic surveys of cocoon fossils coupled with advances in non-destructive analytical methods may open a new window into the evolution of minute, soft-bodied life forms that are otherwise only rarely observed in the fossil record.</t>
  </si>
  <si>
    <t>[Bomfleur, Benjamin; Mors, Thomas; McLoughlin, Stephen] Swedish Museum Nat Hist, Dept Palaeobiol, S-10405 Stockholm, Sweden; [Ferraguti, Marco] Univ Milan, Dipartimento Biosci, Milan, Italy; [Reguero, Marcelo A.] Museo Plata, Div Paleontol Vertebrados, La Plata, Buenos Aires, Argentina; [Reguero, Marcelo A.] CONICET Consejo Nacl Invest Cient &amp; Tecn, Buenos Aires, DF, Argentina; [Reguero, Marcelo A.] Inst Antartico Argentino, Buenos Aires, DF, Argentina</t>
  </si>
  <si>
    <t>Swedish Museum of Natural History; University of Milan; National University of La Plata; Museo La Plata; Consejo Nacional de Investigaciones Cientificas y Tecnicas (CONICET); Instituto Antartico Argentino</t>
  </si>
  <si>
    <t>Bomfleur, B (corresponding author), Swedish Museum Nat Hist, Dept Palaeobiol, S-10405 Stockholm, Sweden.</t>
  </si>
  <si>
    <t>benjamin.bomfleur@nrm.se</t>
  </si>
  <si>
    <t>Reguero, Marcelo A./JHS-4893-2023</t>
  </si>
  <si>
    <t>Bomfleur, Benjamin/0000-0002-2186-4970</t>
  </si>
  <si>
    <t>Swedish Research Council (VR) [2014-5232, 2009-4447, 2014-5234]; Consejo Nacional de Investigaciones Cientificas y Tecnicas (CONICET) [PIP 0462]; Argentine National Agency for Promotion of Science and Technology (ANPCyT) [PICTO-2010-0093]</t>
  </si>
  <si>
    <t>Swedish Research Council (VR)(Swedish Research Council); Consejo Nacional de Investigaciones Cientificas y Tecnicas (CONICET)(Consejo Nacional de Investigaciones Cientificas y Tecnicas (CONICET)); Argentine National Agency for Promotion of Science and Technology (ANPCyT)(ANPCyT)</t>
  </si>
  <si>
    <t>Financial support by the Swedish Research Council (VR grants 2014-5232 to B.B., 2009-4447 to T.M. and 2014-5234 to S.M.), the Consejo Nacional de Investigaciones Cientificas y Tecnicas (CONICET grant PIP 0462 to M.A.R.), and the Argentine National Agency for Promotion of Science and Technology (ANPCyT grant PICTO-2010-0093 to M.A.R.) is gratefully acknowledged.</t>
  </si>
  <si>
    <t>JUL 1</t>
  </si>
  <si>
    <t>10.1098/rsbl.2015.0431</t>
  </si>
  <si>
    <t>CS2KC</t>
  </si>
  <si>
    <t>WOS:000361898500018</t>
  </si>
  <si>
    <t>Iwata, T; Sakamoto, KQ; Edwards, EWJ; Staniland, IJ; Trathan, PN; Goto, Y; Sato, K; Naito, Y; Takahashi, A</t>
  </si>
  <si>
    <t>Iwata, T.; Sakamoto, K. Q.; Edwards, E. W. J.; Staniland, I. J.; Trathan, P. N.; Goto, Y.; Sato, K.; Naito, Y.; Takahashi, A.</t>
  </si>
  <si>
    <t>The influence of preceding dive cycles on the foraging decisions of Antarctic fur seals</t>
  </si>
  <si>
    <t>decision-making; diving animals; foraging behaviour; Antarctic fur seals</t>
  </si>
  <si>
    <t>PENGUINS</t>
  </si>
  <si>
    <t>The foraging strategy of many animals is thought to be determined by their past experiences. However, few empirical studies have investigated whether this is true in diving animals. We recorded three-dimensional movements and mouth-opening events from three Antarctic fur seals during their foraging trips to examine how they adapt their behaviour based on past experience-continuing to search for prey in the same area or moving to search in a different place. Each dive cycle was divided into a transit phase and a feeding phase. The linear horizontal distance travelled after feeding phases in each dive was affected by the mouth-opening rate during the previous 244 s, which typically covered two to three dive cycles. The linear distance travelled tended to be shorter when the mouth-opening rate in the previous 244 s was higher, i.e. seals tended to stay in the same areas with high prey-encounter rates. These results indicate that Antarctic fur seals follow decision-making strategies based on the past foraging experience over time periods longer than the immediately preceding dive.</t>
  </si>
  <si>
    <t>[Iwata, T.; Goto, Y.; Sato, K.] Univ Tokyo, Atmosphere &amp; Ocean Res Inst, Kashiwa, Chiba 2778564, Japan; [Iwata, T.; Takahashi, A.] Grad Univ Adv Studies, Miura, Kanagawa 2400193, Japan; [Sakamoto, K. Q.] Hokkaido Univ, Grad Sch Vet Med, Sapporo, Hokkaido 0600818, Japan; [Edwards, E. W. J.; Staniland, I. J.; Trathan, P. N.] British Antarctic Survey, NERC, Cambridge CB3 0ET, England; [Naito, Y.; Takahashi, A.] Natl Inst Polar Res, Tachikawa, Tokyo 1900014, Japan</t>
  </si>
  <si>
    <t>University of Tokyo; Graduate University for Advanced Studies - Japan; Hokkaido University; UK Research &amp; Innovation (UKRI); Natural Environment Research Council (NERC); NERC British Antarctic Survey; Research Organization of Information &amp; Systems (ROIS); National Institute of Polar Research (NIPR) - Japan</t>
  </si>
  <si>
    <t>Iwata, T (corresponding author), Univ Tokyo, Atmosphere &amp; Ocean Res Inst, Tokyo, Japan.</t>
  </si>
  <si>
    <t>tiwata@aori.u-tokyo.ac.jp</t>
  </si>
  <si>
    <t>Iwata, Takashi/U-7234-2018; Sakamoto, Kentaro/A-4843-2012; Staniland, Iain/I-4725-2012; Sakamoto, Kentaro/N-7424-2019</t>
  </si>
  <si>
    <t>Iwata, Takashi/0000-0001-5492-9411; Sakamoto, Kentaro/0000-0002-8499-799X; Staniland, Iain/0000-0003-2736-9134; Sakamoto, Kentaro/0000-0002-8499-799X; Goto, Yusuke/0000-0003-2767-1501; Takahashi, Akinori/0000-0002-9868-0408</t>
  </si>
  <si>
    <t>Japanese Antarctic Research programme; programme Bio-logging Science of the University of Tokyo (UTBLS); NERC [bas0100035] Funding Source: UKRI; Natural Environment Research Council [bas0100035] Funding Source: researchfish</t>
  </si>
  <si>
    <t>Japanese Antarctic Research programme; programme Bio-logging Science of the University of Tokyo (UTBLS); NERC(UK Research &amp; Innovation (UKRI)Natural Environment Research Council (NERC)); Natural Environment Research Council(UK Research &amp; Innovation (UKRI)Natural Environment Research Council (NERC))</t>
  </si>
  <si>
    <t>This study was supported by the Japanese Antarctic Research programme and the programme Bio-logging Science of the University of Tokyo (UTBLS).</t>
  </si>
  <si>
    <t>10.1098/rsbl.2015.0227</t>
  </si>
  <si>
    <t>WOS:000361898500003</t>
  </si>
  <si>
    <t>Sterk, HAM; Steeneveld, GJ; Vihma, T; Anderson, PS; Bosveld, FC; Holtslag, AAM</t>
  </si>
  <si>
    <t>Sterk, H. A. M.; Steeneveld, G. J.; Vihma, T.; Anderson, P. S.; Bosveld, F. C.; Holtslag, A. A. M.</t>
  </si>
  <si>
    <t>Clear-sky stable boundary layers with low winds over snow-covered surfaces. Part 1: WRF model evaluation</t>
  </si>
  <si>
    <t>QUARTERLY JOURNAL OF THE ROYAL METEOROLOGICAL SOCIETY</t>
  </si>
  <si>
    <t>stable boundary layer; single-column model; WRF; model evaluation; snow surface; low wind speeds</t>
  </si>
  <si>
    <t>ENERGY-BALANCE CLOSURE; GLOBAL CLIMATE MODEL; LAND-SURFACE; VERTICAL RESOLUTION; ATMOSPHERIC MODELS; DIURNAL CYCLES; HEAT; RADIATION; WEATHER; FLUXES</t>
  </si>
  <si>
    <t>In this article, we evaluate the Weather Research and Forecasting (WRF) mesoscale meteorological model for stable conditions in clear skies with low wind speeds. Three contrasting terrains with snow-covered surfaces are considered, namely Cabauw (Netherlands, snow over grass), Sodankyla (Finland, snow over a needle-leaf forest) and Halley (Antarctica, snow over an ice shelf). We used the full three-dimensional (3D) model and the single-column versions of the WRF model. The single-column model (SCM) was driven by realistic forcings of the WRF-3D field. Several sets of SCM forcings were tested: A, no advection; B, varying geostrophic wind in time; C, momentum advection in addition to B; D, temperature and moisture advection in addition to C; E, forcing the SCM field to the 3D field above a threshold height. The WRF-3D model produced good results overall for wind speed, but the near-surface temperatures and specific humidity were overestimated for Cabauw and Sodankyla and underestimated for Halley. Prescribing advection for momentum, temperature and moisture gave the best results for the WRF-SCM and simulations deviated strongly from reality without advection. Nudging the SCM field to the 3D field above a threshold height led to an unrealistic behaviour of the variables below this height and is not recommended. Detailed prescription of the surface characteristics, e.g. adjusting the snow cover and vegetation fraction, improved the 2 m temperature simulation. For all three sites, the simulated temperature and moisture inversion were underestimated, though this improved when prescribing advection. Overall, in clear-sky conditions, the stable boundary layer over snow and ice can be modelled to a good approximation if all processes are taken into account at high resolution and if land surface properties are carefully prescribed.</t>
  </si>
  <si>
    <t>[Sterk, H. A. M.; Steeneveld, G. J.; Holtslag, A. A. M.] Wageningen Univ, Meteorol &amp; Air Qual Sect, NL-6700 AA Wageningen, Netherlands; [Vihma, T.] Finnish Meteorol Inst, FIN-00101 Helsinki, Finland; [Anderson, P. S.] Scottish Assoc Marine Sci, Oban, Argyll, Scotland; [Bosveld, F. C.] Royal Netherlands Meteorol Inst, NL-3730 AE De Bilt, Netherlands</t>
  </si>
  <si>
    <t>Wageningen University &amp; Research; Finnish Meteorological Institute; UHI Millennium Institute; Royal Netherlands Meteorological Institute</t>
  </si>
  <si>
    <t>Sterk, HAM (corresponding author), Wageningen Univ, Meteorol &amp; Air Qual Sect, POB 47, NL-6700 AA Wageningen, Netherlands.</t>
  </si>
  <si>
    <t>Marina.Sterk@wur.nl</t>
  </si>
  <si>
    <t>Steeneveld, Gert-Jan/B-2816-2010; Vihma, Timo/ABC-9771-2020; Holtslag, Bert/HCH-1861-2022; Holtslag, Albert A.M./B-7842-2010; Bosveld, Fred/AAE-8790-2020</t>
  </si>
  <si>
    <t>Steeneveld, Gert-Jan/0000-0002-5922-8179; Holtslag, Albert A.M./0000-0003-0995-2481;</t>
  </si>
  <si>
    <t>Academy of Finland [259537, 263918]; Dutch Science Foundation (NWO) [829.09.005, 863.10.010]</t>
  </si>
  <si>
    <t>Academy of Finland(Research Council of Finland); Dutch Science Foundation (NWO)(Netherlands Organization for Scientific Research (NWO))</t>
  </si>
  <si>
    <t>The authors are grateful to the Royal Netherlands Meteorological Institute (KNMI), the Finnish Meteorological Institute (FMI) and the British Antarctic Survey (BAS) for the measurement data that was used in this study. We thank ECMWF for the necessary boundary conditions for the WRF-3D runs that were obtained from their data server. We also thank Tiina Nygard for the discussions on the Halley data. We acknowledge support from The Dutch Science Foundation (NWO) with grant 829.09.005 ('Quantifying contributions of surface climate feedbacks to the Arctic amplification of greenhouse warming' in the Sustainable Earth program). The contribution by G. J. Steeneveld has been partly sponsored by the NWO contract 863.10.010 (Lifting the fog) and the work of T. Vihma was supported by the Academy of Finland (contracts 259537 and 263918). Finally, we thank the two anonymous reviewers for their valuable suggestions.</t>
  </si>
  <si>
    <t>0035-9009</t>
  </si>
  <si>
    <t>1477-870X</t>
  </si>
  <si>
    <t>Q J ROY METEOR SOC</t>
  </si>
  <si>
    <t>Q. J. R. Meteorol. Soc.</t>
  </si>
  <si>
    <t>10.1002/qj.2513</t>
  </si>
  <si>
    <t>CR0CQ</t>
  </si>
  <si>
    <t>WOS:000360986200016</t>
  </si>
  <si>
    <t>Huang, Y; Franklin, CN; Siems, ST; Manton, MJ; Chubb, T; Lock, A; Alexander, S; Klekociuk, A</t>
  </si>
  <si>
    <t>Huang, Yi; Franklin, Charmaine N.; Siems, Steven T.; Manton, Michael J.; Chubb, Thomas; Lock, Adrian; Alexander, Simon; Klekociuk, Andrew</t>
  </si>
  <si>
    <t>Evaluation of boundary-layer cloud forecasts over the Southern Ocean in a limited-area numerical weather prediction system usingin situ, space-borne and ground-based observations</t>
  </si>
  <si>
    <t>Southern Ocean; boundary-layer clouds; simulations</t>
  </si>
  <si>
    <t>OFFICE UNIFIED MODEL; PART I; A-TRAIN; ACE 1; STRATOCUMULUS; PRECIPITATION; CONVECTION; SCHEME; SIMULATION; AEROSOL</t>
  </si>
  <si>
    <t>Near-synchronized in situ, space-borne (A-Train) and ground-based lidar observations are employed to evaluate the boundary-layer clouds (BLCs) over Tasmania and the adjacent Southern Ocean (SO) simulated by the limited-area version of Australian Community Climate and Earth System Simulator (ACCESS-C). Two winter cases featuring BLCs associated with a post-frontal environment and the leading side of a high-pressure ridge are studied. Previous studies showed that these synoptic conditions contribute to the largest reflected short-wave radiation biases simulated over the SO. Results of the simulations suggest that the ACCESS-C model demonstrates an appreciable level of skill in simulating the macrophysical properties of the BLCs over the SO, generally consistent with the in situ and remote-sensing observations. However, some notable challenges remain: the area cloud fraction of the marine BLCs is consistently underpredicted; the fine-scale structure of the marine cumuli is poorly represented in the 4 km grid-length simulations; the capping inversion over the marine boundary layer is generally too high, associated with the marine BLCs being predicted at the wrong altitude and temperature ranges; the liquid water content (LWC) of the BLCs is underestimated; and the model representation of drizzle production can be too efficient. Sensitivity studies are also conducted to test a newly developed autoconversion microphysics scheme and shear-dominated planetary boundary-level (PBL) scheme. These parametrizations show notable improvement in cloud prediction for CASE B (i.e. better area cloud fraction and better average and maximum values of LWC). However, none of these tests is able to improve the simulated marine PBL structure. Overall, the simulated cloud biases are jointly influenced by physical parametrizations, poor representations of large-scale advection, surface fluxes and subsidence. More substantial observations are needed to improve our understanding of the origins and development of these biases and the relative contribution of these errors to the radiation budget over the SO.</t>
  </si>
  <si>
    <t>[Huang, Yi; Siems, Steven T.; Manton, Michael J.; Chubb, Thomas] Monash Univ, Sch Earth Atmosphere &amp; Environm, Melbourne, Vic 3800, Australia; [Franklin, Charmaine N.] CSIRO, Oceans &amp; Atmosphere Flagship, Melbourne, Vic, Australia; [Franklin, Charmaine N.] Ctr Australian Weather &amp; Climate Res, Melbourne, Vic, Australia; [Siems, Steven T.] Monash Univ, Ctr Excellence Climate Syst Sci, Australian Res Council, Melbourne, Vic 3800, Australia; [Lock, Adrian] Met Off, Exeter, Devon, England; [Alexander, Simon; Klekociuk, Andrew] Australian Antarctic Div, Hobart, Tas, Australia</t>
  </si>
  <si>
    <t>Melbourne Genomics Health Alliance; Monash University; Commonwealth Scientific &amp; Industrial Research Organisation (CSIRO); Melbourne Genomics Health Alliance; Commonwealth Scientific &amp; Industrial Research Organisation (CSIRO); Melbourne Genomics Health Alliance; Monash University; Met Office - UK; Australian Antarctic Division</t>
  </si>
  <si>
    <t>Huang, Y (corresponding author), Monash Univ, Sch Earth Atmosphere &amp; Environm, Bldg 28,Wellington Rd, Melbourne, Vic 3800, Australia.</t>
  </si>
  <si>
    <t>vivian.huang@monash.edu</t>
  </si>
  <si>
    <t>Franklin, Charmaine/V-3639-2017; Siems, Steven T/C-8339-2013; Klekociuk, Andrew/A-4498-2015</t>
  </si>
  <si>
    <t>Franklin, Charmaine/0000-0003-0237-4033; Siems, Steven T/0000-0002-8478-533X; Huang, Yi/0000-0001-8144-1227; Klekociuk, Andrew/0000-0003-3335-0034; Alexander, Simon/0000-0001-6823-8857</t>
  </si>
  <si>
    <t>Australian Research Council Linkage Project [LP120100115]</t>
  </si>
  <si>
    <t>Australian Research Council Linkage Project(Australian Research Council)</t>
  </si>
  <si>
    <t>This work is supported by Australian Research Council Linkage Project LP120100115. The research flights were conducted as part of an ongoing project which aims to characterize wintertime cloud properties over Tasmania and the adjacent Southern Ocean. The preliminary processed flight data in netcdf format are available upon request. The authors would like to thank the two anonymous reviewers for their constructive comments. We thank the cloud-seeding officer Mark DeHoog from Hydro Tasmania for his assistance with the research flights. We also thank Michael Naughton and Wenming Lu from the Australian Bureau of Meteorology for providing help with running the ACCESS model facilitated by the NeCTAR project.</t>
  </si>
  <si>
    <t>10.1002/qj.2519</t>
  </si>
  <si>
    <t>WOS:000360986200022</t>
  </si>
  <si>
    <t>Wessel, P; Matthews, KJ; Müller, RD; Mazzoni, A; Whittaker, JM; Myhill, R; Chandler, MT</t>
  </si>
  <si>
    <t>Wessel, Paul; Matthews, Kara J.; Mueller, R. Dietmar; Mazzoni, Aline; Whittaker, Joanne M.; Myhill, Robert; Chandler, Michael T.</t>
  </si>
  <si>
    <t>Semiautomatic fracture zone tracking</t>
  </si>
  <si>
    <t>seafloor fabric; fracture zones; plate tectonics</t>
  </si>
  <si>
    <t>THERMAL-STRESSES; PLATE; EVOLUTION; FAULTS</t>
  </si>
  <si>
    <t>Oceanic fracture zone traces are widely used in studies of seafloor morphology and plate kinematics. Satellite altimetry missions have resulted in high-resolution gravity maps in which all major fracture zones and other tectonic fabric can be identified, and numerous scientists have digitized such lineaments. We have initiated a community effort to maintain low-cost infrastructure that allows seafloor fabric lineaments to be stored, accessed, and updated. A key improvement over past efforts is our processing software (released as a GMT5 supplement) that allows for semiautomatic corrections to previously digitized fracture zone traces given improved gridded data sets. Here we report on our seafloor fabric processing tools, which complement our database of seafloor fabric lineations, magnetic anomaly identifications, and plate kinematic models.</t>
  </si>
  <si>
    <t>[Wessel, Paul; Chandler, Michael T.] Univ Hawaii, Sch Ocean &amp; Earth Sci &amp; Technol, Dept Geol &amp; Geophys, Honolulu, HI 96822 USA; [Matthews, Kara J.; Mueller, R. Dietmar] Univ Sydney, EarthByte Res Grp, Sydney, NSW 2006, Australia; [Mazzoni, Aline] Univ Sao Paulo, Dept Geophys, Sao Paulo, Brazil; [Whittaker, Joanne M.] Univ Tasmania, Inst Marine &amp; Antarctic Studies, Hobart, Tas, Australia; [Myhill, Robert] Univ Bayreuth, Bayer Geoinst, Bayreuth, Germany</t>
  </si>
  <si>
    <t>University of Hawaii System; University of Sydney; Universidade de Sao Paulo; University of Tasmania; University of Bayreuth</t>
  </si>
  <si>
    <t>Wessel, P (corresponding author), Univ Hawaii, Sch Ocean &amp; Earth Sci &amp; Technol, Dept Geol &amp; Geophys, Honolulu, HI 96822 USA.</t>
  </si>
  <si>
    <t>pwessel@hawaii.edu</t>
  </si>
  <si>
    <t>Müller, Dietmar/L-1200-2019; Whittaker, Joanne/B-3695-2010</t>
  </si>
  <si>
    <t>Müller, Dietmar/0000-0002-3334-5764; Whittaker, Joanne/0000-0002-3170-3935; Myhill, Robert/0000-0001-9489-5236; Matthews, Kara/0000-0003-3249-3869</t>
  </si>
  <si>
    <t>U.S. NSF [OCE-0752543, OCE-1434069]; Directorate For Geosciences; Division Of Ocean Sciences [1434069] Funding Source: National Science Foundation</t>
  </si>
  <si>
    <t>U.S. NSF(National Science Foundation (NSF)); Directorate For Geosciences; Division Of Ocean Sciences(National Science Foundation (NSF)NSF - Directorate for Geosciences (GEO))</t>
  </si>
  <si>
    <t>The GSFML project was supported by U.S. NSF grants OCE-0752543 and OCE-1434069. Data sets are available from www.soest.hawaii.edu/PT/GSML. This is SOEST contribution 9440.</t>
  </si>
  <si>
    <t>10.1002/2015GC005853</t>
  </si>
  <si>
    <t>CP9WX</t>
  </si>
  <si>
    <t>WOS:000360247200024</t>
  </si>
  <si>
    <t>Aiemsa-ad, N; Ruffolo, D; Sáiz, A; Mangeard, PS; Nutaro, T; Nuntiyakul, W; Kamyan, N; Khumlumlert, T; Krüger, H; Moraal, H; Bieber, JW; Clem, J; Evenson, P</t>
  </si>
  <si>
    <t>Aiemsa-ad, N.; Ruffolo, D.; Saiz, A.; Mangeard, P. -S.; Nutaro, T.; Nuntiyakul, W.; Kamyan, N.; Khumlumlert, T.; Krueger, H.; Moraal, H.; Bieber, J. W.; Clem, J.; Evenson, P.</t>
  </si>
  <si>
    <t>Measurement and simulation of neutron monitor count rate dependence on surrounding structure</t>
  </si>
  <si>
    <t>cosmic rays; neutron monitors; Monte Carlo simulation; atmospheric showers</t>
  </si>
  <si>
    <t>DENSITY; IMPACT</t>
  </si>
  <si>
    <t>Neutron monitors are the premier instruments for precise measurements of time variations (e.g., of solar origin) in the galactic cosmic ray (GCR) flux in the range of similar to 1-100GeV. However, it has proven challenging to accurately determine the yield function (effective area) versus rigidity in order to relate a neutron monitor's count rate with those of other monitors worldwide and the underlying GCR spectrum. Monte Carlo simulations of the yield function have been developed, but there have been few opportunities to validate these observationally, especially regarding the particular environment surrounding each monitor. Here we have precisely measured the count rate of a calibration neutron monitor near the Princess Sirindhorn Neutron Monitor (PSNM) at Doi Inthanon, Thailand (18.59 degrees N, 98.49 degrees E, 2560m altitude), which provides a basis for comparison with count rates of other neutron monitors worldwide that are similarly calibrated. We directly measured the effect of surrounding structure by operating the calibrator outside and inside the building. Using Monte Carlo simulations, we clarify differences in response of the calibrator and PSNM, as well as the calibrator outside and inside the building. The dependence of the calibrator count rate on surrounding structure can be attributed to its sensitivity to neutrons of 0.5-10MeV and a shift of sensitivity to nucleons of higher energy when placed inside the building. Simulated calibrator to PSNM count rate ratios inside and outside agree with observations within a few percent, providing useful validation and improving confidence in our ability to model the yield function for a neutron monitor station.</t>
  </si>
  <si>
    <t>[Aiemsa-ad, N.; Khumlumlert, T.] Naresuan Univ, Dept Phys, Fac Sci, Phitsanulok, Thailand; [Aiemsa-ad, N.] Rajabhat Rajanagarindra Univ, Fac Sci &amp; Technol, Chachoengsao, Thailand; [Aiemsa-ad, N.; Ruffolo, D.; Saiz, A.; Nutaro, T.; Nuntiyakul, W.] Minist Educ, CHE, Thailand Ctr Excellence Phys, Bangkok, Thailand; [Ruffolo, D.; Saiz, A.; Mangeard, P. -S.; Nuntiyakul, W.; Kamyan, N.] Mahidol Univ, Fac Sci, Dept Phys, Bangkok 10400, Thailand; [Mangeard, P. -S.] Natl Astron Res Inst Thailand, Chiang Mai, Thailand; [Nutaro, T.] Ubon Ratchathani Univ, Dept Phys, Fac Sci, Ubon Ratchathani, Thailand; [Nuntiyakul, W.] Chandrakasem Rajabhat Univ, Fac Sci, Bangkok, Thailand; [Krueger, H.; Moraal, H.] North West Univ, Sch Phys &amp; Chem Sci, Ctr Space Res, Potchefstroom, South Africa; [Bieber, J. W.; Clem, J.; Evenson, P.] Univ Delaware, Dept Phys &amp; Astron, Bartol Res Inst, Newark, DE 19716 USA</t>
  </si>
  <si>
    <t>Naresuan University; Rajabhat Rajanagarindra University; Mahidol University; Ubon Ratchathani University; Chandrakasem Rajabhat University; North West University - South Africa; University of Delaware</t>
  </si>
  <si>
    <t>Ruffolo, D (corresponding author), Minist Educ, CHE, Thailand Ctr Excellence Phys, Bangkok, Thailand.</t>
  </si>
  <si>
    <t>david.ruf@mahidol.ac.th</t>
  </si>
  <si>
    <t>Sáiz, Alejandro/F-7367-2010</t>
  </si>
  <si>
    <t>Sáiz, Alejandro/0000-0001-7771-4341; Nuntiyakul, Waraporn/0000-0002-1664-5845; Ruffolo, David/0000-0003-3414-9666</t>
  </si>
  <si>
    <t>Thailand Research Fund [BRG5180004, BRG5580001]; Royal Golden Jubilee fellowship [PHD/0136/2552]; Mahidol University; South African National Antarctic Programme of the National Research Foundation; United States National Science Foundation [PLR-1341562, PLR-1245939]; Directorate For Geosciences; Office of Polar Programs (OPP) [1245939] Funding Source: National Science Foundation; Office of Polar Programs (OPP); Directorate For Geosciences [1341562] Funding Source: National Science Foundation</t>
  </si>
  <si>
    <t>Thailand Research Fund(Thailand Research Fund (TRF)); Royal Golden Jubilee fellowship; Mahidol University; South African National Antarctic Programme of the National Research Foundation; United States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</si>
  <si>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thank the Royal Thai Air Force and Chatchai Injai for their kind assistance with the observations and Andrew Snodin for setting up and maintaining the computing cluster on which our simulations were performed. We also thank Andre Benadie of North-West University and Leonard Shulman and James Roth of the University of Delaware for their work on the electronics. This research was partially supported by the Thailand Research Fund via Basic Research Grants BRG5180004 and BRG5580001 and Royal Golden Jubilee fellowship PHD/0136/2552. P.-S.M. was supported under the postdoctoral research sponsorship of Mahidol University. This work was also financially supported by the South African National Antarctic Programme of the National Research Foundation and by the United States National Science Foundation via awards PLR-1341562, PLR-1245939, and their predecessors. The data displayed in the figures are available upon request to the corresponding author.</t>
  </si>
  <si>
    <t>10.1002/2015JA021249</t>
  </si>
  <si>
    <t>CQ1TF</t>
  </si>
  <si>
    <t>WOS:000360381400001</t>
  </si>
  <si>
    <t>Sokolov, SG; Gordeev, II</t>
  </si>
  <si>
    <t>Sokolov, S. G.; Gordeev, I. I.</t>
  </si>
  <si>
    <t>PARALEPIDAPEDON VARIABILE SP N. (TREMATODA, LEPOCREADIOIDEA, LEPIDAPEDIDAE) AND OTHER REPRESENTATIVES OF THE GENUS PARALEPIDAPEDON FROM ANTARCTIC FISH</t>
  </si>
  <si>
    <t>ZOOLOGICHESKY ZHURNAL</t>
  </si>
  <si>
    <t>Russian</t>
  </si>
  <si>
    <t>trematodes; Antarctic; new species; Lepidapedidae; Paralepidapedon variabile sp n.; Paralepidapedon lepidum; Muraenolepis marmorata; Macrourus whitsoni</t>
  </si>
  <si>
    <t>NORTHEAST ATLANTIC; DIGENEA; GADIFORMES; SEA</t>
  </si>
  <si>
    <t>In the Ross Sea and the Amundsen Sea, four representatives of the genus Paralepidapedon - Paralepidapedon cf. dubium Prudhoe et Bray 1973 sensu Sokolov et Gordeev 2013, P. lepidum (Gaevskaya et Rodyuk 1988), Paralepidapedom sp., and P. variabile sp. n. were found in Muraenolepis marmorata and Macrourus whitsoni demersal fishes. Paralepidapedon variabile sp. n. is described from the Amundsen Sea. Paralepidapedon variabile sp. n. differs from the other species of the genus Paralepidapedon by the position of the anterior border of vitellarium at the level of the front edge of ventral sucker or genital pore and by the highly variable shape of the testes: from roundish with smooth edge to sinuate-lobate. Paralepidapedon lepidum is found in the Antarctic for the first time.</t>
  </si>
  <si>
    <t>[Sokolov, S. G.] Russian Acad Sci, Severtsov Inst Ecol &amp; Evolut, Moscow 119071, Russia; [Gordeev, I. I.] Russian Fed Res Inst Fisheries &amp; Oceanog, Moscow 107140, Russia</t>
  </si>
  <si>
    <t>Russian Academy of Sciences; Saratov Scientific Center of the Russian Academy of Sciences; Severtsov Institute of Ecology &amp; Evolution; Research lnstitute of Fisheries &amp; Oceanography</t>
  </si>
  <si>
    <t>Sokolov, SG (corresponding author), Russian Acad Sci, Severtsov Inst Ecol &amp; Evolut, Moscow 119071, Russia.</t>
  </si>
  <si>
    <t>sokolovsg@mail.ru</t>
  </si>
  <si>
    <t>Sokolov, Sergey/AAC-3505-2022; Gordeev, Ilya/F-2972-2017</t>
  </si>
  <si>
    <t>Sokolov, Sergey/0000-0002-4822-966X; Gordeev, Ilya/0000-0002-6650-9120</t>
  </si>
  <si>
    <t>MAIK NAUKA-INTERPERIODICA PUBL</t>
  </si>
  <si>
    <t>GSP-1, MARONOVSKII PER 26, MOSCOW, 119049, RUSSIA</t>
  </si>
  <si>
    <t>0044-5134</t>
  </si>
  <si>
    <t>ZOOL ZH</t>
  </si>
  <si>
    <t>Zool. Zhurnal</t>
  </si>
  <si>
    <t>10.7868/S0044513415070107</t>
  </si>
  <si>
    <t>CP6WS</t>
  </si>
  <si>
    <t>WOS:000360029500002</t>
  </si>
  <si>
    <t>Li, J; Hu, QS; Li, YQ; Xu, Y</t>
  </si>
  <si>
    <t>Li, Jiang; Hu, Qiushi; Li, Yuquan; Xu, Yuan</t>
  </si>
  <si>
    <t>Purification and characterization of cold-adapted beta-agarase from an Antarctic psychrophilic strain</t>
  </si>
  <si>
    <t>BRAZILIAN JOURNAL OF MICROBIOLOGY</t>
  </si>
  <si>
    <t>psychrophilic bacteria; cold-adapted agarase; purification; characterization</t>
  </si>
  <si>
    <t>MARINE BACTERIUM; EXTRACELLULAR AGARASE; GRACILARIA-VERRUCOSA; ALPHA-AGARASE; ENZYMES; NEOAGAROBIOSE; EXPRESSION; CLONING; ADAPTATION; GJ1B</t>
  </si>
  <si>
    <t>An extracellular beta-agarase was purified from Pseudoalteromonas sp. NJ21, a Psychrophilic agar-degrading bacterium isolated from Antarctic Prydz Bay sediments. The purified agarase (Aga21) revealed a single band on sodium dodecyl sulfate-polyacrylamide gel electrophoresis, with an apparent molecular weight of 80 kDa. The optimum pH and temperature of the agarase were 8.0 and 30 degrees C, respectively. However, it maintained as much as 85% of the maximum activities at 10 degrees C. Significant activation of the agarase was observed in the presence of Mg2+, Mn2+, K+; Ca2+, Na+, Ba2+, Zn2+, Cu2+, Co2+, Fe2+, Sr2+ and EDTA inhibited the enzyme activity. The enzymatic hydrolyzed product of agar was characterized as neoagarobiose. Furthermore, this work is the first evidence of cold-adapted agarase in Antarctic psychrophilic bacteria and these results indicate the potential for the Antarctic agarase as a catalyst in medicine, food and cosmetic industries.</t>
  </si>
  <si>
    <t>[Li, Jiang] First Inst Oceanog, Key Lab Marine Bioact Subst, Qingdao, Peoples R China; [Hu, Qiushi] Qingdao Univ Sci &amp; Technol, Coll Chem Engn, Qingdao, Peoples R China; [Li, Yuquan; Xu, Yuan] Qingdao Agr Univ, Marine Sci &amp; Engn Coll, Qingdao, Peoples R China</t>
  </si>
  <si>
    <t>First Institute of Oceanography, Ministry of Natural Resources; Qingdao University of Science &amp; Technology; Qingdao Agricultural University</t>
  </si>
  <si>
    <t>Li, J (corresponding author), First Inst Oceanog, Key Lab Marine Bioact Subst, Qingdao, Peoples R China.</t>
  </si>
  <si>
    <t>lijiang@fio.org.cn</t>
  </si>
  <si>
    <t>, lijiang/AAD-4033-2021</t>
  </si>
  <si>
    <t>Public Science and Technology Research Funds Project of Ocean [201105027]; Chinese Polar Environment Comprehensive Investigation &amp; Assessment Programs [CHINARE2014-01-05]; Shandong Province Young and Middle-Aged Scientists Research Awards Fund [BS2010HZ001]; Basic Scientific Research Funds of FIO, SOA [GY0214T09]</t>
  </si>
  <si>
    <t>Public Science and Technology Research Funds Project of Ocean; Chinese Polar Environment Comprehensive Investigation &amp; Assessment Programs; Shandong Province Young and Middle-Aged Scientists Research Awards Fund; Basic Scientific Research Funds of FIO, SOA</t>
  </si>
  <si>
    <t>This study was financially supported by the Public Science and Technology Research Funds Project of Ocean (201105027), Chinese Polar Environment Comprehensive Investigation &amp; Assessment Programs (CHINARE2014-01-05), Shandong Province Young and Middle-Aged Scientists Research Awards Fund (BS2010HZ001), and Basic Scientific Research Funds of FIO, SOA (GY0214T09).</t>
  </si>
  <si>
    <t>SOC BRASILEIRA MICROBIOLOGIA</t>
  </si>
  <si>
    <t>AV PROF LINEU PRESTES,1374, 05508 SAO PAULO, BRAZIL</t>
  </si>
  <si>
    <t>1517-8382</t>
  </si>
  <si>
    <t>1678-4405</t>
  </si>
  <si>
    <t>BRAZ J MICROBIOL</t>
  </si>
  <si>
    <t>Braz. J. Microbiol.</t>
  </si>
  <si>
    <t>10.1590/S1517-838246320131289</t>
  </si>
  <si>
    <t>CP7NK</t>
  </si>
  <si>
    <t>WOS:000360074700007</t>
  </si>
  <si>
    <t>Nair, AV; Joseph, N; Krishna, K; Sneha, KG; Tom, N; Jangid, K; Nair, S</t>
  </si>
  <si>
    <t>Nair, Anusree V.; Joseph, Neetha; Krishna, Kiran; Sneha, K. G.; Tom, Neenu; Jangid, Kamlesh; Nair, Shanta</t>
  </si>
  <si>
    <t>A comparative study of coastal and clinical isolates of Pseudomonas aeruginosa</t>
  </si>
  <si>
    <t>Pseudomonas aeruginosa; biogeography; FAME profiling; arbitrarily primed PCR; environmental distribution</t>
  </si>
  <si>
    <t>CYSTIC-FIBROSIS PATIENTS; GENETIC DIVERSITY; SEQUENCE; SUSCEPTIBILITY; IDENTIFICATION; INDICATOR; ABUNDANCE; PROFILES; BACTERIA; PAO1</t>
  </si>
  <si>
    <t>Pseudomonas aeruginosa is a ubiquitous Gram-negative bacterium having a versatile metabolic potential and great ecological and clinical significance. The geographical distribution of P. aeruginosa has revealed the existence of an unbiased genetic arrangement in terrestrial isolates. In contrast, there are very few reports about P. aeruginosa strains from marine environments. The present work was aimed at studying the distribution of P. aeruginosa in coastal waters along the Indian Peninsula and understanding the environmental influence on genotypic, metabolic and phenotypic characteristics by comparing marine and clinical isolates. Of the 785 marine isolates obtained on selective media, only 32 (similar to 4.1%) were identified as P. aeruginosa, based on their fatty acid methyl ester profiles. A low Euclidian distance value (&lt;2.5) obtained from chemotaxonomic analysis suggested that all the environmental (coastal and marine) isolates originated from a single species. While UPGMA analyses of AP-PCR and phenotypic profiles separated the environmental and clinical isolates, fatty acid biotyping showed overlapping between most clinical and environmental isolates. Our study revealed the genetic diversity among different environmental isolates of P. aeruginosa. While biogeographical separation was not evident based solely on phenotypic and metabolic typing, genomic and metatranscriptomic studies are more likely to show differences between these isolates. Thus, newer and more insightful methods are required to understand the ecological distribution of this complex group of bacteria.</t>
  </si>
  <si>
    <t>[Nair, Anusree V.] Indian Council Agr Res, Cent Marine Fisheries Res Inst, Kochi R China, Kerala, India; [Joseph, Neetha; Jangid, Kamlesh] Natl Ctr Cell Sci, Microbial Culture Collect, Pune, Maharashtra, India; [Krishna, Kiran; Sneha, K. G.; Tom, Neenu] CSIR, Natl Inst Oceanog, Kochi, Kerala, India; [Nair, Shanta] CSIR, Natl Inst Oceanog, Panaji, India</t>
  </si>
  <si>
    <t>Indian Council of Agricultural Research (ICAR); ICAR - Central Marine Fisheries Research Institute; Department of Biotechnology (DBT) India; National Centre for Cell Science, Pune (NCCS); Council of Scientific &amp; Industrial Research (CSIR) - India; CSIR - National Institute of Oceanography (NIO); Council of Scientific &amp; Industrial Research (CSIR) - India; CSIR - National Institute of Oceanography (NIO)</t>
  </si>
  <si>
    <t>Nair, AV (corresponding author), Indian Council Agr Res, Cent Marine Fisheries Res Inst, Kochi R China, Kerala, India.</t>
  </si>
  <si>
    <t>anuadithya2004@gmail.com</t>
  </si>
  <si>
    <t>krishna, Kiran/JPK-9560-2023; Jangid, Kamlesh/AAE-4071-2021</t>
  </si>
  <si>
    <t>krishna, Kiran/0000-0002-4286-8348; , Dr Anusree V Nair/0000-0001-9881-996X; Jangid, Kamlesh/0000-0002-9764-8684</t>
  </si>
  <si>
    <t>Ministry of Earth Sciences, New Delhi, Gov. of India; Council of Scientific and Industrial Research, New Delhi</t>
  </si>
  <si>
    <t>Ministry of Earth Sciences, New Delhi, Gov. of India; Council of Scientific and Industrial Research, New Delhi(Council of Scientific &amp; Industrial Research (CSIR) - India)</t>
  </si>
  <si>
    <t>We thank the Director, National Institute of Oceanography (NIO), Goa, and the Scientist-in-Charge, Regional Centre of NIO, Cochin for their support. We thank Dr. C. T. Achuthankutty, Visiting Scientist, National Centre for Antarctic Ocean Research, Goa, for his valuable suggestions and improving the readability of the manuscript. This work was carried out with the financial support of the Ministry of Earth Sciences, New Delhi, Gov. of India under the project Coastal Ocean Monitoring and Prediction System and Microbial Reference Facility. Neetha Joseph, thanks the Council of Scientific and Industrial Research, New Delhi, for the Senior Research Fellowship. We thank Sci-Edit Publications (Language Editing Services) (www.sci-edit.net) for the support in editing the manuscript.</t>
  </si>
  <si>
    <t>10.1590/S1517-838246320140502</t>
  </si>
  <si>
    <t>WOS:000360074700012</t>
  </si>
  <si>
    <t>Xing, MX; Li, Z; Wang, W; Sun, M</t>
  </si>
  <si>
    <t>Xing, Mengxin; Li, Zhao; Wang, Wei; Sun, Mi</t>
  </si>
  <si>
    <t>Diversity of bacterioplankton in the surface seawaters of Drake Passage near the Chinese Antarctic station</t>
  </si>
  <si>
    <t>Antarctic; Drake Passage; bacterial diversity; surface seawater; 16S rRNA</t>
  </si>
  <si>
    <t>HETEROTROPHIC BACTERIA; ANTIFREEZE PROTEIN; SP-NOV; MARINE; GENE; CLONING; ISLAND; SEA; PROTEOBACTERIA; ASSEMBLAGES</t>
  </si>
  <si>
    <t>The determination of relative abundances and distribution of different bacterial groups is a critical step toward understanding the functions of various bacteria and its surrounding environment. Few studies focus on the taxonomic composition and functional diversity of microbial communities in Drake Passage. In this study, marine bacterioplankton communities from surface seawaters at five locations in Drake Passage were examined by 16S rRNA gene sequence analyses. The results indicated that psychrophilic bacteria were the most abundant group in Drake Passage, and mainly made up of Bacillus, Aeromonas, Psychrobacter, Pseudomonas and Halomonas. Diversity analysis showed that surface seawater communities had no significant correlation with latitudinal gradient. Additionally, a clear difference among five surface seawater communities was evident, with 1.8% OTUs (only two) belonged to Bacillus consistent across five locations and 71% OTUs (80) existed in only one location. However, the few cosmopolitans had the largest population sizes. Our results support the hypothesis that the dominant bacterial groups appear to be analogous between geographical sites, but significant differences may be detected among rare bacterial groups. The microbial diversity of surface seawaters would be liable to be affected by environmental factors.</t>
  </si>
  <si>
    <t>[Xing, Mengxin; Li, Zhao; Wang, Wei; Sun, Mi] Chinese Acad Fishery Sci, Yellow Sea Fisheries Res Inst, Key Lab Sustainable Dev Marine Fisheries, Minist Agr, Qingdao 266071, Peoples R China</t>
  </si>
  <si>
    <t>Ministry of Agriculture &amp; Rural Affairs; Chinese Academy of Fishery Sciences; Yellow Sea Fisheries Research Institute, CAFS</t>
  </si>
  <si>
    <t>Sun, M (corresponding author), Chinese Acad Fishery Sci, Yellow Sea Fisheries Res Inst, 106 Nanjing Rd, Qingdao 266071, Shandong, Peoples R China.</t>
  </si>
  <si>
    <t>sunmi0532@yahoo.com</t>
  </si>
  <si>
    <t>China postdoctoral science foundation; postdoctoral application foundation of Qingdao [G19201447, Q51201408]</t>
  </si>
  <si>
    <t>China postdoctoral science foundation(China Postdoctoral Science Foundation); postdoctoral application foundation of Qingdao</t>
  </si>
  <si>
    <t>This study was supported by China postdoctoral science foundation and postdoctoral application foundation of Qingdao (grant numbers G19201447, Q51201408).</t>
  </si>
  <si>
    <t>fnv106</t>
  </si>
  <si>
    <t>10.1093/femsle/fnv106</t>
  </si>
  <si>
    <t>CP3ZT</t>
  </si>
  <si>
    <t>WOS:000359822500008</t>
  </si>
  <si>
    <t>Di Fiore, A; Alterio, V; Monti, SM; De Simone, G; D'Ambrosio, K</t>
  </si>
  <si>
    <t>Di Fiore, Anna; Alterio, Vincenzo; Monti, Simona M.; De Simone, Giuseppina; D'Ambrosio, Katia</t>
  </si>
  <si>
    <t>Thermostable Carbonic Anhydrases in Biotechnological Applications</t>
  </si>
  <si>
    <t>INTERNATIONAL JOURNAL OF MOLECULAR SCIENCES</t>
  </si>
  <si>
    <t>CO2 capture process; thermostable enzyme; carbonic anhydrases; protein engineering</t>
  </si>
  <si>
    <t>X-RAY-STRUCTURE; CRYSTAL-STRUCTURE; ACTIVE-SITE; GAMMA-CLASS; PROTON-TRANSFER; CATALYTIC MECHANISM; EXTRACELLULAR DOMAIN; AQUEOUS-SOLUTIONS; ANION INHIBITION; BINDING-SITE</t>
  </si>
  <si>
    <t>Carbonic anhydrases are ubiquitous metallo-enzymes which catalyze the reversible hydration of carbon dioxide in bicarbonate ions and protons. Recent years have seen an increasing interest in the utilization of these enzymes in CO2 capture and storage processes. However, since this use is greatly limited by the harsh conditions required in these processes, the employment of thermostable enzymes, both those isolated by thermophilic organisms and those obtained by protein engineering techniques, represents an interesting possibility. In this review we will provide an extensive description of the thermostable carbonic anhydrases so far reported and the main processes in which these enzymes have found an application.</t>
  </si>
  <si>
    <t>[Di Fiore, Anna; Alterio, Vincenzo; Monti, Simona M.; De Simone, Giuseppina; D'Ambrosio, Katia] Ist Biostrutture &amp; Bioimmagini CNR, I-80134 Naples, Italy</t>
  </si>
  <si>
    <t>Consiglio Nazionale delle Ricerche (CNR); Istituto di Biostrutture e Bioimmagini (IBB-CNR)</t>
  </si>
  <si>
    <t>Di Fiore, A (corresponding author), Ist Biostrutture &amp; Bioimmagini CNR, Via Mezzocannone 16, I-80134 Naples, Italy.</t>
  </si>
  <si>
    <t>anna.difiore@cnr.it; vincenzo.alterio@cnr.it; marmonti@unina.it; gdesimon@unina.it; katia.dambrosio@cnr.it</t>
  </si>
  <si>
    <t>ALTERIO, VINCENZO/AAU-8472-2020; Di Fiore, Anna/AAX-5655-2020; D'Ambrosio, Katia/AAX-9008-2020; Monti, Simona M/J-5214-2012; De Simone, Giuseppina/AAJ-4964-2021; Di Fiore, Anna/AAW-3780-2020; MONTI, SIMONA MARIA/GQQ-0129-2022</t>
  </si>
  <si>
    <t>ALTERIO, VINCENZO/0000-0002-0162-1656; De Simone, Giuseppina/0000-0001-9783-5431; Di Fiore, Anna/0000-0003-2924-5194; MONTI, SIMONA MARIA/0000-0001-9647-7089</t>
  </si>
  <si>
    <t>Italian National Antarctic Research Project [PNRA 2013/AZ1.02]</t>
  </si>
  <si>
    <t>1422-0067</t>
  </si>
  <si>
    <t>INT J MOL SCI</t>
  </si>
  <si>
    <t>Int. J. Mol. Sci.</t>
  </si>
  <si>
    <t>10.3390/ijms160715456</t>
  </si>
  <si>
    <t>Biochemistry &amp; Molecular Biology; Chemistry, Multidisciplinary</t>
  </si>
  <si>
    <t>CP5CY</t>
  </si>
  <si>
    <t>WOS:000359900100067</t>
  </si>
  <si>
    <t>Wang, SH; Liu, ZL; Pang, CG</t>
  </si>
  <si>
    <t>Wang, Shihong; Liu, Zhiliang; Pang, Chongguang</t>
  </si>
  <si>
    <t>Geographical distribution and anisotropy of the inverse kinetic energy cascade, and its role in the eddy equilibrium processes</t>
  </si>
  <si>
    <t>BAROCLINIC INSTABILITY; GEOSTROPHIC TURBULENCE; ZONAL JETS; VARIABILITY; RESOLUTION; PACIFIC; FLUXES</t>
  </si>
  <si>
    <t>The geographic character of the inverse cascade is analyzed based on the spectral kinetic energy flux calculated in the global ocean, using sea surface height (SSH) data from satellites, reanalysis data, and model outputs. It is shown that the strongest inverse cascade occurs mostly in high-energy eastward-flowing currents, such as the Antarctic Circumpolar Current (ACC), the Kuroshio Extension, and the Gulf Stream, which matches the global distribution pattern of the eddy kinetic energy (EKE). Hence, the eddy scales predicted by the local linear baroclinic instability L-bci and from the altimeter observation L-eddy are mapped out and compared with the energy injection scale L-inj and the arrest-start scale Larrest-start of the inverse cascade, respectively. Generally, Lbci agrees well with Linj in the midlatitude and high-latitude oceans, especially in the Northern Hemisphere. Leddy falls within the arrest ranges of the inverse cascade and is quite close to Larrest-start. Finally, the depth dependence and the anisotropy of the inverse kinetic energy cascade are also diagnosed in the global ocean. We have found that the strength of the inverse cascades decreases with increasing depth, but the global pattern of the strength is nearly invariable. Meanwhile, the variations in depth hardly affect the Linj and Larrest-start. After considering the anisotropy in the spectral flux calculation, a possible inertial range for the zonal spectral kinetic energy flux is expected, where the cascade magnitude will keep a nearly constant negative value associated with the oceanic zonal jets.</t>
  </si>
  <si>
    <t>[Wang, Shihong; Liu, Zhiliang; Pang, Chongguang] Chinese Acad Sci, Inst Oceanol, Key Lab Ocean Circulat &amp; Waves, Qingdao, Peoples R China; [Wang, Shihong] Univ Chinese Acad Sci, Coll Earth Sci, Beijing, Peoples R China</t>
  </si>
  <si>
    <t>Chinese Academy of Sciences; Institute of Oceanology, CAS; Chinese Academy of Sciences; University of Chinese Academy of Sciences, CAS</t>
  </si>
  <si>
    <t>Liu, ZL (corresponding author), Chinese Acad Sci, Inst Oceanol, Key Lab Ocean Circulat &amp; Waves, Qingdao, Peoples R China.</t>
  </si>
  <si>
    <t>zhlliu@qdio.ac.cn</t>
  </si>
  <si>
    <t>liu, zhiliang/HCH-9811-2022</t>
  </si>
  <si>
    <t>liu, zhiliang/0000-0003-3316-3650; Wang, Shihong/0000-0002-2893-5743</t>
  </si>
  <si>
    <t>National Natural Science Foundation of China [41276026]; Special Fund for strategic pilot technology Chinese Academy of Sciences [XDA11020301]</t>
  </si>
  <si>
    <t>National Natural Science Foundation of China(National Natural Science Foundation of China (NSFC)); Special Fund for strategic pilot technology Chinese Academy of Sciences</t>
  </si>
  <si>
    <t>This study is supported by the National Natural Science Foundation of China (41276026) and the Special Fund for strategic pilot technology Chinese Academy of Sciences (XDA11020301). We thank Rob Scott for his help in spectral flux calculation and Bo Qiu for providing helpful feedback on interpreting the altimeter data. The detailed comments from two anonymous reviewers have greatly helped in improving the manuscript. The altimeter products have been produced by the Data Unification and Altimeter Combination System (DUCAS) as part of the CNES multimission ground segment (SSALTO). Data were made available by the AVISO and could be downloaded from ftp.aviso.oceanobs.com. The ECOO2 sea surface height data were obtained and downloaded from the NASA link: http://ecco2.jpl.nasa.gov/products/dataSelectionSimple.html. The OFES simulation was conducted on the Earth Simulator under the support of JAMSTEC. Hydrographic data have been provided by the U.S. National Oceanographic Data Center via the Word Ocean Atlas 2009.</t>
  </si>
  <si>
    <t>10.1002/2014JC010476</t>
  </si>
  <si>
    <t>CP3JU</t>
  </si>
  <si>
    <t>WOS:000359776000015</t>
  </si>
  <si>
    <t>Shao, AE; Gille, ST; Mecking, S; Thompson, L</t>
  </si>
  <si>
    <t>Shao, Andrew E.; Gille, Sarah T.; Mecking, Sabine; Thompson, LuAnne</t>
  </si>
  <si>
    <t>Properties of the Subantarctic Front and Polar Front from the skewness of sea level anomaly</t>
  </si>
  <si>
    <t>CIRCUMPOLAR CURRENT FRONTS; SOUTHERN-OCEAN FRONTS; SATELLITE ALTIMETRY; SURFACE HEIGHT; VARIABILITY; TOPOGRAPHY; JETS; PERFORMANCE; HEMISPHERE</t>
  </si>
  <si>
    <t>The region of the Southern Ocean that encompasses the Subantarctic Front (SAF) to the north and the Polar Front (PF) to the south contains most of the transport of the Antarctic Circumpolar Current. Here skewness of sea level anomaly (SLA) from 1992 to 2013 is coupled with a meandering Gaussian jetw model to estimate the mean position, meridional width, and the percent variance that each front contributes to total SLA variability. The SAF and PF have comparable widths (85 km) in the circumpolar average, but their widths differ significantly in the East Pacific Basin (85 and 60 km, respectively). Interannual variability in the positions of the SAF and PF are also estimated using annual subsets of the SLA data from 1993 to 2012. The PF position has enhanced variability near strong topographic features such as the Kerguelen Plateau, the Campbell Plateau east of New Zealand, and downstream of Drake Passage. Neither the SAF nor the PF showed a robust meridional trend over the 20 year period. The Southern Annular Mode was significantly correlated with basin-averaged SAF and PF positions in the East Pacific and with the PF south of Australia. A correlation between the PF and the basin-scale wind stress curl anomaly was also found in the western extratropical Pacific but not in other basins.</t>
  </si>
  <si>
    <t>[Shao, Andrew E.; Mecking, Sabine] Univ Washington, Appl Phys Lab, Seattle, WA 98105 USA; [Shao, Andrew E.; Thompson, LuAnne] Univ Washington, Sch Oceanog, Seattle, WA 98195 USA; [Gille, Sarah T.] Univ Calif San Diego, Scripps Inst Oceanog, La Jolla, CA 92093 USA</t>
  </si>
  <si>
    <t>University of Washington; University of Washington Seattle; University of Washington; University of Washington Seattle; University of California System; University of California San Diego; Scripps Institution of Oceanography</t>
  </si>
  <si>
    <t>Shao, AE (corresponding author), Univ Washington, Appl Phys Lab, Seattle, WA 98105 USA.</t>
  </si>
  <si>
    <t>ashao@apl.washington.edu</t>
  </si>
  <si>
    <t>Thompson, LuAnne/AAA-1000-2020; Gille, Sarah T./B-3171-2012</t>
  </si>
  <si>
    <t>Thompson, LuAnne/0000-0001-8295-0533; Gille, Sarah/0000-0001-9144-4368</t>
  </si>
  <si>
    <t>NSF [OCE-1059886]; NASA [NNX13AE44G]; Division Of Ocean Sciences; Directorate For Geosciences [1059886] Funding Source: National Science Foundation; NASA [474906, NNX13AE44G] Funding Source: Federal RePORTER</t>
  </si>
  <si>
    <t>NSF(National Science Foundation (NSF)); NASA(National Aeronautics &amp; Space Administration (NASA)); Division Of Ocean Sciences; Directorate For Geosciences(National Science Foundation (NSF)NSF - Directorate for Geosciences (GEO)); NASA(National Aeronautics &amp; Space Administration (NASA))</t>
  </si>
  <si>
    <t>This work was supported under grants from NSF (OCE-1059886) and NASA (NNX13AE44G). We thank two anonymous reviewers whose comments and suggestions greatly improved this study. The along-track sea level anomaly data used for this study were produced by Ssalto/Duacs and distributed by Aviso, with support from CNES and can be found at http://www.aviso.altimetry.fr/. Zonal and meridional wind speed obtained from the ECMWF ERA-Interim atmospheric reanalysis was also used in this study and can be found at http://apps.ecmwf.int/datasets/data/. SAF and PF frontal positions presented in this paper are made available by request from the corresponding author.</t>
  </si>
  <si>
    <t>10.1002/2015JC010723</t>
  </si>
  <si>
    <t>WOS:000359776000031</t>
  </si>
  <si>
    <t>Salinas, HFO; Alder, VA; Puig, A; Boltovskoy, D</t>
  </si>
  <si>
    <t>Olguin Salinas, Hector F.; Alder, Viviana A.; Puig, Alba; Boltovskoy, Demetrio</t>
  </si>
  <si>
    <t>Latitudinal diversity patterns of diatoms in the Southwestern Atlantic and Antarctic waters</t>
  </si>
  <si>
    <t>JOURNAL OF PLANKTON RESEARCH</t>
  </si>
  <si>
    <t>diatoms; latitudinal gradient; diversity; Southwestern Atlantic; Weddell Sea</t>
  </si>
  <si>
    <t>SPECIES-RICHNESS; PHYTOPLANKTON; EXTRAPOLATION; RAREFACTION</t>
  </si>
  <si>
    <t>Latitudinal changes in the species richness of planktonic diatoms in Southwestern Atlantic and Antarctic waters (29 degrees-76 degrees S) were analyzed from local to regional scale in three spring and one summer seasons. A total of 220 diatom species (16-87 per station) were recorded. Despite the noticeable interannual variability, species richness showed a maximum in the northern sector of the Brazil-Malvinas Confluence Zone and a highly significant decrease with latitude.</t>
  </si>
  <si>
    <t>[Olguin Salinas, Hector F.; Alder, Viviana A.; Boltovskoy, Demetrio] Univ Buenos Aires, Fac Ciencias Exactas &amp; Nat, Dept Ecol Genet &amp; Evoluc, IEGEBA CONICET UBA, RA-1053 Buenos Aires, DF, Argentina; [Olguin Salinas, Hector F.; Alder, Viviana A.; Boltovskoy, Demetrio] Univ Buenos Aires, Fac Ciencias Exactas &amp; Nat, Inst Ecol Genet &amp; Evoluc, IEGEBA CONICET UBA, RA-1053 Buenos Aires, DF, Argentina; [Olguin Salinas, Hector F.; Puig, Alba; Boltovskoy, Demetrio] Museo Argentino Ciencias Nat Bernardino Rivadavia, Buenos Aires, DF, Argentina; [Alder, Viviana A.] Inst Antartico Argentino, Buenos Aires, DF, Argentina</t>
  </si>
  <si>
    <t>University of Buenos Aires; University of Buenos Aires; Museo Argentino de Ciencias Naturales Bernardino Rivadavia (MACN); Instituto Antartico Argentino</t>
  </si>
  <si>
    <t>Salinas, HFO (corresponding author), Univ Buenos Aires, Fac Ciencias Exactas &amp; Nat, Dept Ecol Genet &amp; Evoluc, IEGEBA CONICET UBA, Pabellon 2,C1428EHA Buenos Aires, RA-1053 Buenos Aires, DF, Argentina.</t>
  </si>
  <si>
    <t>holguin@ege.fcen.uba.ar</t>
  </si>
  <si>
    <t>Boltovskoy, Demetrio/ITA-5729-2023</t>
  </si>
  <si>
    <t>Alder, Viviana A./0000-0002-7375-3279; Boltovskoy, Demetrio/0000-0003-3484-2954</t>
  </si>
  <si>
    <t>Buenos Aires University; Argentine Antarctic Institute; National Agency for the Promotion of Science and Technology [PICT-O 2010 0128]</t>
  </si>
  <si>
    <t>Buenos Aires University(University of Buenos Aires); Argentine Antarctic Institute; National Agency for the Promotion of Science and Technology(ANPCyT)</t>
  </si>
  <si>
    <t>This work was supported by grants from the Buenos Aires University, the Argentine Antarctic Institute, and the National Agency for the Promotion of Science and Technology (PICT-O 2010 0128 to V.A.A).</t>
  </si>
  <si>
    <t>0142-7873</t>
  </si>
  <si>
    <t>1464-3774</t>
  </si>
  <si>
    <t>J PLANKTON RES</t>
  </si>
  <si>
    <t>J. Plankton Res.</t>
  </si>
  <si>
    <t>10.1093/plankt/fbv042</t>
  </si>
  <si>
    <t>CP1PC</t>
  </si>
  <si>
    <t>WOS:000359646700001</t>
  </si>
  <si>
    <t>Bostock, HC; Hayward, BW; Neil, HL; Sabaa, AT; Scott, GH</t>
  </si>
  <si>
    <t>Bostock, Helen C.; Hayward, Bruce W.; Neil, Helen L.; Sabaa, Ashwaq T.; Scott, George H.</t>
  </si>
  <si>
    <t>Changes in the position of the Subtropical Front south of New Zealand since the last glacial period</t>
  </si>
  <si>
    <t>SEA-SURFACE TEMPERATURES; ANTARCTIC CIRCUMPOLAR CURRENT; ALKENONE UNSATURATION RATIOS; MACQUARIE RIDGE COMPLEX; WESTERLY WIND CHANGES; EASTERN NEW-ZEALAND; CHATHAM RISE; CLIMATE-CHANGE; INDIAN-OCEAN; TASMAN SEA</t>
  </si>
  <si>
    <t>This study fills an important gap in our understanding of past changes in the Southern Subtropical Front (S-STF) in the southwest Pacific Ocean. Paleo-sea surface temperatures (SST) were estimated from planktic foraminiferal census counts from cores straddling the modern S-STF in the Solander Trough, south of New Zealand. The estimated SST were compared for 6 time slices; glacial period (25-21 ka), Last Glacial Maximum (LGM; 21-18 ka), early deglaciation (18-16 ka), late deglacial/early Holocene period (14-8 ka), mid-Holocene period (8-4 ka), and late Holocene period (4-0 ka). The position of the S-STF was determined by two methods: (1) the location of the 10 degrees C isotherm and (2) the location of the highest SST gradients. These new results suggest that the S-STF was not continuous between east and west of New Zealand during the glacial period. Steep SST gradients indicate that a strong S-STF rapidly shifted south during the LGM and early deglaciation. During the late deglacial and Holocene periods the position of the S-STF differs between the two methods with reduced SST gradients, suggesting amore diffuse S-STF in the Solander Trough at this time. The glacial SST data suggest that the S-STF shifted north to the west of New Zealand, while to the east there was a stronger SST gradient across the front. This was possibly the result of an increased wind stress curl, which could have been caused by stronger, or more northerly Southern Hemisphere westerly winds (SHWW), or a merging of the SHWW split jet in this region.</t>
  </si>
  <si>
    <t>[Bostock, Helen C.; Neil, Helen L.] Natl Inst Water &amp; Atmospher Res, Greta Point, New Zealand; [Hayward, Bruce W.; Sabaa, Ashwaq T.] Geomarine Res, St Johns, New Zealand; [Scott, George H.] GNS Sci, Lower Hutt, New Zealand</t>
  </si>
  <si>
    <t>GNS Science - New Zealand</t>
  </si>
  <si>
    <t>Bostock, HC (corresponding author), Natl Inst Water &amp; Atmospher Res, Greta Point, New Zealand.</t>
  </si>
  <si>
    <t>Helen.Bostock@niwa.co.nz</t>
  </si>
  <si>
    <t>HAYWARD, BRUCE W/AAG-2597-2019; Bostock, Helen/A-6834-2013</t>
  </si>
  <si>
    <t>Bostock, Helen/0000-0002-8903-8958; Hayward, Bruce W./0000-0003-1302-7686; /0000-0002-2111-6817</t>
  </si>
  <si>
    <t>consequences of ocean, Earth change program</t>
  </si>
  <si>
    <t>The study and the R/V Tangaroa voyages were funded by the consequences of ocean, Earth change program, and core funding to the National Institute of Water and Atmospheric Research. We would like to thank the captains from the TAN0803 and TAN1106 voyages Roger Goodison and Doug Monk, respectively, and the crew and scientists that participated in these voyages. We would also like to thank Thomas Max (NIWA) for running the stable isotopes, Kevin Mackay for providing GIS support, Mike Williams and Phil Sutton for their help and oceanographic expertise, and Sam Dean for his insights into the complexities of the SHWW. We would like to thank Tim Barrows and Karen Kohfeld for their constructive comments which have significantly improved the paper. This paper is a contribution to the INQUA supported Southern Hemisphere Assessment of Palaeo-Environments project. Data fromthis project is available from the Pangaea website http://doi.pangaea.de/10.1594/PANGAEA.846175.</t>
  </si>
  <si>
    <t>10.1002/2014PA002652</t>
  </si>
  <si>
    <t>CP7HP</t>
  </si>
  <si>
    <t>WOS:000360058100002</t>
  </si>
  <si>
    <t>Studer, AS; Sigman, DM; Martínez-García, A; Benz, V; Winckler, G; Kuhn, G; Esper, O; Lamy, F; Jaccard, SL; Wacker, L; Oleynik, S; Gersonde, R; Haug, GH</t>
  </si>
  <si>
    <t>Studer, Anja S.; Sigman, Daniel M.; Martinez-Garcia, Alfredo; Benz, Verena; Winckler, Gisela; Kuhn, Gerhard; Esper, Oliver; Lamy, Frank; Jaccard, Samuel L.; Wacker, Lukas; Oleynik, Sergey; Gersonde, Rainer; Haug, Gerald H.</t>
  </si>
  <si>
    <t>Antarctic Zone nutrient conditions during the last two glacial cycles</t>
  </si>
  <si>
    <t>ATMOSPHERIC CO2 CONCENTRATIONS; NITROGEN ISOTOPIC COMPOSITION; DIATOM-BOUND NITROGEN; SOUTHERN-OCEAN; ATLANTIC SECTOR; ORGANIC-MATTER; SEA-ICE; DOME-C; PLANKTONIC-FORAMINIFERA; PHYTOPLANKTON BIOMASS</t>
  </si>
  <si>
    <t>In a sediment core from the Pacific sector of the Antarctic Zone (AZ) of the Southern Ocean, we report diatom-bound N isotope (delta N-15(db)) records for total recoverable diatoms and two distinct diatom assemblages (pennate and centric rich). These data indicate tight coupling between the degree of nitrate consumption and Antarctic climate across the last two glacial cycles, with delta N-15(db) (and thus the degree of nitrate consumption) increasing at each major Antarctic cooling event. Coupled with evidence from opal- and barium-based proxies for reduced export production during ice ages, the delta N-15(db) increases point to ice age reductions in the supply of deep ocean-sourced nitrate to the AZ surface. The two diatom assemblages and species abundance data indicate that the delta N-15(db) changes are not the result of changing species composition. The pennate and centric assemblage delta N-15(db) records indicate similar changes but with a significant decline in their difference during peak ice ages. A tentative seasonality-based interpretation of the centric-to-pennate delta N-15(db) difference suggests that late summer surface waters became nitrate free during the peak glacials.</t>
  </si>
  <si>
    <t>[Studer, Anja S.; Sigman, Daniel M.; Oleynik, Sergey] Princeton Univ, Dept Geosci, Princeton, NJ 08544 USA; [Studer, Anja S.; Martinez-Garcia, Alfredo; Haug, Gerald H.] Swiss Fed Inst Technol, Geol Inst, Zurich, Switzerland; [Benz, Verena; Kuhn, Gerhard; Esper, Oliver; Lamy, Frank; Gersonde, Rainer] Helmholtz Zentrum Polar &amp; Meeresforsch, Alfred Wegener Inst, Bremerhaven, Germany; [Winckler, Gisela] Columbia Univ, Lamont Doherty Earth Observ, Palisades, NY USA; [Winckler, Gisela] Columbia Univ, Dept Earth &amp; Environm Sci, Palisades, NY USA; [Jaccard, Samuel L.] Univ Bern, Inst Geol Sci, Bern, Switzerland; [Jaccard, Samuel L.] Univ Bern, Oeschger Ctr Climate Change Res, Bern, Switzerland; [Wacker, Lukas] Swiss Fed Inst Technol, Lab Ion Beam Phys, Zurich, Switzerland</t>
  </si>
  <si>
    <t>Princeton University; Swiss Federal Institutes of Technology Domain; ETH Zurich; Helmholtz Association; Alfred Wegener Institute, Helmholtz Centre for Polar &amp; Marine Research; Columbia University; Columbia University; University of Bern; University of Bern; Swiss Federal Institutes of Technology Domain; ETH Zurich</t>
  </si>
  <si>
    <t>Studer, AS (corresponding author), Princeton Univ, Dept Geosci, Princeton, NJ 08544 USA.</t>
  </si>
  <si>
    <t>studer@princeton.edu</t>
  </si>
  <si>
    <t>Studer, Anja S/JVZ-4104-2024; Jaccard, Samuel/G-3447-2014; Jaccard, Samuel/IZP-9669-2023; Sigman, Daniel M./IYJ-2613-2023; Martinez-Garcia, Alfredo/A-6244-2010; Sigman, Daniel M./A-2649-2008; Lamy, Frank/H-3611-2014</t>
  </si>
  <si>
    <t>Studer, Anja S/0000-0001-7354-8497; Jaccard, Samuel/0000-0002-5793-0896; Martinez-Garcia, Alfredo/0000-0002-7206-5079; Sigman, Daniel M./0000-0002-7923-1973; Lamy, Frank/0000-0001-5952-1765; Kuhn, Gerhard/0000-0001-6069-7485; Esper, Oliver/0000-0002-4342-3471</t>
  </si>
  <si>
    <t>Swiss National Science Foundation [200021_131886/1, PBEZP2_145695, PZ00P2_142424, PP00P2_144811]; US NSF [PLR-1401489, OPP-0612198, OCE-0992345]; Grand Challenges Program of Princeton University; Swiss National Science Foundation (SNF) [PBEZP2_145695, PZ00P2_142424, 200021_131886] Funding Source: Swiss National Science Foundation (SNF); Office of Polar Programs (OPP); Directorate For Geosciences [1401489] Funding Source: National Science Foundation</t>
  </si>
  <si>
    <t>Swiss National Science Foundation(Swiss National Science Foundation (SNSF)); US NSF(National Science Foundation (NSF)); Grand Challenges Program of Princeton University(Princeton University); Swiss National Science Foundation (SNF)(Swiss National Science Foundation (SNSF)); Office of Polar Programs (OPP); Directorate For Geosciences(National Science Foundation (NSF)NSF - Directorate for Geosciences (GEO))</t>
  </si>
  <si>
    <t>Data can be downloaded as part of the supplement and will also be made available at www.pangaea.de. We thank the captain and crew of the R/V Polarstern for the recovery of the sediment core during the ANT-XXVI/2 (PS75) cruise to the Southern Ocean. We thank M.A. Weigand and R. Schwarz for their help with laboratory analyses and X. Crosta and M.P. Hain for the discussions. Funding was provided by the Swiss National Science Foundation grant 200021_131886/1 to G.H.H., grant PBEZP2_145695 to A.S.S., grant PZ00P2_142424 to A.M.-G., grant PP00P2_144811 to S.L.J., by the US NSF grants PLR-1401489, OPP-0612198, and OCE-0992345 to D.M.S., and by the Grand Challenges Program of Princeton University. We thank two anonymous reviewers and the editor, Chris Charles, for their comments, which improved the manuscript.</t>
  </si>
  <si>
    <t>10.1002/2014PA002745</t>
  </si>
  <si>
    <t>WOS:000360058100003</t>
  </si>
  <si>
    <t>Robinson, RS; Moore, TC; Erhardt, AM; Scher, HD</t>
  </si>
  <si>
    <t>Robinson, Rebecca S.; Moore, Theodore C.; Erhardt, Andrea M.; Scher, Howie D.</t>
  </si>
  <si>
    <t>Evidence for changes in subsurface circulation in the late Eocene equatorial Pacific from radiolarian-bound nitrogen isotope values</t>
  </si>
  <si>
    <t>DEEP-WATER PRODUCTION; EARLY OLIGOCENE; NORTH PACIFIC; ICE-AGE; NUTRIENT UTILIZATION; DIATOM FRUSTULES; ANTARCTIC OCEAN; ATMOSPHERIC CO2; MIDDLE EOCENE; NITRATE</t>
  </si>
  <si>
    <t>Microfossil-bound organic matter represents an important archive of surface ocean environmental information. Sedimentary nitrogen (N) isotope reconstructions of surface nitrate consumption and nitrogen source changes are made using fossil diatom (autotrophs) and planktic foraminiferal (heterotrophs)-bound organic matter with success. However, because diatoms and planktic foraminifera are poorly preserved and sedimentary organic matter content is near zero during the late Eocene, our ability to examine nutrient dynamics across this important climate transition is limited. Here we present new data exploring the use of N isotope records from radiolarian tests. A comparison of surface ocean nitrate and core top bulk and radiolarian N isotope values (as delta N-15) from the equatorial Pacific indicates that radiolarian-N records delta N-15 variability with fidelity but that a significant offset exists between bulk sedimentary and diatom delta N-15 values and those measured from radiolarians (similar to 7.1 +/- 1.1 parts per thousand). A downcore profile of radiolarian delta N-15 values is compared to siliceous microfossil assemblage changes across the Eocene-Oligocene boundary. Average of radiolarian-bound delta N-15 values is 0.5 +/- 2.0 parts per thousand, which, when corrected using the offset derived from the modern surface samples, suggests that the mean nitrogen isotopic composition of the early Cenozoic eastern Pacific was not significantly different from today. The overall trend, of decreasing delta N-15 values with decreasing export productivity, is consistent with either a regional decline in pelagic denitrification or a large-scale change in nutrient sources to the eastern equatorial Pacific (EEP), both linked to the cooling climate and changing intermediate water circulation. Decreasing/low delta N-15 values cooccur with high radiolarian species turnover at similar to 35.5 and 34Ma, suggestive of a significant ecological change in the EEP, consistent with cooling and water mass distribution changes. The preliminary results suggest that radiolarian-bound organic nitrogen represents another promising archive and underscores the fact that the different microfossil fractions must be separated to ensure robust results.</t>
  </si>
  <si>
    <t>[Robinson, Rebecca S.] Univ Rhode Isl, Grad Sch Oceanog, Kingston, RI 02881 USA; [Moore, Theodore C.] Univ Michigan, Dept Earth &amp; Environm Sci, Ann Arbor, MI 48109 USA; [Erhardt, Andrea M.] Univ Cambridge, Dept Earth Sci, Cambridge CB2 3EQ, England; [Scher, Howie D.] Univ S Carolina, Dept Earth &amp; Ocean Sci, Columbia, SC 29208 USA</t>
  </si>
  <si>
    <t>University of Rhode Island; University of Michigan System; University of Michigan; University of Cambridge; University of South Carolina System; University of South Carolina Columbia</t>
  </si>
  <si>
    <t>Robinson, RS (corresponding author), Univ Rhode Isl, Grad Sch Oceanog, Kingston, RI 02881 USA.</t>
  </si>
  <si>
    <t>rebecca_r@uri.edu</t>
  </si>
  <si>
    <t>Scher, Howie/C-4927-2013; Moore, Theodore/N-8848-2014</t>
  </si>
  <si>
    <t>Moore, Theodore/0000-0003-4121-1325; Erhardt, Andrea/0000-0002-5213-986X; Robinson, Rebecca/0000-0002-8072-1603</t>
  </si>
  <si>
    <t>USSSC</t>
  </si>
  <si>
    <t>Thanks to Alissa Becker and C.J. Bascom for their assistance with radiolarianbound measurements. Dan MacDonald contributed significantly to the initial idea of measuring radiolarian N in the EEP. This work was supported by a USSSC postexpedition award to Robinson. Data are available through NOAA NCDC Paleoceanography Database (http://www.ncdc.noaa.gov/data-access/paleoclimatology-data/datasets/paleoceanography) and IODP (http://iodp.tamu.edu/tasapps/).</t>
  </si>
  <si>
    <t>10.1002/2015PA002777</t>
  </si>
  <si>
    <t>WOS:000360058100007</t>
  </si>
  <si>
    <t>Maier, E; Méheust, M; Abelmann, A; Gersonde, R; Chapligin, B; Ren, J; Stein, R; Meyer, H; Tiedemann, R</t>
  </si>
  <si>
    <t>Maier, E.; Meheust, M.; Abelmann, A.; Gersonde, R.; Chapligin, B.; Ren, J.; Stein, R.; Meyer, H.; Tiedemann, R.</t>
  </si>
  <si>
    <t>Deglacial subarctic Pacific surface water hydrography and nutrient dynamics and links to North Atlantic climate variability and atmospheric CO2</t>
  </si>
  <si>
    <t>SILICON ISOTOPE FRACTIONATION; ANTARCTIC SEA-ICE; SOUTHERN-OCEAN; IRON-ENRICHMENT; HEINRICH EVENTS; TEMPERATURE-CHANGES; INTERMEDIATE WATER; LATE PLEISTOCENE; MARINE DIATOMS; GROUNDING-LINE</t>
  </si>
  <si>
    <t>The glacial-to-Holocene evolution of subarctic Pacific surface water stratification and silicic acid (Si) dynamics is investigated based on new combined diatom oxygen (delta O-18(diat)) and silicon (delta Si-30(diat)) isotope records, along with new biogenic opal, subsurface foraminiferal delta O-18, alkenone-based sea surface temperature, sea ice, diatom, and core logging data from the NE Pacific. Our results suggest that delta O-18(diat) values are primarily influenced by changes in freshwater discharge from the Cordilleran Ice Sheet (CIS), while corresponding delta Si-30(diat) are primarily influenced by changes in Si supply to surface waters. Our data indicate enhanced glacial to mid Heinrich Stadial 1 (HS1) NE Pacific surface water stratification, generally limiting the Si supply to surface waters. However, we suggest that an increase in Si supply during early HS1, when surface waters were still stratified, is linked to increased North Pacific Intermediate Water formation. The coincidence between fresh surface waters during HS1 and enhanced ice-rafted debris sedimentation in the North Atlantic indicates a close link between CIS and Laurentide Ice Sheet dynamics and a dominant atmospheric control on CIS deglaciation. The Bolling/Allerod (B/A) is characterized by destratification in the subarctic Pacific and an increased supply of saline, Si-rich waters to surface waters. This change toward increased convection occurred prior to the Bolling warming and is likely triggered by a switch to sea ice-free conditions during late HS1. Our results furthermore indicate a decreased efficiency of the biological pump during late HS1 and the B/A (possibly also the Younger Dryas), suggesting that the subarctic Pacific has then been a source region of atmospheric CO2.</t>
  </si>
  <si>
    <t>[Maier, E.; Meheust, M.; Abelmann, A.; Gersonde, R.; Ren, J.; Stein, R.; Tiedemann, R.] Alfred Wegener Inst, Helmholtz Ctr Polar &amp; Marine Res, Bremerhaven, Germany; [Chapligin, B.; Meyer, H.] Alfred Wegener Inst, Helmholtz Ctr Polar &amp; Marine Res, Potsdam, Germany</t>
  </si>
  <si>
    <t>Helmholtz Association; Alfred Wegener Institute, Helmholtz Centre for Polar &amp; Marine Research; Helmholtz Association; Alfred Wegener Institute, Helmholtz Centre for Polar &amp; Marine Research</t>
  </si>
  <si>
    <t>Maier, E (corresponding author), Alfred Wegener Inst, Helmholtz Ctr Polar &amp; Marine Res, Bremerhaven, Germany.</t>
  </si>
  <si>
    <t>edith.maier@awi.de</t>
  </si>
  <si>
    <t>Meyer, Hanno/AAQ-4260-2021; Ren, Jian/K-6951-2018</t>
  </si>
  <si>
    <t>Meyer, Hanno/0000-0003-4129-4706; Ren, Jian/0000-0002-1889-5661; Stein, Ruediger/0000-0002-4453-9564; Gersonde, Rainer/0000-0002-7340-6269; Tiedemann, Ralf/0000-0001-7211-8049; Abelmann, Andrea/0000-0001-9432-0002</t>
  </si>
  <si>
    <t>Bundesministerium fur Bildung und Forschung (BMBF)</t>
  </si>
  <si>
    <t>Bundesministerium fur Bildung und Forschung (BMBF)(Federal Ministry of Education &amp; Research (BMBF))</t>
  </si>
  <si>
    <t>The data from this study can be obtained from the PANGAEA database (doi:10.1594/PANGAEA.834308). This study was embedded in the Innovative NOrth Pacific EXperiment (INOPEX), funded by the Bundesministerium fur Bildung und Forschung (BMBF). We gratefully acknowledge Michael Sarnthein for providing the additional bulk samples from Core MD01-2416. We thank Ulrike Bottjer, Birgit Gluckselig, and Ruth Cordelair for the thorough purification of the diatom material and Gerhard Kuhn for the salt correction of biogenic opal concentration data. Silke Steph is thanked for analyzing N. pachydermasin oxygen and carbon isotopes and Marianne xeWarnkross for picking N. pachydermasin for radiocarbon dating and isotope analysis. Furthermore, we gratefully acknowledge Philipp Hornung for supporting the error estimation for local surface delta18Osw. Melanie Leng is thanked for providing the lacustrine diatom laboratory standard BFC. Finally, we thank Heiko Palike and two anonymous reviewers for their constructive comments to improve the manuscript.</t>
  </si>
  <si>
    <t>10.1002/2014PA002763</t>
  </si>
  <si>
    <t>Green Submitted, Green Published, Bronze</t>
  </si>
  <si>
    <t>WOS:000360058100010</t>
  </si>
  <si>
    <t>Witowski, CG; von Salm, JL; Maschek, JA; Amsler, MO; Vesely, BA; Kyle, DE; McClintock, JB; Amsler, CD; Baker, BJ</t>
  </si>
  <si>
    <t>Witowski, C. G.; von Salm, J. L.; Maschek, J. A.; Amsler, M. O.; Vesely, B. A.; Kyle, D. E.; McClintock, J. B.; Amsler, C. D.; Baker, B. J.</t>
  </si>
  <si>
    <t>Ecological and antileishmanial activity of diterpenes derived from the Antarctic sponge Dendrilla membranosa</t>
  </si>
  <si>
    <t>PLANTA MEDICA</t>
  </si>
  <si>
    <t>Annual Meeting of the American-Society-of-Pharmacognosy</t>
  </si>
  <si>
    <t>JUL 25-29, 2015</t>
  </si>
  <si>
    <t>CO</t>
  </si>
  <si>
    <t>[Witowski, C. G.; von Salm, J. L.; Maschek, J. A.; Baker, B. J.] Univ S Florida, Dept Chem, Tampa, FL 33612 USA; [Vesely, B. A.; Kyle, D. E.] Univ S Florida, Dept Global Hlth, Tampa, FL 33612 USA; [Witowski, C. G.; Baker, B. J.] Univ S Florida, Ctr Drug Discovery &amp; Innovat, Tampa, FL 33612 USA; [Amsler, M. O.; McClintock, J. B.; Amsler, C. D.] Univ Alabama Birmingham, Dept Biol, Birmingham, AL 35294 USA</t>
  </si>
  <si>
    <t>State University System of Florida; University of South Florida; State University System of Florida; University of South Florida; State University System of Florida; University of South Florida; University of Alabama System; University of Alabama Birmingham</t>
  </si>
  <si>
    <t>Baker, Bill/N-4312-2019</t>
  </si>
  <si>
    <t>GEORG THIEME VERLAG KG</t>
  </si>
  <si>
    <t>STUTTGART</t>
  </si>
  <si>
    <t>RUDIGERSTR 14, D-70469 STUTTGART, GERMANY</t>
  </si>
  <si>
    <t>0032-0943</t>
  </si>
  <si>
    <t>1439-0221</t>
  </si>
  <si>
    <t>PLANTA MED</t>
  </si>
  <si>
    <t>Planta Med.</t>
  </si>
  <si>
    <t>PZB1</t>
  </si>
  <si>
    <t>Plant Sciences; Chemistry, Medicinal; Integrative &amp; Complementary Medicine; Pharmacology &amp; Pharmacy</t>
  </si>
  <si>
    <t>Plant Sciences; Pharmacology &amp; Pharmacy; Integrative &amp; Complementary Medicine</t>
  </si>
  <si>
    <t>CP6AP</t>
  </si>
  <si>
    <t>WOS:000359967000464</t>
  </si>
  <si>
    <t>Gardner, C; Hartmann, K; Punt, AE; Hoshino, E</t>
  </si>
  <si>
    <t>Gardner, Caleb; Hartmann, Klaas; Punt, Andre E.; Hoshino, Eriko</t>
  </si>
  <si>
    <t>Fewer eggs from larger size limits: counterintuitive outcomes in a spatially heterogeneous fishery</t>
  </si>
  <si>
    <t>bioeconomic model; egg production; rock lobster; size limits; spatial heterogeneity</t>
  </si>
  <si>
    <t>SOUTHERN ROCK LOBSTER; JASUS-EDWARDSII; MANAGEMENT; AUSTRALIA; GROWTH; CHALLENGES; PATTERNS; MATURITY; TASMANIA; LENGTH</t>
  </si>
  <si>
    <t>The legal minimum length (LML) of female Southern Rock Lobster (Jasus edwardsii) was reduced in the Tasmanian fishery in 1966 for higher sustainable catches. Originally, the LML was to be reduced in slow growth southern areas only; however, the change was implemented across the entire fishery due to lobbying by commercial fishers. The lower LML has been controversial ever since, including during recent years when low recruitment resulted in a lower total allowable catch (TAC). Fishers argued that this could have been prevented with a higher female LML across the jurisdiction. A length-and sex-based bioeconomic model was used to examine probable outcomes of the larger statewide LML. This model showed that management of egg production would be poorly served by raising the statewide LML because of spatial patterns in the stock and fishery. Catch would be displaced from areas where egg production was already high and into the most depleted areas thus reducing production in areas of greatest concern. Spatial variation in biological parameters can have a profound effect on outcomes of management perceived to be conservative, possibly leading to negative impacts. This risk exists wherever catch is displaced, such as with Marine Protected Areas, spatial TACs and gear restrictions.</t>
  </si>
  <si>
    <t>[Gardner, Caleb; Hartmann, Klaas; Hoshino, Eriko] Univ Tasmania, Inst Marine &amp; Antarctic Studies, Hobart, Tas 7001, Australia; [Punt, Andre E.] CSIRO, Marine &amp; Atmospher Res, Wealth Ocean Flagship, Hobart, Tas 7001, Australia; [Punt, Andre E.] Univ Washington, Sch Aquat &amp; Fishery Sci, Seattle, WA 98195 USA</t>
  </si>
  <si>
    <t>University of Tasmania; Commonwealth Scientific &amp; Industrial Research Organisation (CSIRO); University of Washington; University of Washington Seattle</t>
  </si>
  <si>
    <t>Gardner, C (corresponding author), Univ Tasmania, Inst Marine &amp; Antarctic Studies, Private Bag 49, Hobart, Tas 7001, Australia.</t>
  </si>
  <si>
    <t>caleb.gardner@utas.edu.au</t>
  </si>
  <si>
    <t>Hartmann, Klaas/B-3991-2008; Hoshino, Eriko/N-7557-2013; Gardner, Caleb/I-7086-2013</t>
  </si>
  <si>
    <t>Hoshino, Eriko/0000-0001-7110-4251; Gardner, Caleb/0000-0003-0324-4337</t>
  </si>
  <si>
    <t>Australian Seafood Cooperative Research Centre; Fisheries Research and Development Corporation; Tasmanian Department of Primary Industry, Parks, Water and the Environment; Tasmanian Rock Lobster Fishermen's Association; Southern Rock Lobster Ltd.</t>
  </si>
  <si>
    <t>Australian Seafood Cooperative Research Centre(Australian GovernmentDepartment of Industry, Innovation and ScienceCooperative Research Centres (CRC) Programme); Fisheries Research and Development Corporation; Tasmanian Department of Primary Industry, Parks, Water and the Environment; Tasmanian Rock Lobster Fishermen's Association; Southern Rock Lobster Ltd.</t>
  </si>
  <si>
    <t>The manuscript was substantially improved by the input of referees. The research was supported by the Australian Seafood Cooperative Research Centre; the Fisheries Research and Development Corporation; the Tasmanian Department of Primary Industry, Parks, Water and the Environment; the Tasmanian Rock Lobster Fishermen's Association; and Southern Rock Lobster Ltd.</t>
  </si>
  <si>
    <t>10.1093/icesjms/fsu165</t>
  </si>
  <si>
    <t>CP2HS</t>
  </si>
  <si>
    <t>WOS:000359698700026</t>
  </si>
  <si>
    <t>Wu, YT; Polvani, LM</t>
  </si>
  <si>
    <t>Wu, Yutian; Polvani, Lorenzo M.</t>
  </si>
  <si>
    <t>Contrasting Short- and Long-Term Projections of the Hydrological Cycle in the Southern Extratropics</t>
  </si>
  <si>
    <t>OZONE DEPLETION; CLIMATE; CMIP5</t>
  </si>
  <si>
    <t>Analysis of model output from phase 5 of the Coupled Model Intercomparison Project (CMIP5) reveals that, in the zonal mean, the near-term projections of summertime changes of precipitation in the Southern Hemisphere (SH) subtropics are very widely scattered among the models. As a consequence, over the next 50 years, the CMIP5 multimodel mean projects no statistically significant trends in the SH subtropics in summer. This appears to be at odds with the widely reported, and robust, poleward expansion of the subtropical dry zones by the end of the twenty-first century. This discrepancy between the shorter- and longer-term projections in SH summer, as shown here, rests in the recovery of the ozone hole in the coming decades, as a consequence of the Montreal Protocol. This is explicitly demonstrated by analyzing model experiments with the Whole Atmosphere Community Climate Model, version 4 (WACCM4), a high-top model with interactive stratospheric chemistry, and coupled to land, ocean, and sea ice components. Contrasting WACCM4 integrations of the representative concentration pathway 4.5 with and without trends in surface concentrations of ozone-depleting substances allows for demonstrating that stratospheric ozone recovery will largely offset the induced wet gets wetter and dry gets drier projections and the accompanying poleward expansion of the subtropical dry zone in the SH. The lack of near-term statistically significant zonal-mean changes in the SH hydrological cycle during summer is of obvious practical importance for many parts of the world, and it might also have implications for the Southern Ocean and the Antarctic continent.</t>
  </si>
  <si>
    <t>[Wu, Yutian] Purdue Univ, Dept Earth Atmospher &amp; Planetary Sci, W Lafayette, IN 47907 USA; [Polvani, Lorenzo M.] Columbia Univ, Dept Appl Phys &amp; Appl Math, New York, NY USA; [Polvani, Lorenzo M.] Columbia Univ, Dept Earth &amp; Environm Sci, New York, NY USA</t>
  </si>
  <si>
    <t>Purdue University System; Purdue University; Columbia University; Columbia University</t>
  </si>
  <si>
    <t>Wu, YT (corresponding author), Purdue Univ, Dept Earth Atmospher &amp; Planetary Sci, 550 Stadium Mall Dr, W Lafayette, IN 47907 USA.</t>
  </si>
  <si>
    <t>wu640@purdue.edu</t>
  </si>
  <si>
    <t>Wu, Yutian/0000-0002-4428-6624</t>
  </si>
  <si>
    <t>Department of Earth, Atmospheric, and Planetary Sciences at Purdue University; U.S. National Science Foundation</t>
  </si>
  <si>
    <t>Department of Earth, Atmospheric, and Planetary Sciences at Purdue University; U.S. National Science Foundation(National Science Foundation (NSF))</t>
  </si>
  <si>
    <t>The authors acknowledge the help of Dr. Haibo Liu for obtaining the CMIP5 data and thank Dr. Jack Scheff for the several useful comments on an earlier draft of the paper. The authors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YW is supported by a start-up fund from the Department of Earth, Atmospheric, and Planetary Sciences at Purdue University. LMP is supported by a grant from the U.S. National Science Foundation.</t>
  </si>
  <si>
    <t>10.1175/JCLI-D-15-0040.1</t>
  </si>
  <si>
    <t>CP1LR</t>
  </si>
  <si>
    <t>WOS:000359637800020</t>
  </si>
  <si>
    <t>Hinke, JT; Polito, MJ; Goebel, ME; Jarvis, S; Reiss, CS; Thorrold, SR; Trivelpiece, WZ; Watters, GM</t>
  </si>
  <si>
    <t>Hinke, Jefferson T.; Polito, Michael J.; Goebel, Michael E.; Jarvis, Sharon; Reiss, Christian S.; Thorrold, Simon R.; Trivelpiece, Wayne Z.; Watters, George M.</t>
  </si>
  <si>
    <t>Spatial and isotopic niche partitioning during winter in chinstrap and Adelie penguins from the South Shetland Islands</t>
  </si>
  <si>
    <t>Antarctica; geolocation; migration; niche; Pygoscelis adeliae; Pygoscelis antarctica; stable isotope; winter</t>
  </si>
  <si>
    <t>STABLE-ISOTOPES; PYGOSCELIS-ADELIAE; FORAGING AREAS; MIGRATION; REVEAL; PREDATORS; SEGREGATION; POPULATIONS; SEABIRDS; MOVEMENTS</t>
  </si>
  <si>
    <t>Closely related species with similar ecological requirements should exhibit segregation along spatial, temporal, or trophic niche axes to limit the degree of competitive overlap. For migratory marine organisms like seabirds, assessing such overlap during the non-breeding period is difficult because of long-distance dispersal to potentially diffuse foraging habitats. Miniaturization of geolocation devices and advances in stable isotope analysis (SIA), however, provide a robust toolset to quantitatively track the movements and foraging niches of wide ranging marine animals throughout much of their annual cycle. We used light-based geolocation tags and analyzed stable carbon and nitrogen isotopes from tail feathers to simultaneously characterize winter movements, habitat utilization, and overlap of spatial and isotopic niches of migratory chinstrap (Pygoscelis antarctica) and Adelie (P. adeliae) penguins during the austral winter of 2012. Chinstrap penguins exhibited a higher diversity of movements and occupied portions of the Southern Ocean from 138 degrees W to 30 degrees W within a narrow latitudinal band centered on 60 degrees S. In contrast, all tracked Adelie penguins exhibited smaller-scale movements into the Weddell Sea and then generally along a counter-clockwise path as winter advanced. Inter-specific overlap during the non-breeding season was low except during the months immediately adjacent to the summer breeding season. Intra-specific overlap by chinstraps from adjacent breeding colonies was higher throughout the winter. Spatial segregation appears to be the primary mechanism to maintain inter-and intra-specific niche separation during the non-breeding season for chinstrap and Adelie penguins. Despite low spatial overlap, however, the data do suggest that a narrow pelagic corridor in the southern Scotia Sea hosted both chinstrap and Adelie penguins for most months of the year. Shared occupancy and similar isotopic signatures of the penguins in that region suggests that the potential for inter-specific competition persists during the winter months. Finally, we note that SIA was able to discriminate eastward versus westward migrations in penguins, suggesting that SIA of tail feathers may provide useful information on population-level distribution patterns for future studies.</t>
  </si>
  <si>
    <t>[Hinke, Jefferson T.; Goebel, Michael E.; Reiss, Christian S.; Trivelpiece, Wayne Z.; Watters, George M.] NOAA, Antarctic Ecosyst Res Div, Southwest Fisheries Sci Ctr, Natl Marine Fisheries Serv, La Jolla, CA 92037 USA; [Polito, Michael J.] Louisiana State Univ, Dept Oceanog &amp; Coastal Sci, Baton Rouge, LA 70803 USA; [Polito, Michael J.; Thorrold, Simon R.] Woods Hole Oceanog Inst, Dept Biol, Woods Hole, MA 02543 USA; [Jarvis, Sharon] SeaWorld, Aviculture Dept, Orlando, FL 32821 USA</t>
  </si>
  <si>
    <t>National Oceanic Atmospheric Admin (NOAA) - USA; Louisiana State University System; Louisiana State University; Woods Hole Oceanographic Institution</t>
  </si>
  <si>
    <t>Hinke, JT (corresponding author), NOAA, Antarctic Ecosyst Res Div, Southwest Fisheries Sci Ctr, Natl Marine Fisheries Serv, La Jolla, CA 92037 USA.</t>
  </si>
  <si>
    <t>Jefferson.Hinke@noaa.gov</t>
  </si>
  <si>
    <t>, Jefferson/AAG-1702-2021; Watters, George/HPE-2184-2023; Polito, Michael/G-9118-2012; Thorrold, Simon R/B-7565-2012</t>
  </si>
  <si>
    <t>, Jefferson/0000-0002-3600-1414; Watters, George/0000-0002-6989-1273; Polito, Michael/0000-0001-8639-4431;</t>
  </si>
  <si>
    <t>National Marine Sanctuary Foundation; Ocean Life Institute; SeaWorld Bush Gardens Conservation Fund; Woods Hole Oceanographic Devonshire Scholarship</t>
  </si>
  <si>
    <t>We thank M. Mudge, N. Cook, M. Goh, S. Trivel-piece, P. Chilton, B. Soucie, M. Henschen, C. Bishop, and A. Bertoldi for assistance deploying and recovering tags for this study. Funds for the GLS tags were provided by the National Marine Sanctuary Foundation. Thank you also to S. Branch and the aviculture department at SeaWorld Orlando for assistance in measuring penguin tail feather growth rates. Additional support for this project was provided by a Woods Hole Oceanographic Devonshire Scholarship as well as funding from the Ocean Life Institute and SeaWorld Bush Gardens Conservation Fund to MJP. Reference to any specific commercial products, process, or service by trade name, trademark, manufacturer, or otherwise, does not constitute or imply its recommendation, or favoring by the United States Government or NOAA/National Marine Fisheries Service. Use of information from this publication shall not be used for advertising or product endorsement purposes. The Antarctic fur seal portion of this study (mobile control tags) was conducted under the Marine Mammal Protection Act Permit #16472-01. All protocols were reviewed and approved by the UCSD IACUC.</t>
  </si>
  <si>
    <t>10.1890/ES14-00287.1</t>
  </si>
  <si>
    <t>CO2MV</t>
  </si>
  <si>
    <t>WOS:000358991500019</t>
  </si>
  <si>
    <t>Cutignano, A; Moles, J; Avila, C; Fontana, A</t>
  </si>
  <si>
    <t>Cutignano, Adele; Moles, Juan; Avila, Conxita; Fontana, Angelo</t>
  </si>
  <si>
    <t>Granuloside, A Unique Linear Homosesterterpene from the Antarctic Nudibranch Charcotia granulosa</t>
  </si>
  <si>
    <t>JOURNAL OF NATURAL PRODUCTS</t>
  </si>
  <si>
    <t>SESTERTERPENES; BIOSYNTHESIS; SPONGES; ISLAND</t>
  </si>
  <si>
    <t>A new homosesterterpene with a unique linear skeleton, named granuloside (1), has been fully characterized from the Antarctic nudibranch Charcotia granulosa Vayssiere, 1906 (Mollusca: Gastropoda). The planar structure of 1 was determined by extensive spectroscopic techniques on the methyl derivatives (la and 1b), and the R absolute configuration at C-4 is suggested by comparison of experimental and calculated ECD spectra of 1b. Granuloside (1) is the first linear homosesterterpene skeleton ever reported and, despite the low molecular complexity, its chemical structure poses many questions about its biogenesis and origin in the nudibranch.</t>
  </si>
  <si>
    <t>[Cutignano, Adele; Fontana, Angelo] CNR, Ist Chim Biomol, Bioorgan Chem Lab, I-80078 Naples, Italy; [Moles, Juan; Avila, Conxita] Univ Barcelona, Dept Anim Biol Invertebrates, E-08028 Barcelona, Catalonia, Spain; [Moles, Juan; Avila, Conxita] Univ Barcelona, Biodivers Res Inst IrBIO, E-08028 Barcelona, Catalonia, Spain</t>
  </si>
  <si>
    <t>Consiglio Nazionale delle Ricerche (CNR); Istituto di Chimica Biomolecolare (ICB-CNR); University of Barcelona; University of Barcelona</t>
  </si>
  <si>
    <t>Cutignano, A (corresponding author), CNR, Ist Chim Biomol, Bioorgan Chem Lab, Via Campi Flegrei 34, I-80078 Naples, Italy.</t>
  </si>
  <si>
    <t>adele.cutignano@icb.cnr.it</t>
  </si>
  <si>
    <t>Fontana, Angelo/AAO-2741-2021; Fontana, Angelo/C-3354-2012; Avila, Conxita/B-9466-2008; Cutignano, Adele/C-3343-2012; Moles, Juan/H-4786-2018</t>
  </si>
  <si>
    <t>Fontana, Angelo/0000-0002-5453-461X; Avila, Conxita/0000-0002-5489-8376; Cutignano, Adele/0000-0003-3035-9252; Moles, Juan/0000-0003-4511-4055</t>
  </si>
  <si>
    <t>PNRA Project [2009/A1.06]; CNR Project RITMARE; Spanish Government through the ACTIQUIM-II Project [CTM2010-17415/ANT]</t>
  </si>
  <si>
    <t>PNRA Project; CNR Project RITMARE; Spanish Government through the ACTIQUIM-II Project</t>
  </si>
  <si>
    <t>The work was supported by the PNRA Project 2009/A1.06, the CNR Project RITMARE and the Spanish Government through the ACTIQUIM-II Project (CTM2010-17415/ANT). Thanks are due to C. Angulo, M. Bas, J. Cristobo, L. Nunez-Pons, A. Riesgo, and S. Taboada for diving support in the South Shetland Islands and to the crews of the Las Palmas, the BIO Hesperides as well as of the Gabriel de Castilla Spanish Antarctic Base which provided logistic support during the ACTIQUIM-3 and -4 cruises. The Gaussian Technical Support is acknowledged for kind assistance. D. Melck (Servizio NMR of ICB-CNR) is also kindly acknowledged for recording spectra.</t>
  </si>
  <si>
    <t>0163-3864</t>
  </si>
  <si>
    <t>1520-6025</t>
  </si>
  <si>
    <t>J NAT PROD</t>
  </si>
  <si>
    <t>J. Nat. Prod.</t>
  </si>
  <si>
    <t>10.1021/acs.jnatprod.5b00378</t>
  </si>
  <si>
    <t>Plant Sciences; Chemistry, Medicinal; Pharmacology &amp; Pharmacy</t>
  </si>
  <si>
    <t>Science Citation Index Expanded (SCI-EXPANDED); Index Chemicus (IC)</t>
  </si>
  <si>
    <t>Plant Sciences; Pharmacology &amp; Pharmacy</t>
  </si>
  <si>
    <t>CN8OH</t>
  </si>
  <si>
    <t>WOS:000358700000039</t>
  </si>
  <si>
    <t>Bukharov, MV</t>
  </si>
  <si>
    <t>Bukharov, M. V.</t>
  </si>
  <si>
    <t>Identification of the properties of the Arctic and Antarctic ice cover from the MTVZA-GYa microwave radiometer data</t>
  </si>
  <si>
    <t>Microwave radiometer; scattering index; sea ice; ice thickness; age of ice; compacting</t>
  </si>
  <si>
    <t>Considered is the correspondence between the identification of sea ice properties using the scattering index (SI) computed from the results of measurements accomplished with MTVZA-GYa and AMSU microwave radiometers that register heat radiation at the different angles of incidence. In the framework of the model of the homogeneous ice layer located on the strongly absorbing surface, the difference is specified in the value of the thickness of thin and young ice using the measurements of these radiometers. It is revealed that the minimum values of SI computed from the MTVZA-GYa radiometer data are highly sensitive to the scattering inhomogeneities in the uppermost ice cover layer. Corroborated is the considerable daily variability of SI of the Arctic and Antarctic ice cover that can be an effect of the similar variability of internal stresses and concentration of ice.</t>
  </si>
  <si>
    <t>Planeta Res Ctr Space Hydrometeorol, Moscow 123242, Russia</t>
  </si>
  <si>
    <t>Bukharov, MV (corresponding author), Planeta Res Ctr Space Hydrometeorol, Bolshoi Predtechenskii Per 7, Moscow 123242, Russia.</t>
  </si>
  <si>
    <t>bmv@planet.iitp.ru</t>
  </si>
  <si>
    <t>10.3103/S1068373915070055</t>
  </si>
  <si>
    <t>CO1UV</t>
  </si>
  <si>
    <t>WOS:000358942100005</t>
  </si>
  <si>
    <t>Kletetschka, G; Hruba, J</t>
  </si>
  <si>
    <t>Kletetschka, Gunther; Hruba, Jolana</t>
  </si>
  <si>
    <t>Dissolved Gases and Ice Fracturing During the Freezing of a Multicellular Organism: Lessons from Tardigrades</t>
  </si>
  <si>
    <t>BIORESEARCH OPEN ACCESS</t>
  </si>
  <si>
    <t>cryopreservation; cryptobiosis; DNA damage; extracellular damage; survival</t>
  </si>
  <si>
    <t>NEMATODE PANAGROLAIMUS-DAVIDI; EUTARDIGRADE RICHTERSIUS-CORONIFER; ANTARCTIC NEMATODE; CRYOPROTECTIVE DEHYDRATION; COLD TOLERANCE; ANHYDROBIOTIC TARDIGRADES; MILNESIUM-TARDIGRADUM; RADIATION TOLERANCE; BELGICA-ANTARCTICA; IONIZING-RADIATION</t>
  </si>
  <si>
    <t>Three issues are critical for successful cryopreservation of multicellular material: gases dissolved in liquid, thermal conductivity of the tissue, and localization of microstructures. Here we show that heat distribution is controlled by the gas amount dissolved in liquids and that when changing the liquid into solid, the dissolved gases either form bubbles due to the absence of space in the lattice of solids and/or are migrated toward the concentrated salt and sugar solution at the cost of amount of heat required to be removed to complete a solid-state transition. These factors affect the heat distribution in the organs to be cryopreserved. We show that the gas concentration issue controls fracturing of ice when freezing. There are volumetric changes not only when changing the liquid into solid (volume increases) but also reduction of the volume when reaching lower temperatures (volume decreases). We discuss these issues parallel with observations of the cryosurvivability of multicellular organisms, tardigrades, and discuss their analogy for cryopreservation of large organs.</t>
  </si>
  <si>
    <t>[Kletetschka, Gunther; Hruba, Jolana] Charles Univ Prague, Fac Sci, Albertov 6, Prague 12843 2, Czech Republic; [Kletetschka, Gunther] Acad Sci Czech Republ, Inst Geol, Vvi, Prague, Czech Republic; [Kletetschka, Gunther] Univ Calif Berkeley, Lawrence Berkeley Natl Lab, Berkeley, CA 94720 USA</t>
  </si>
  <si>
    <t>Charles University Prague; Czech Academy of Sciences; Institute of Geology of the Czech Academy of Sciences; United States Department of Energy (DOE); Lawrence Berkeley National Laboratory; University of California System; University of California Berkeley</t>
  </si>
  <si>
    <t>Kletetschka, G (corresponding author), Charles Univ Prague, Fac Sci, Albertov 6, Prague 12843 2, Czech Republic.</t>
  </si>
  <si>
    <t>kletetschka@gmail.com</t>
  </si>
  <si>
    <t>Kletetschka, Gunther/AAA-2008-2021; Hruba, Jolana/K-4736-2015; Hruba, Jolana/H-6984-2017</t>
  </si>
  <si>
    <t>Kletetschka, Gunther/0000-0002-0645-9037; Hruba, Jolana/0000-0003-3400-5945</t>
  </si>
  <si>
    <t>Ministry of Education Youth and Sports [LK21303]; Research Plans of the Institute of Geology AS CR [RVO67985831]</t>
  </si>
  <si>
    <t>Ministry of Education Youth and Sports(Ministry of Education, Youth &amp; Sports - Czech Republic); Research Plans of the Institute of Geology AS CR</t>
  </si>
  <si>
    <t>Matthew Markley helped with the reading of this article and offered many suggestions. Tomoko Adachi, Karel Kletetschka, Vilem Mikula, Julia Bodnarik, Jay Chervenak, and Leva McIntire helped with experimental setups and data processing. G.K. was supported by the Ministry of Education Youth and Sports grant no. LK21303 and the Research Plans of the Institute of Geology AS CR No. RVO67985831.</t>
  </si>
  <si>
    <t>2164-7860</t>
  </si>
  <si>
    <t>BIORESEARCH OPEN ACC</t>
  </si>
  <si>
    <t>BioResearch Open Access</t>
  </si>
  <si>
    <t>10.1089/biores.2015.0008</t>
  </si>
  <si>
    <t>CL9QD</t>
  </si>
  <si>
    <t>WOS:000357312300020</t>
  </si>
  <si>
    <t>Ochyra, R; Crabtree, D; Tangney, R</t>
  </si>
  <si>
    <t>Ochyra, Ryszard; Crabtree, Dafydd; Tangney, Ray</t>
  </si>
  <si>
    <t>Studies on mosses in the Falkland Islands: I. Bucklandiella and Codriophorus (Grimmiaceae)</t>
  </si>
  <si>
    <t>CRYPTOGAMIE BRYOLOGIE</t>
  </si>
  <si>
    <t>Bryophyta; Bucklandiella; Codriophorus; geographical distribution; Racomitrioideae; Racomitrium; South America; taxonomy</t>
  </si>
  <si>
    <t>REGIONAL BRYOPHYTE RECORDS; ANTARCTIC SOUTH-GEORGIA; TAXONOMIC STATUS; NEW-ZEALAND; GENUS; MUSCI; AMERICA; AFRICA; FLORA; STRIATIPILA</t>
  </si>
  <si>
    <t>Bucklandiella didyma (Mont.) Bednarek-Ochyra et Ochyra and Codriophorus laevigatus (Mitt.) Bednarek-Ochyra et Ochyra are recorded for the first time from the Falkland Islands. Bucklandiella heterostichoides (Cardot) Bednarek-Ochyra et Ochyra, B. membranacea (Mitt.) Bednarek-Ochyra et Ochyra and B. ptychophylla (Mitt.) Bednarek-Ochyra et Ochyra are newly reported from East Falkland and B. sudetica (Funck) Bednarek-Ochyra et Ochyra is a new addition to the bryoflora of West Falkland. In total, seven species of Bucklandiella Roiv. are currently known from the Falkland Islands and they are briefly characterised, their geographical range is surveyed and global distribution of selected species is mapped. The status of five species of Bucklandiella which are excluded from the bryoflora of the archipelago is briefly considered. A key to determination of species of taxa of the Racomitrioideae in the Falkland Islands is presented.</t>
  </si>
  <si>
    <t>[Ochyra, Ryszard] Polish Acad Sci, Lab Bryol, Inst Bot, PL-31512 Krakow, Poland; [Tangney, Ray] Natl Museum Wales, Cardiff CF10 3NP, S Glam, Wales</t>
  </si>
  <si>
    <t>Polish Academy of Sciences</t>
  </si>
  <si>
    <t>Ochyra, R (corresponding author), Polish Acad Sci, Lab Bryol, Inst Bot, Ul Lubicz 46, PL-31512 Krakow, Poland.</t>
  </si>
  <si>
    <t>r.ochyra@botany.pl</t>
  </si>
  <si>
    <t>Crabtree, Dafydd Egryn/0000-0001-7502-8823; Ochyra, Ryszard/0000-0002-2541-0722</t>
  </si>
  <si>
    <t>Polish National Centre of Science [N N 303 796 940]; Institute of Botany of the Polish Academy of Sciences; United Kingdom Government through DEFRA; United Kingdom Government through Darwin Initiative; Falklands Conservation [1073859]; [DPLUS017]</t>
  </si>
  <si>
    <t>Polish National Centre of Science; Institute of Botany of the Polish Academy of Sciences; United Kingdom Government through DEFRA; United Kingdom Government through Darwin Initiative; Falklands Conservation;</t>
  </si>
  <si>
    <t>The contribution of the first author to this work was financially supported by the Polish National Centre of Science through grant No. N N 303 796 940 for Halina Bednarek-Ochyra and, partly, through the statutory fund of the Institute of Botany of the Polish Academy of Sciences. The contribution of the second authors to this account was financially supported by the United Kingdom Government through DEFRA and the Darwin Initiative. Funding was allocated to the Lower plants and lichen inventory and conservation in the Falkland Islands; Reference number: DPLUS017. Support in the form of fieldwork and advice regarding landowners was provided by Falklands Conservation; Charity number 1073859. Thanks are due to the Curators of the herbaria at AAS, BM, BR, H, LE, NY, PC and S for kindly allowing us to study specimens cited in the paper.</t>
  </si>
  <si>
    <t>1290-0796</t>
  </si>
  <si>
    <t>1776-0992</t>
  </si>
  <si>
    <t>CRYPTOGAMIE BRYOL</t>
  </si>
  <si>
    <t>Cryptogam. Bryol.</t>
  </si>
  <si>
    <t>10.7872/cryb/v36.iss3.2015.289</t>
  </si>
  <si>
    <t>CN6VI</t>
  </si>
  <si>
    <t>WOS:000358572000009</t>
  </si>
  <si>
    <t>Nunn, BL; Slattery, KV; Cameron, KA; Timmins-Schiffman, E; Junge, K</t>
  </si>
  <si>
    <t>Nunn, Brook L.; Slattery, Krystal V.; Cameron, Karen A.; Timmins-Schiffman, Emma; Junge, Karen</t>
  </si>
  <si>
    <t>Proteomics of Colwellia psychrerythraea at subzero temperatures - a life with limited movement, flexible membranes and vital DNA repair</t>
  </si>
  <si>
    <t>PSYCHROBACTER-ARCTICUS 273-4; BIOLOGICAL ICE NUCLEATORS; COLD SHOCK RESPONSE; SPECTRAL COUNT DATA; IN-SITU CONDITIONS; ANTARCTIC SEA-ICE; MOLECULAR ADAPTATIONS; TRANSCRIBED SEQUENCES; GLOBAL IDENTIFICATION; INVESTIGATE BACTERIA</t>
  </si>
  <si>
    <t>The mechanisms that allow psychrophilic bacteria to remain metabolically active at subzero temperatures result from form and function of their proteins. We present first proteomic evidence of physiological changes of the marine psychrophile Colwellia psychrerythraea 34H (Cp34H) after exposure to subzero temperatures (-1, and -10 degrees C in ice) through 8 weeks. Protein abundance was compared between different treatments to understand the effects of temperature and time, independently and jointly, within cells transitioning to, and being maintained in ice. Parallel [3H]-leucine and [3H]-thymidine incubations indicated active protein and DNA synthesis to -10 degrees C. Mass spectrometry-based proteomics identified 1763 proteins across four experimental treatments. Proteins involved in osmolyte regulation and polymer secretion were found constitutively present across all treatments, suggesting that they are required for metabolic success below 0 degrees C. Differentially abundant protein groups indicated a reallocation of resources from DNA binding to DNA repair and from motility to chemo-taxis and sensing. Changes to iron and nitrogen metabolism, cellular membrane structures, and protein synthesis and folding were also revealed. By elucidating vital strategies during life in ice, this study provides novel insight into the extensive molecular adaptations that occur in cold-adapted marine organisms to sustain cellular function in their habitat.</t>
  </si>
  <si>
    <t>[Nunn, Brook L.; Timmins-Schiffman, Emma] Univ Washington, Dept Genome Sci, Seattle, WA 98195 USA; [Slattery, Krystal V.; Cameron, Karen A.; Junge, Karen] Univ Washington, Appl Phys Lab, Polar Sci Ctr, Seattle, WA 98195 USA</t>
  </si>
  <si>
    <t>University of Washington; University of Washington Seattle; University of Washington; University of Washington Seattle</t>
  </si>
  <si>
    <t>Nunn, BL (corresponding author), Univ Washington, Dept Genome Sci, Box 355065, Seattle, WA 98195 USA.</t>
  </si>
  <si>
    <t>brookh@uw.edu</t>
  </si>
  <si>
    <t>Nunn, Brook/0000-0002-7361-4359; Slattery, Krystal/0000-0003-2557-7589; Cameron, Karen/0000-0003-4658-4913</t>
  </si>
  <si>
    <t>National Science Foundation [NSF-OCE 1233014, NSF -OPP 0739783, NSF-OPP 1023462, NSF-OPP 1304228]; Division Of Ocean Sciences; Directorate For Geosciences [1233014] Funding Source: National Science Foundation</t>
  </si>
  <si>
    <t>National Science Foundation(National Science Foundation (NSF)); Division Of Ocean Sciences; Directorate For Geosciences(National Science Foundation (NSF)NSF - Directorate for Geosciences (GEO))</t>
  </si>
  <si>
    <t>This work was supported by funding from several grants awarded by the National Science Foundation: NSF-OCE 1233014 (BLN, ETS); NSF -OPP 0739783; NSF-OPP 1023462, NSF-OPP 1304228 (KJ, KS, KAC). We thank Shelly Carpenter who performed bacterial abundance analysis and laboratory support, two anonymous reviewers that helped us reorganize this manuscript and Mike MacCoss for providing lab space during BLN's transition to the Department of Genome Sciences (UW). We would like to thank Yuval Boss for help on creating the flagellum graphic. BLN and ETS would like to thank TAN and IJE for keeping the project on target.</t>
  </si>
  <si>
    <t>10.1111/1462-2920.12691</t>
  </si>
  <si>
    <t>CN0OX</t>
  </si>
  <si>
    <t>WOS:000358114300013</t>
  </si>
  <si>
    <t>Ji, M; Barnwell, CV; Grunden, AM</t>
  </si>
  <si>
    <t>Ji, Mikyoung; Barnwell, Callie V.; Grunden, Amy M.</t>
  </si>
  <si>
    <t>Characterization of recombinant glutathione reductase from the psychrophilic Antarctic bacterium Colwellia psychrerythraea</t>
  </si>
  <si>
    <t>Colwellia psychrerythraea; Glutathione reductase; Psychrophile; Oxidative stress; Antioxidant enzyme</t>
  </si>
  <si>
    <t>SEA-ICE; ESCHERICHIA-COLI; HYDROGEN-PEROXIDE; OXIDATIVE STRESS; GENE-EXPRESSION; PURIFICATION; DEHYDROGENASE; SEQUENCE; ROLES; SPECIFICITY</t>
  </si>
  <si>
    <t>Glutathione reductases catalyze the reduction of oxidized glutathione (glutathione disulfide, GSSG) using NADPH as the substrate to produce reduced glutathione (GSH), which is an important antioxidant molecule that helps maintain the proper reducing environment of the cell. A recombinant form of glutathione reductase from Colwellia psychrerythraea, a marine psychrophilic bacterium, has been biochemically characterized to determine its molecular and enzymatic properties. C. psychrerythraea glutathione reductase was shown to be a homodimer with a molecular weight of 48.7 kDa using SDS-PAGE, MALDI-TOF mass spectrometry and gel filtration. The C. psychrerythraea glutathione reductase sequence shows significant homology to that of Escherichia coli glutathione reductase (66 % identity), and it possesses the FAD and NADPH binding motifs, as well as absorption spectrum features which are characteristic of flavoenzymes such as glutathione reductase. The psychrophilic C. psychrerythraea glutathione reductase exhibits higher k (cat) and k (cat)/K (m) at lower temperatures (4 A degrees C) compared to mesophilic Baker's yeast glutathione reductase. However, C. psychrerythraea glutathione reductase was able to complement an E. coli glutathione reductase deletion strain in oxidative stress growth assays, demonstrating the functionality of C. psychrerythraea glutathione reductase over a broad temperature range, which suggests its potential utility as an antioxidant enzyme in heterologous systems.</t>
  </si>
  <si>
    <t>[Ji, Mikyoung; Grunden, Amy M.] N Carolina State Univ, Dept Plant &amp; Microbial Biol, Raleigh, NC 27695 USA; [Barnwell, Callie V.] N Carolina State Univ, Dept Anim Sci, Raleigh, NC 27695 USA</t>
  </si>
  <si>
    <t>North Carolina State University; North Carolina State University</t>
  </si>
  <si>
    <t>Grunden, AM (corresponding author), N Carolina State Univ, Dept Plant &amp; Microbial Biol, 4550A Thomas Hall Campus Box 7612, Raleigh, NC 27695 USA.</t>
  </si>
  <si>
    <t>amy_grunden@ncsu.edu</t>
  </si>
  <si>
    <t>Grunden, Amy/0000-0002-8025-753X</t>
  </si>
  <si>
    <t>NASA's Institute for Advanced Concepts (NIAC); North Carolina Agriculture Research Station; Emerging Frontiers &amp; Multidisciplinary Activities; Directorate For Engineering [1332341] Funding Source: National Science Foundation</t>
  </si>
  <si>
    <t>NASA's Institute for Advanced Concepts (NIAC); North Carolina Agriculture Research Station; Emerging Frontiers &amp; Multidisciplinary Activities; Directorate For Engineering(National Science Foundation (NSF)NSF - Directorate for Biological Sciences (BIO)NSF - Directorate for Engineering (ENG))</t>
  </si>
  <si>
    <t>Support for this study was provided by NASA's Institute for Advanced Concepts (NIAC) and by the North Carolina Agriculture Research Station. The authors would like to thank Jason Whitham and Dr. Sherry Tove for assistance in editing the manuscript and Janet Kim for help with statistical analysis.</t>
  </si>
  <si>
    <t>CHIYODA FIRST BLDG EAST, 3-8-1 NISHI-KANDA, CHIYODA-KU, TOKYO, 101-0065, JAPAN</t>
  </si>
  <si>
    <t>10.1007/s00792-015-0762-1</t>
  </si>
  <si>
    <t>CN2YT</t>
  </si>
  <si>
    <t>WOS:000358290000015</t>
  </si>
  <si>
    <t>Komatsu, M; Fagan, TJ; Mikouchi, T; Petaev, MI; Zolensky, ME</t>
  </si>
  <si>
    <t>Komatsu, Mutsumi; Fagan, Timothy J.; Mikouchi, Takashi; Petaev, Michail I.; Zolensky, Michael E.</t>
  </si>
  <si>
    <t>LIME silicates in amoeboid olivine aggregates in carbonaceous chondrites: Indicator of nebular and asteroidal processes</t>
  </si>
  <si>
    <t>AL-RICH INCLUSIONS; UNEQUILIBRATED ORDINARY CHONDRITES; OXYGEN ISOTOPIC COMPOSITIONS; EARLY SOLAR-SYSTEM; CV3 CHONDRITES; REFRACTORY INCLUSIONS; ALLENDE METEORITE; AQUEOUS ALTERATION; FAYALITIC OLIVINE; DARK INCLUSIONS</t>
  </si>
  <si>
    <t>MnO/FeO ratios in olivine from amoeboid olivine aggregates (AOAs) reflect conditions of nebular condensation and can be used in concert with matrix textures to compare metamorphic conditions in carbonaceous chondrites. LIME (low-iron, Mn-enriched) olivine was identified in AOAs from Y-81020 (CO3.05), Kaba (CV similar to 3.1), and in Y-86009 (CV3), Y-86751 (CV3), NWA 1152 (CR/CV3), but was not identified in AOAs from Efremovka (CV3.1-3.4) or Allende (CV&gt;3.6). According to thermodynamic models of nebular condensation, LIME olivine is stable at lower temperatures than Mn-poor olivine and at low oxygen fugacities (dust enrichment &lt;10x solar). Although this set of samples does not represent a single metamorphic sequence, the higher subtypes tend to have AOA olivine with lower Mn/Fe, suggesting that Mn/Fe decreases during parent body metamorphism. Y-81020 has the lowest subtype and most forsteritic AOA olivine (Fo(&gt;95)) in our study, whereas Efremovka AOAs are slightly Fe-rich (Fo(&gt;92)). AOA olivines from Kaba are mostly forsteritic, but rare Fe-rich olivine precipitated from an aqueous fluid. A combination of precipitation of Fe-rich olivine and diffusion of Fe into primary olivine grains resulted in iron-rich compositions (Fo(97-59)) in Allende AOAs. Variations from fine-grained, nonporous matrix toward higher porosity and coarser lath-like matrix olivine can be divided into six stages represented by (1) Y-81020, Efremovka, NWA 1152; (2) Y-86751 lithology B; (3) Y-86009; (4) Kaba; (5) Y-86751 lithology A; (6) Allende. These stages are inferred to represent general degree of metamorphism, although the specific roles of thermally driven grain growth and diffusion versus aqueous dissolution and precipitation remain uncertain.</t>
  </si>
  <si>
    <t>[Komatsu, Mutsumi; Fagan, Timothy J.] Waseda Univ, Dept Earth Sci, Tokyo 1698050, Japan; [Komatsu, Mutsumi] Waseda Univ, Waseda Inst Adv Study, Tokyo 1698050, Japan; [Mikouchi, Takashi] Univ Tokyo, Dept Earth &amp; Planetary Sci, Tokyo 1130033, Japan; [Petaev, Michail I.] Harvard Univ, Dept Earth &amp; Planetary Sci, Cambridge, MA 02138 USA; [Petaev, Michail I.] Harvard Smithsonian Ctr Astrophys, Cambridge, MA 02138 USA; [Zolensky, Michael E.] NASA Johnson Space Ctr, ARES, Houston, TX 77058 USA</t>
  </si>
  <si>
    <t>Waseda University; Waseda University; University of Tokyo; Harvard University; Harvard University; Smithsonian Astrophysical Observatory; Smithsonian Institution; National Aeronautics &amp; Space Administration (NASA); NASA Johnson Space Center</t>
  </si>
  <si>
    <t>Komatsu, M (corresponding author), Waseda Univ, Dept Earth Sci, Tokyo 1698050, Japan.</t>
  </si>
  <si>
    <t>komatsu@aoni.waseda.jp</t>
  </si>
  <si>
    <t>Komatsu, Mutsumi/N-9483-2019; Mikouchi, Takashi/AAY-7355-2021; Komatsu, Mutsumi/O-7971-2018</t>
  </si>
  <si>
    <t>Komatsu, Mutsumi/0000-0003-4659-8418; Mikouchi, Takashi/0000-0002-9998-8754; Zolensky, Michael/0000-0002-3181-1303</t>
  </si>
  <si>
    <t>Japan Society for the Promotion of Science [24740358]; Waseda University Grant for Special Research Projects [2013A-097]; NASA Cosmochemistry Program; LARS Program; Grants-in-Aid for Scientific Research [24740358, 15K05339] Funding Source: KAKEN</t>
  </si>
  <si>
    <t>Japan Society for the Promotion of Science(Ministry of Education, Culture, Sports, Science and Technology, Japan (MEXT)Japan Society for the Promotion of Science); Waseda University Grant for Special Research Projects; NASA Cosmochemistry Program(National Aeronautics &amp; Space Administration (NASA)); LARS Program; Grants-in-Aid for Scientific Research(Ministry of Education, Culture, Sports, Science and Technology, Japan (MEXT)Japan Society for the Promotion of ScienceGrants-in-Aid for Scientific Research (KAKENHI))</t>
  </si>
  <si>
    <t>We thank the Japanese National Institute of Polar Research (NIPR) for sample allocation of Antarctic meteorites and Efremovka. We thank Naoji Sugiura for discussions on condensation of AOAs. Parts of this work have been presented previously at meetings, where we have benefited from discussions with Alexander N. Krot, Denton Ebel, Herbert Palme, and Munir Humayun, among many others. This work was supported by Grant-in-Aid for JSPS Fellows, JSPS Grant-in-Aid for Young Scientists (B) from Japan Society for the Promotion of Science (no. 24740358 to MK), and a Waseda University Grant for Special Research Projects (2013A-097 to MK). MEZ acknowledges support from the NASA Cosmochemistry and LARS Programs. We thank Mike Weisberg, Dominik Hezel, and an anonymous reviewer for insightful reviews, and Gretchen Benedix for editorial guidance.</t>
  </si>
  <si>
    <t>10.1111/maps.12460</t>
  </si>
  <si>
    <t>CN0TH</t>
  </si>
  <si>
    <t>WOS:000358126000008</t>
  </si>
  <si>
    <t>Fiddes, SL; Pezza, AB; Barras, V</t>
  </si>
  <si>
    <t>Fiddes, Sonya Louise; Pezza, Alexandre Bernardes; Barras, Vaughan</t>
  </si>
  <si>
    <t>A new perspective on Australian snow</t>
  </si>
  <si>
    <t>snowfall; Australia; climate; trends</t>
  </si>
  <si>
    <t>CLIMATE-CHANGE; SUBTROPICAL RIDGE; PROJECTIONS; OSCILLATION; MOUNTAINS; RAINFALL; DECLINE; TRENDS; INDEX</t>
  </si>
  <si>
    <t>The Australian Alps have a unique climatological, ecological and hydrological environment and play a key role in water supply for southeastern Australia. Using resort observations we compile a new and robust snow accumulation data set. Both maximum snow depth and total snow accumulation have declined over the last 25 years. A significant decreasing trend was observed for the total number of light snow days, whereas the total number of heavy snow occurrences has remained constant. Maximum temperatures are highly related to all snow variables. It is suggested that global warming is already impacting light snowfall events, while heavy events are less affected.</t>
  </si>
  <si>
    <t>[Fiddes, Sonya Louise; Pezza, Alexandre Bernardes; Barras, Vaughan] Univ Melbourne, Sch Earth Sci, Parkville, Vic 3010, Australia</t>
  </si>
  <si>
    <t>University of Melbourne</t>
  </si>
  <si>
    <t>Fiddes, SL (corresponding author), Univ Melbourne, Sch Earth Sci, Parkville, Vic 3010, Australia.</t>
  </si>
  <si>
    <t>sonya.fiddes@unimelb.edu.au</t>
  </si>
  <si>
    <t>Fiddes, Sonya/ABA-7818-2020; Fiddes, Sonya L./HKM-5559-2023</t>
  </si>
  <si>
    <t>Fiddes, Sonya/0000-0002-2752-0845; Fiddes, Sonya L./0000-0002-2752-0845</t>
  </si>
  <si>
    <t>S. Fiddes and A. Pezza would like to acknowledge and thank Blair Trewin (BOM), Leanne Webb (CSIRO), Falls Creek Resort Management Board/Falls Creek Ski Lift Company, Mount Hotham Resort Management, Mount Buller and Mount Stirling Resort Management/Mount Buller Ski Lift PTY LTD and the Alpine Resorts Coordinating Council for access to the rainfall, climate projection and snowfall data used in this study. A. Pezza would also like to thank the Australian Antarctic Division for funding parts of this work. The authors have no conflict of interest to declare.</t>
  </si>
  <si>
    <t>10.1002/asl2.549</t>
  </si>
  <si>
    <t>CM9HW</t>
  </si>
  <si>
    <t>WOS:000358020000009</t>
  </si>
  <si>
    <t>Oliva, M; Ruiz-Fernández, J</t>
  </si>
  <si>
    <t>Oliva, Marc; Ruiz-Fernandez, Jesus</t>
  </si>
  <si>
    <t>Coupling patterns between para-glacial and permafrost degradation responses in Antarctica</t>
  </si>
  <si>
    <t>EARTH SURFACE PROCESSES AND LANDFORMS</t>
  </si>
  <si>
    <t>Elephant Point; Antarctica; climate warming; permafrost; para-glacial dynamics</t>
  </si>
  <si>
    <t>SOUTH-SHETLAND-ISLANDS; RETROGRESSIVE THAW SLUMP; LIVINGSTON-ISLAND; NORTHERN ICELAND; YUKON-TERRITORY; WEST ANTARCTICA; HERSCHEL ISLAND; ICE; PENINSULA; MORAINE</t>
  </si>
  <si>
    <t>The recently deglaciated environments in maritime permafrost regions are usually affected by very active paraglacial processes. Elephant Point is an ice-free area of 1.16 km2 located in the SW of Livingston island (South Shetland Islands, Antarctica). Between 1956-2010 the retreat of the ice cap covering most part of this island has exposed 17.3% of the land surface in this peninsula. Two geomorphological units were identified in this new ice-free area: a moraine extending from the western to the eastern coastlines and a relatively flat proglacial surface. The glacier in 1956 sat in contact with the northern slope of the moraine, but its accelerated retreat-in parallel to the warming trend recorded in the Antarctic Peninsula-left these areas free of glacier ice. Subsequently, the postglacial evolution was controlled by the relaxation phase typical of paraglacial systems. The typology and intensity of geomorphological processes show a significantly different dynamics between the southern and northern slopes of the moraine. This pattern is related to the different stage of paraglacial adjustment in both slopes. In the southern side, on coarser sediments, pronival ramparts, debris flows and alluvial fans are distributed, with a low to moderate activity of slope processes. In the northern side, mass wasting processes are extremely active on fine-grained unconsolidated sediments. Ice-rich permafrost is being degraded by thermokarst processes. Landslides and mudflows transfer large amounts of sediments down-slope. The surface affected by retrogressive-thaw slumps in the moraine has been quantified in 24,172 m2, which accounts for 9.6% of its surface. The abundance of kettle-lakes is also indicative of the degradation of the ground ice. Paraglacial processes are expected to continue in the moraine and proglacial area in the near future, although their intensity and duration will depend on the magnitude and rate of future climate trends in the northern Antarctic Peninsula. Copyright (c) 2015 John Wiley &amp; Sons, Ltd.</t>
  </si>
  <si>
    <t>[Oliva, Marc] Univ Lisbon, Inst Geog &amp; Spatial Planning, Ctr Geog Studies, P-1699 Lisbon, Portugal; [Ruiz-Fernandez, Jesus] Univ Oviedo, Dept Geog, Oviedo, Spain</t>
  </si>
  <si>
    <t>Universidade de Lisboa; University of Oviedo</t>
  </si>
  <si>
    <t>Oliva, M (corresponding author), Univ Lisbon, Inst Geog &amp; Spatial Planning, Ctr Geog Studies, P-1699 Lisbon, Portugal.</t>
  </si>
  <si>
    <t>oliva_marc@yahoo.com</t>
  </si>
  <si>
    <t>; Oliva, Marc/K-5423-2014</t>
  </si>
  <si>
    <t>Ruiz-Fernandez, Jesus/0000-0001-7161-3320; Oliva, Marc/0000-0001-6521-6388</t>
  </si>
  <si>
    <t>Portuguese Science Foundation [PTDC/CTE-GIX/119582/2010]; PROPOLAR (Portuguese Polar Programme); AXA Research Fund; Fundação para a Ciência e a Tecnologia [PTDC/CTE-GIX/119582/2010] Funding Source: FCT</t>
  </si>
  <si>
    <t>Portuguese Science Foundation(Fundacao para a Ciencia e a Tecnologia (FCT)); PROPOLAR (Portuguese Polar Programme); AXA Research Fund(AXA Research Fund); Fundação para a Ciência e a Tecnologia(Fundacao para a Ciencia e a Tecnologia (FCT))</t>
  </si>
  <si>
    <t>This research has been funded by the Portuguese Science Foundation through the projects HOLOANTAR (Holocene environmental change in the Maritime Antarctic. Interactions Between permafrost and the lacustrine environment, reference PTDC/CTE-GIX/119582/2010) and PROPOLAR (Portuguese Polar Programme). Special thanks also to the invaluable support in the field of the Brazilian and Chilean Antarctic Programmes. Marc Oliva acknowledges the AXA Research Fund for funding a postdoctoral research contract during which this paper was written. The authors also thank Prof Dr Goncalo Viera (University of Lisbon) for supporting our fieldwork logistics as well as Prof Dr Paulo Pereira (Mykolas Romeris University) and Prof Dr James Bockheim (University of Wisconsin-Madison) for his constructive comments on an earlier draft of this paper.</t>
  </si>
  <si>
    <t>0197-9337</t>
  </si>
  <si>
    <t>1096-9837</t>
  </si>
  <si>
    <t>EARTH SURF PROC LAND</t>
  </si>
  <si>
    <t>Earth Surf. Process. Landf.</t>
  </si>
  <si>
    <t>10.1002/esp.3716</t>
  </si>
  <si>
    <t>CM3PB</t>
  </si>
  <si>
    <t>WOS:000357593600009</t>
  </si>
  <si>
    <t>Teterin, DE; Dubinin, EP; Udintsev, GB</t>
  </si>
  <si>
    <t>Teterin, D. E.; Dubinin, E. P.; Udintsev, G. B.</t>
  </si>
  <si>
    <t>Deep Structure and Isostasy of the Central Scotia Sea</t>
  </si>
  <si>
    <t>IZVESTIYA-PHYSICS OF THE SOLID EARTH</t>
  </si>
  <si>
    <t>GRAVITY; MODEL; DENSITY; CRUSTAL; LOAD</t>
  </si>
  <si>
    <t>About 30 Ma ago in the Early Oligocene, the Drake Passage started to open and the Scotia lithospheric plate started to form. Although extensively studied during the past decade, the tectonic structure and evolution of the plate are still largely unclear. According to present-day notions, three large blocks-western, central, and eastern-are distinguished within the plate by the morphological features of undersea topography and anomalous geophysical fields in different reductions. From the standpoint of the origin and evolution, the central block is most interesting. In this work, we have studied the peculiar features of the deep structure and mechanism of isostatic equilibration for the central part of this plate using density modeling and cross-spectral analyzing. The density model has been constructed along the free-air gravity profile that intersects the central part of the Scotia Sea from the southeast to the northwest. The model estimates of crustal density are slightly lower than the average density of the oceanic crust and vary within 2.65 to 2.75 g/cm(3). The transfer functions between the bathymetry and free-air gravity anomalies (gravitational admittance) have been calculated. By comparing the predicted and empirical transfer functions, we determined the mechanism of isostatic compensation and estimated the depths of the compensating boundaries. Together with the results of morphological analysis on undersea topography and geophysical fields (Teterin et al., 2015), these estimates suggest that the central Scotia Sea probably followed a different evolution scenario than the commonly accepted spreading model. This part of the Scotia Sea is probably a large fragment of the continental bridge that connected the South America with Antarctic and sank due to the heating and extension of the continental lithosphere.</t>
  </si>
  <si>
    <t>[Teterin, D. E.; Udintsev, G. B.] Russian Acad Sci, Vernadsky Inst Geochem &amp; Analyt Chem, Moscow 119991, Russia; [Dubinin, E. P.] Moscow MV Lomonosov State Univ, Museum Nat Hist, Earth Sci Museum, Moscow 119991, Russia</t>
  </si>
  <si>
    <t>Russian Academy of Sciences; Vernadsky Institute of Geochemistry &amp; Analytical Chemistry; Lomonosov Moscow State University</t>
  </si>
  <si>
    <t>Teterin, DE (corresponding author), Russian Acad Sci, Vernadsky Inst Geochem &amp; Analyt Chem, Ul Kosygina 19, Moscow 119991, Russia.</t>
  </si>
  <si>
    <t>d_e_teterin@mail.ru</t>
  </si>
  <si>
    <t>Russian Foundation for Basic Research [12-05-582, 12-05-528]</t>
  </si>
  <si>
    <t>The work was supported by the Russian Foundation for Basic Research (grants nos. 12-05-582 and 12-05-528).</t>
  </si>
  <si>
    <t>1069-3513</t>
  </si>
  <si>
    <t>1555-6506</t>
  </si>
  <si>
    <t>IZV-PHYS SOLID EART+</t>
  </si>
  <si>
    <t>Izv.-Phys. Solid Earth</t>
  </si>
  <si>
    <t>10.1134/S1069351315030180</t>
  </si>
  <si>
    <t>CM9VB</t>
  </si>
  <si>
    <t>WOS:000358056100002</t>
  </si>
  <si>
    <t>Geller, MA; Zhou, TH; Love, PT</t>
  </si>
  <si>
    <t>Geller, Marvin A.; Zhou, Tiehan; Love, Peter T.</t>
  </si>
  <si>
    <t>Tropical Gravity Wave Momentum Fluxes and Latent Heating Distributions</t>
  </si>
  <si>
    <t>DRAG PARAMETERIZATION; TRMM MEASUREMENTS; CLIMATE MODELS; PART I; CONVECTION; SPECTRUM</t>
  </si>
  <si>
    <t>Recent satellite determinations of global distributions of absolute gravity wave (GW) momentum fluxes in the lower stratosphere show maxima over the summer subtropical continents and little evidence of GW momentum fluxes associated with the intertropical convergence zone (ITCZ). This seems to be at odds with parameterizations for GW momentum fluxes, where the source is a function of latent heating rates, which are largest in the region of the ITCZ in terms of monthly averages. The authors have examined global distributions of atmospheric latent heating, cloud-top-pressure altitudes, and lower-stratosphere absolute GW momentum fluxes and have found that monthly averages of the lower-stratosphere GW momentum fluxes more closely resemble the monthly mean cloud-top altitudes rather than the monthly mean rates of latent heating. These regions of highest cloud-top altitudes occur when rates of latent heating are largest on the time scale of cloud growth. This, plus previously published studies, suggests that convective sources for stratospheric GW momentum fluxes, being a function of the rate of latent heating, will require either a climate model to correctly model this rate of latent heating or some ad hoc adjustments to account for shortcomings in a climate model's land-sea differences in convective latent heating.</t>
  </si>
  <si>
    <t>[Geller, Marvin A.] SUNY Stony Brook, Stony Brook, NY 11794 USA; [Zhou, Tiehan] NASA Goddard Inst Space Studies, New York, NY USA; [Zhou, Tiehan] Columbia Univ, Ctr Climate Syst Res, New York, NY USA; [Love, Peter T.] Australian Antarctic Div, Kingston, Tas, Australia</t>
  </si>
  <si>
    <t>State University of New York (SUNY) System; State University of New York (SUNY) Stony Brook; National Aeronautics &amp; Space Administration (NASA); NASA Goddard Space Flight Center; Goddard Institute for Space Studies; Columbia University; Australian Antarctic Division</t>
  </si>
  <si>
    <t>Geller, MA (corresponding author), SUNY Stony Brook, 111 Endeavour Hall, Stony Brook, NY 11794 USA.</t>
  </si>
  <si>
    <t>marvin.geller@sunysb.edu</t>
  </si>
  <si>
    <t>Love, Peter/O-6421-2017</t>
  </si>
  <si>
    <t>Love, Peter/0000-0001-7840-0467; Zhou, Tiehan/0000-0001-8398-1358</t>
  </si>
  <si>
    <t>NASA's Earth Science Modeling and Analysis program; NSF's Climate and Large-Scale Dynamics program; Div Atmospheric &amp; Geospace Sciences; Directorate For Geosciences [1101258] Funding Source: National Science Foundation</t>
  </si>
  <si>
    <t>NASA's Earth Science Modeling and Analysis program; NSF's Climate and Large-Scale Dynamics program(National Science Foundation (NSF)NSF - Directorate for Geosciences (GEO)); Div Atmospheric &amp; Geospace Sciences; Directorate For Geosciences(National Science Foundation (NSF)NSF - Directorate for Geosciences (GEO))</t>
  </si>
  <si>
    <t>This research has been supported by research grants from NASA's Earth Science Modeling and Analysis program and NSF's Climate and Large-Scale Dynamics program. We thank Dr. M. Joan Alexander for providing the satellite-derived GWMFs, and we acknowledge very useful discussions with Drs. Alexander and H.-Y. Chun. Finally, we also acknowledge three very perceptive sets of comments from anonymous reviewers.</t>
  </si>
  <si>
    <t>10.1175/JAS-D-15-0020.1</t>
  </si>
  <si>
    <t>CM3OY</t>
  </si>
  <si>
    <t>Green Accepted, Green Submitted, Bronze</t>
  </si>
  <si>
    <t>WOS:000357593300013</t>
  </si>
  <si>
    <t>Roux, JP; Braby, RJ; Best, PB</t>
  </si>
  <si>
    <t>Roux, Jean-Paul; Braby, Rod J.; Best, Peter B.</t>
  </si>
  <si>
    <t>Does disappearance mean extirpation? The case of right whales off Namibia</t>
  </si>
  <si>
    <t>southern right whale; Eubalaena australis; Namibia; South Africa; movements; subpopulation; recovery</t>
  </si>
  <si>
    <t>SOUTHERN RIGHT WHALES; EUBALAENA-AUSTRALIS; WEST-COAST; MOVEMENTS; AFRICA; SEASONALITY; GLACIALIS</t>
  </si>
  <si>
    <t>Right whales off Namibia were severely depleted by early 19th century whaling, and rarely featured in modern whaling catches in the 1920s. Aerial surveys of the Namibian coastline from 1978 and onwards revealed increasing numbers of right whales, but few cow-calf pairs. Aerial surveys off South Africa since 2009 showed a major decline in the availability of animals without calves. Twenty individual matches were made between 94 whales photographed off Namibia/Northern Cape in 2003-2012 and 1,677 photographed off South Africa in 1979-2012. Eight were adult females that calved in South African waters, but only one was also seen with a calf off Namibia. Twelve out of 13 individuals off Namibia with distinctive dorsal pigmentation were first seen as calves off South Africa. These results strongly indicate connectivity between the two regions, while the presence off Namibia of three adult females from the South African population in the season in which they are believed to conceive suggests that there is unlikely to be any genetic differentiation between the two areas. We conclude that the reappearance of right whales off Namibia represents range expansion from South Africa rather than the survival of a few remnants of an originally separate stock.</t>
  </si>
  <si>
    <t>[Roux, Jean-Paul] Minist Fisheries &amp; Marine Resources, Luderitz Marine Res, Luderitz, Namibia; [Roux, Jean-Paul] Univ Cape Town, Dept Biol Sci, Anim Demog Unit, ZA-7701 Cape Town, South Africa; [Braby, Rod J.] Namibian Coast Conservat &amp; Management Project, Swakopmund, Namibia; [Best, Peter B.] Univ Pretoria, Mammal Res Inst, Iziko S African Museum, ZA-8000 Cape Town, South Africa</t>
  </si>
  <si>
    <t>University of Cape Town; University of Pretoria</t>
  </si>
  <si>
    <t>Roux, JP (corresponding author), Minist Fisheries &amp; Marine Resources, Luderitz Marine Res, POB 394, Luderitz, Namibia.</t>
  </si>
  <si>
    <t>jprouxnamibia@gmail.com</t>
  </si>
  <si>
    <t>Benguela Environment Fisheries Interaction &amp; Training Programme (BENEFIT); Namibian Coast Conservation and Management Project (NACOMA); The Namibia Nature Foundation (NNF); Department of Industries; Department of Transport (through the SA National Antarctic Programme); South African Marine Corporation; World Wide Fund for Nature (SA); The Green Trust; Moby Dick Rum; Exclusive Touch; International Whaling Commission; Island Foundation; National Research Foundation</t>
  </si>
  <si>
    <t>Permission to cite the French whaling abstracts was kindly provided by M. Philippe Heurat, Archives de la Marine, Archives Nationales, Paris, France. Aerial surveys in Namibia from 2003 to 2005 were funded by the Benguela Environment Fisheries Interaction &amp; Training Programme (BENEFIT), Subsequent surveys were supported by the Namibian Coast Conservation and Management Project (NACOMA), and The Namibia Nature Foundation (NNF). G. Noli contributed some aerial time in 2006. The donation of helicopter time at very short notice by SAMICOR is much appreciated. P. A. Bartlett, G. Berens, K. Grobler, J. Kemper, H. Metzger, S. Metzger, and R. Rossler are thanked for contributing images taken at sea and for sharing their observations and their support. Claudio Velasques Rojas of Homebrew Films kindly provided images of right whales from the Northern Cape, and the South African Whale Disentanglement Network supplied information on gear removed from an entangled right whale. Thanks are due to a host of pilots and observers who have participated in the South African surveys over the years: the latter include M. A. Meyer, K. A. Smith, J. Bassett, K. P. Findlay, C. Potts, K. Sekiguchi, M. Samson, D. Reeb, S. H. Elwen, I. Ferreira, L. Karczmarski, I. Peters, and M. Thornton. Sponsors have included Department of Industries (and its successors), Department of Transport (through the SA National Antarctic Programme), South African Marine Corporation, World Wide Fund for Nature (SA), The Green Trust, Moby Dick Rum, Exclusive Touch, International Whaling Commission, the Island Foundation, and National Research Foundation. Lex Hiby, Phil Lovell, and Mike Harfoot (Conservation Research, U.K.) are thanked for their development of the matching software and associated data base, and Desray Reeb for her efforts in setting up the South African matching system, with Simon Elwen and Jaco Barendse's assistance in digitizing the existing catalog. Ingrid Peters provided advice on programming issues which is much appreciated, while Sophie Kohler (Animal Demography Unit, UCT) kindly contributed her mapping skills. This paper is a contribution to the SEACODE research group in Namibia.</t>
  </si>
  <si>
    <t>10.1111/mms.12213</t>
  </si>
  <si>
    <t>CM8WD</t>
  </si>
  <si>
    <t>WOS:000357982300017</t>
  </si>
  <si>
    <t>Trickey, JS; Baumann-Pickering, S; Hildebrand, JA; Reyes, MVR; Melcón, M; Iñíguez, M</t>
  </si>
  <si>
    <t>Trickey, Jennifer S.; Baumann-Pickering, Simone; Hildebrand, John A.; Reyes Reyes, Maria Vanesa; Melcon, Mariana; Iniguez, Miguel</t>
  </si>
  <si>
    <t>Antarctic beaked whale echolocation signals near South Scotia Ridge</t>
  </si>
  <si>
    <t>CLICKS; ISLANDS</t>
  </si>
  <si>
    <t>[Trickey, Jennifer S.; Baumann-Pickering, Simone; Hildebrand, John A.] Univ Calif San Diego, Scripps Inst Oceanog, La Jolla, CA 92093 USA; [Reyes Reyes, Maria Vanesa; Melcon, Mariana; Iniguez, Miguel] Fdn Cethus, Olivos, Buenos Aires, Argentina; [Iniguez, Miguel] Whale &amp; Dolphin Conservat, Olivos, Buenos Aires, Argentina</t>
  </si>
  <si>
    <t>University of California System; University of California San Diego; Scripps Institution of Oceanography</t>
  </si>
  <si>
    <t>Trickey, JS (corresponding author), Univ Calif San Diego, Scripps Inst Oceanog, 9500 Gilman Dr, La Jolla, CA 92093 USA.</t>
  </si>
  <si>
    <t>trickeyj@gmail.com</t>
  </si>
  <si>
    <t>Hildebrand, John A/ABA-6213-2022; Baumann-Pickering, Simone/AFO-9717-2022</t>
  </si>
  <si>
    <t>Hildebrand, John A/0000-0002-5418-9799; Baumann-Pickering, Simone/0000-0002-3428-3577; Trickey, Jennifer/0000-0002-6080-8744</t>
  </si>
  <si>
    <t>University of California San Diego Academic Senate; National Scientific and Technical Research Council (CONICET); Whale and Dolphin Conservation</t>
  </si>
  <si>
    <t>University of California San Diego Academic Senate; National Scientific and Technical Research Council (CONICET)(Consejo Nacional de Investigaciones Cientificas y Tecnicas (CONICET)); Whale and Dolphin Conservation</t>
  </si>
  <si>
    <t>We thank F. Chang, K. Frasier, R. Griswold, J. Hurwitz, B. Pickering, M. Roch, A. Sirovic, B. Thayre, and S. Wiggins for gear and logistical help. We also thank the Prefectura Naval Argentina and the officers and crew of the vessel SB-15 Tango for their assistance with fieldwork. Funding for this project was provided by the University of California San Diego Academic Senate, the National Scientific and Technical Research Council (CONICET), and the Whale and Dolphin Conservation.</t>
  </si>
  <si>
    <t>10.1111/mms.12216</t>
  </si>
  <si>
    <t>WOS:000357982300025</t>
  </si>
  <si>
    <t>Harrowfield, DL</t>
  </si>
  <si>
    <t>Harrowfield, David L.</t>
  </si>
  <si>
    <t>'For the sake of science and country': the Ross Sea party 1914-1917</t>
  </si>
  <si>
    <t>In December 1913 Sir Ernest Shackleton released a prospectus and announced The Imperial Trans-Antarctic Expedition. His goal was to undertake the first crossing of Antarctica from the Weddell Sea via the polar plateau to McMurdo Sound on the Ross Sea. The journey had already been attempted by Wilhelm Filchner whose ship Deutschland, had become beset in the Weddell Sea ice for nine months in 1912. Shackleton aimed 'to make all possible scientific observations on [the Trans-Antarctic] journey; to carry on similar work by parties operating from the two bases on the Weddell and Ross Seas [and] to carry on scientific work, and travel unknown portions of the coastline, by the two ships of the expedition' (Shackleton 1913: 3). With Endurance a continental crossing party of six led by Shackleton would begin from the Weddell Sea and a supporting depot laying party led by Nimrod veteran Lieutenant Aeneas L.A. Mackintosh RNR, with the auxiliary barquentine Aurora based in McMurdo Sound. Unbeknown to each party, both experienced problems beyond their control. Endurance was holed and sank in the Weddell Sea and Aurora locked in ice, although damaged, reached New Zealand. Here the ship was repaired and then undertook a relief expedition with Shackleton as a passenger, to McMurdo Sound. In spite of these major setbacks each party conducted valuable scientific observations. When Shackleton published his book South (Shackleton 1919) on the expedition, compiled with New Zealand journalist and friend Edward Saunders, with exception of accounts on the Ross Sea party sledging and drift of the ship Aurora, no recognition was given to work undertaken by the four Ross Sea party scientists and an assistant. Later publications have focused on the depot-laying, while books on Antarctic science have largely overlooked the science undertaken. The purpose of this paper is to make this better known, and to give credit to the four scientists involved. The science conducted although primarily concerned with meteorological observations, also covers limited glaciological observations including the ablation of lake ice, solution of glacier ice in salt water, tidal recordings, collection of zoological and other specimens, along with the use of improvised equipment to undertake observations. The science achieved was secondary to the field work. The Ross Sea party science was done however, under conditions not normally conducive for such field work with health issues a major contributing factor. A lack of funding, equipment, personality problems, concern for Aurora and crew, uncertainty of Shackleton's Antarctic crossing and their own relief, led to depression, sleeplessness and insomnia.</t>
  </si>
  <si>
    <t>Polar Room, North Otago, New Zealand</t>
  </si>
  <si>
    <t>Harrowfield, DL (corresponding author), Polar Room, 23 Leven St,Oamaru 9400, North Otago, New Zealand.</t>
  </si>
  <si>
    <t>d.harrowfield@xtra.co.nz</t>
  </si>
  <si>
    <t>10.1017/S0032247414000795</t>
  </si>
  <si>
    <t>CM3TO</t>
  </si>
  <si>
    <t>WOS:000357607600001</t>
  </si>
  <si>
    <t>Millar, P</t>
  </si>
  <si>
    <t>Millar, Pat</t>
  </si>
  <si>
    <t>Frederick A. Cook: the role of photography in the making of his polar explorer-hero image</t>
  </si>
  <si>
    <t>This paper aims to show how the photography of Frederick A. Cook (1865-1940) played an important role in the making of his polar explorer-hero image. It considers portraits and Arctic and Antarctic photographs that Cook used in his own publications and illustrated lectures, and which he provided for press articles. The paper is underpinned by discourse analysis and the concept of the photograph as a representation of reality filtered through various lenses. The visual impact and discursive messages of the photographs were aimed at situating readers and audiences in responsive attitudes that would generate a public persona which he exploited to increase his fame and heroic reputation. In time, Cook's photography also played a critical part in the collapse of the hero image.</t>
  </si>
  <si>
    <t>Patricia.Millar@utas.edu.au</t>
  </si>
  <si>
    <t>Millar, Patricia/0000-0002-9110-6809</t>
  </si>
  <si>
    <t>10.1017/S0032247414000424</t>
  </si>
  <si>
    <t>WOS:000357607600008</t>
  </si>
  <si>
    <t>Emelyanov, EM</t>
  </si>
  <si>
    <t>Emelyanov, E. M.</t>
  </si>
  <si>
    <t>Bottom sediments and near-bottom currents in the Southwestern Atlantic</t>
  </si>
  <si>
    <t>RUSSIAN GEOLOGY AND GEOPHYSICS</t>
  </si>
  <si>
    <t>bottom sediments; near-bottom currents; sediment erosion; Brazil Basin; Atlantic</t>
  </si>
  <si>
    <t>WESTERN BOUNDARY CURRENT; DEEP-WATER; TRANSPORT; SYSTEMS; BASIN</t>
  </si>
  <si>
    <t>On the basis of the author's data on the composition of sediments and seismic cross sections, together with literature data, the bottom topography was described and the main structural features of the top 10-100 m thick sedimentary sequence in the Southwestern Atlantic (Brazil Basin) were identified. The presence of a heavy northward flow of Antarctic bottom water (AABW) and its active erosive activity were confirmed. The AABW caused the erosion or redeposition of red pelagic clays and hemipelagic clays, which accumulated in the Brazil Basin in the Holocene and Pleistocene; the clays contain abundant redeposited Pleistocene diatoms and Neogene and Paleogene discoasters. In most of the sediment cores of the Brazil Basin, the red pelagic clays are of Pleistocene age. Contourites and sandy microlayers have been found in the sediments at the foot of the continental slope of South America; this is the effect of the Deep Western Boundary Current on the ocean floor. The AABW transfers Antarctic diatom species along the continental slope of South America to 10 degrees-5 degrees S. The presence of the Equatorial Midocean Channel with a relative depth of 149 m in the western pelagic equatorial part of the Atlantic was confirmed, and new channels, such as Vavilov and Akademik Ioffe, have been found. The AABW flows northward along the Equatorial Mid-Ocean Channel. Apparently, the Akademik Ioffe Channel is not a proper midocean channel. At 20 degrees S (at a depth of 5000 m), Pleistocene diatomic (Ethmodiscus rex) ooze containing up to 74% amorphous SiO2 was detected. On the Amazon-Mid-Atlantic Ridge profile, the AABW flows into the Guyana Basin through only one valley of the Nara Plain, with a depth of 4620 m. Near the Ceara Rise and on the Amazon Fan, no geologic traces of the AABW flow into the Guyana Basin were found. Near the Rio Grande Rise, the AABW might have appeared in the Eocene. The formation of the Vema Channel, which separates the Rio Grande Rise from South America, also began at that time. The AABW flows were the heaviest before the largest glaciations (particularly at isotopic stages 7/6 and 3/2). (C) 2015, V.S. Sobolev IGM, Siberian Branch of the RAS. Published by Elsevier B.V. All rights reserved.</t>
  </si>
  <si>
    <t>[Emelyanov, E. M.] Immanuel Kant Baltic Fed Univ, Kaliningrad 236041, Russia; [Emelyanov, E. M.] Russian Acad Sci, PP Shirshov Oceanol Inst, Atlantic Branch, Kaliningrad 236022, Russia</t>
  </si>
  <si>
    <t>Immanuel Kant Baltic Federal University; Russian Academy of Sciences; Shirshov Institute of Oceanology</t>
  </si>
  <si>
    <t>Emelyanov, EM (corresponding author), Immanuel Kant Baltic Fed Univ, Ul A Nevskogo 14, Kaliningrad 236041, Russia.</t>
  </si>
  <si>
    <t>abio@atlas.baltnet.ru</t>
  </si>
  <si>
    <t>Emelyanov, Emelyan/I-6104-2016</t>
  </si>
  <si>
    <t>RUSSIAN ACAD SCIENCES, SIBERIAN BRANCH, VS SOBOLEV INST GEOL &amp; MINEROL</t>
  </si>
  <si>
    <t>NOVOSIBIRSK</t>
  </si>
  <si>
    <t>PR-KT AK. KOPTYUGA, 3, NOVOSIBIRSK, 630090, RUSSIA</t>
  </si>
  <si>
    <t>1068-7971</t>
  </si>
  <si>
    <t>1878-030X</t>
  </si>
  <si>
    <t>RUSS GEOL GEOPHYS+</t>
  </si>
  <si>
    <t>Russ. Geol. Geophys.</t>
  </si>
  <si>
    <t>10.1016/j.rgg.2015.06.003</t>
  </si>
  <si>
    <t>CM7NJ</t>
  </si>
  <si>
    <t>WOS:000357880500003</t>
  </si>
  <si>
    <t>Yamazaki, S; Hoshino, E; Resosudarmo, BP</t>
  </si>
  <si>
    <t>Yamazaki, Satoshi; Hoshino, Eriko; Resosudarmo, Budy P.</t>
  </si>
  <si>
    <t>No-take marine reserves and illegal fishing under imperfect enforcement</t>
  </si>
  <si>
    <t>AUSTRALIAN JOURNAL OF AGRICULTURAL AND RESOURCE ECONOMICS</t>
  </si>
  <si>
    <t>bioeconomic models; fisheries management; illegal activities; marine reserves</t>
  </si>
  <si>
    <t>OPTIMAL FISHERY MANAGEMENT; BIOECONOMIC MODEL; ECONOMICS; CATCHABILITY; CONSERVATION; TOOTHFISH; OCEAN; COSTS; AREA</t>
  </si>
  <si>
    <t>No-take marine reserves have been increasingly advocated as an effective means of supporting marine ecosystems and conserving fisheries resources. A major problem that can hinder the effectiveness of no-take reserves is the incidence of illegal fishing, which has created significant ecological and economic losses in global fisheries. We construct a bioeconomic model to explore the connection between the effects of no-take reserves and illegal fishing activities in relation to the level of regulatory control of illegal activities in the reserve and fished areas. Our parameterised model shows that the effects of no-take reserves on both the extent of illegal fishing and the fish biomass critically depend on illegal fishing regulations and the scale and patterns of fish dispersal. In a fishery where illegal fishing can only be partially controlled, increasing the size of the no-take reserve may result in a lose-lose situation in which the level of illegal fishing effort increases and the total biomass decreases. Our results further show that when the pattern of fish dispersal is density dependent, imposing a stricter control on illegal fishing in either reserves or fished areas increases the aggregate level of illegal fishing.</t>
  </si>
  <si>
    <t>[Yamazaki, Satoshi; Hoshino, Eriko] Univ Tasmania, Tasmanian Sch Business &amp; Econ, Hobart, Tas 7001, Australia; [Hoshino, Eriko] Univ Tasmania, Inst Marine &amp; Antarctic Studies, Hobart, Tas 7001, Australia; [Resosudarmo, Budy P.] Australian Natl Univ, Indonesia Project, Crawford Sch Publ Policy, Canberra, ACT 0200, Australia; [Resosudarmo, Budy P.] Australian Natl Univ, Arndt Corden Dept Econ, Crawford Sch Publ Policy, Canberra, ACT 0200, Australia</t>
  </si>
  <si>
    <t>University of Tasmania; University of Tasmania; Australian National University; Australian National University</t>
  </si>
  <si>
    <t>Yamazaki, S (corresponding author), Univ Tasmania, Tasmanian Sch Business &amp; Econ, Hobart, Tas 7001, Australia.</t>
  </si>
  <si>
    <t>satoshi.yamazaki@utas.edu.au</t>
  </si>
  <si>
    <t>Yamazaki, Satoshi/J-7538-2014; Hoshino, Eriko/N-7557-2013; Resosudarmo, Budy/K-1129-2017</t>
  </si>
  <si>
    <t>Yamazaki, Satoshi/0000-0003-1279-2706; Hoshino, Eriko/0000-0001-7110-4251; Resosudarmo, Budy/0000-0003-2273-9765</t>
  </si>
  <si>
    <t>The authors would like to acknowledge the University of Tasmania for funding support for this study. The authors also thank Sarah Jennings and Richard Hillary, two anonymous reviewers and the Editors for constructive comments regarding the manuscript.</t>
  </si>
  <si>
    <t>1364-985X</t>
  </si>
  <si>
    <t>1467-8489</t>
  </si>
  <si>
    <t>AUST J AGR RESOUR EC</t>
  </si>
  <si>
    <t>Aust. J. Agr. Resour. Econ.</t>
  </si>
  <si>
    <t>10.1111/1467-8489.12078</t>
  </si>
  <si>
    <t>Agricultural Economics &amp; Policy; Economics</t>
  </si>
  <si>
    <t>Agriculture; Business &amp; Economics</t>
  </si>
  <si>
    <t>CM1HD</t>
  </si>
  <si>
    <t>WOS:000357431000002</t>
  </si>
  <si>
    <t>McKee, CO; Baillie, MG; Reimer, PJ</t>
  </si>
  <si>
    <t>McKee, Chris O.; Baillie, Michael G.; Reimer, Paula J.</t>
  </si>
  <si>
    <t>A revised age of AD 667-699 for the latest major eruption at Rabaul</t>
  </si>
  <si>
    <t>BULLETIN OF VOLCANOLOGY</t>
  </si>
  <si>
    <t>1400 BP eruption; Rabaul Caldera; Rabaul Pyroclastics Formation</t>
  </si>
  <si>
    <t>ICE CORE; SOUTHERN-HEMISPHERE; VOLCANIC-ERUPTIONS; CALIBRATION CURVES; PAPUA; CALDERA; RECORD; GEOLOGY; SCALE; LAVAS</t>
  </si>
  <si>
    <t>The most recent major eruption at Rabaul was one of the largest known volcanic events at this complex system, having a volcanic explosivity index (VEI) rating of 6. The eruption generated widespread pumice lapilli and ash fall deposits and ignimbrites of different types. The total volume of pyroclastic material produced in the eruption exceeded 11 km(3) and led to a new phase of collapse within Rabaul Caldera. Initial C-14 dating of the event yielded an age of about 1400 years BP, and the eruption became known as the 1400 BP eruption. Previous analyses of the timing of the eruption have sought to link it to events in AD 536 and AD 639. However, we have re-evaluated the age of the eruption using the Bayesian wiggle-match radiocarbon dating method, and the eruption is now thought to have occurred in the interval AD 667-699. The only significant equatorial eruptions recorded in both Greenland and Antarctic ice during this interval are at AD 681 and AD 684, dates that coincide with frost rings in bristlecone pines of western USA in the same years. Definitively linking the Rabaul eruption to this narrow age range will require identification of Rabaul tephra in the ice records. However, it is proposed that a new working hypothesis for the timing of the most recent major eruption at Rabaul is that it occurred in the interval AD 681-684.</t>
  </si>
  <si>
    <t>[McKee, Chris O.] Port Moresby Geophys Observ, Port Moresby, Natl Capital Di, Papua N Guinea; [Baillie, Michael G.; Reimer, Paula J.] Queens Univ Belfast, Sch Geog Archaeol &amp; Palaeoecol, Belfast, Antrim, North Ireland</t>
  </si>
  <si>
    <t>Queens University Belfast</t>
  </si>
  <si>
    <t>McKee, CO (corresponding author), Port Moresby Geophys Observ, Port Moresby, Natl Capital Di, Papua N Guinea.</t>
  </si>
  <si>
    <t>chris_mckee@mineral.gov.pg</t>
  </si>
  <si>
    <t>Reimer, Paula/I-5915-2015</t>
  </si>
  <si>
    <t>Reimer, Paula/0000-0001-9238-2146</t>
  </si>
  <si>
    <t>0258-8900</t>
  </si>
  <si>
    <t>1432-0819</t>
  </si>
  <si>
    <t>B VOLCANOL</t>
  </si>
  <si>
    <t>Bull. Volcanol.</t>
  </si>
  <si>
    <t>10.1007/s00445-015-0954-7</t>
  </si>
  <si>
    <t>CM1FS</t>
  </si>
  <si>
    <t>WOS:000357427200008</t>
  </si>
  <si>
    <t>Gissi, F; Adams, MS; King, CK; Jolley, DF</t>
  </si>
  <si>
    <t>Gissi, Francesca; Adams, Merrin S.; King, Catherine K.; Jolley, Dianne F.</t>
  </si>
  <si>
    <t>A robust bioassay to assess the toxicity of metals to the antarctic marine microalga Phaeocystis antarctica</t>
  </si>
  <si>
    <t>Polar ecotoxicology; Water-quality guideline; Metal; Contaminant; Flow cytometry</t>
  </si>
  <si>
    <t>TRACE-ELEMENTS; CASEY-STATION; COPPER; ZINC; BIOACCUMULATION; CONTAMINANTS; SENSITIVITY; ECOSYSTEM; EXPOSURE; CADMIUM</t>
  </si>
  <si>
    <t>Despite evidence of contamination in Antarctic coastal marine environments, no water-quality guidelines have been established for the region because of a paucity of biological effects data for local Antarctic species. Currently, there is limited information on the sensitivity of Antarctic microalgae to metal contamination, which is exacerbated by the lack of standard toxicity testing protocols for local marine species. In the present study, a routine and robust toxicity test protocol was developed using the Antarctic marine microalga Phaeocystis antarctica, and its sensitivity was investigated following 10-d exposures to dissolved copper, cadmium, lead, zinc, and nickel. In comparisons of 10% inhibition of population growth rate (IC10) values, P. antarctica was most sensitive to copper (3.3 g/L), followed by cadmium (135 g/L), lead (260 g/L), and zinc (450 g/L). Although an IC10 value for nickel could not be accurately estimated, the no-observed-effect concentration value for nickel was 1070 g/L. Exposure to copper and cadmium caused changes in internal cell granularity and increased chlorophyll a fluorescence. Lead, zinc, and nickel had no effect on any of the cellular parameters measured. The present study provides valuable metal-ecotoxicity data for an Antarctic marine microalga, with P. antarctica representing one of the most sensitive microalgal species to dissolved copper ever reported when compared with temperate and tropical species. Environ Toxicol Chem 2015;34:1578-1587. (c) 2015 SETAC</t>
  </si>
  <si>
    <t>[Gissi, Francesca; Adams, Merrin S.] CSIRO Land &amp; Water, Lucas Heights, NSW, Australia; [Gissi, Francesca; King, Catherine K.] Australian Antarctic Div, Kingston, Tas, Australia; [Jolley, Dianne F.] Univ Wollongong, Sch Chem, Wollongong, NSW 2522, Australia</t>
  </si>
  <si>
    <t>Commonwealth Scientific &amp; Industrial Research Organisation (CSIRO); Australian Antarctic Division; University of Wollongong</t>
  </si>
  <si>
    <t>Gissi, F (corresponding author), CSIRO Land &amp; Water, Lucas Heights, NSW, Australia.</t>
  </si>
  <si>
    <t>Francesca.Gissi@csiro.au</t>
  </si>
  <si>
    <t>King, Catherine K/G-7059-2017; Gissi, Francesca/N-7822-2017; Jolley, Dianne/D-1597-2009; Adams, Merrin/F-3513-2011</t>
  </si>
  <si>
    <t>King, Catherine K/0000-0003-3356-0381; Gissi, Francesca/0000-0002-4622-7572; Jolley, Dianne/0000-0003-1028-1603; Adams, Merrin/0000-0003-2849-9096</t>
  </si>
  <si>
    <t>Australian government through an Australian Antarctic Science Grant [AAS 4100]; CSIRO Wealth from Oceans Flagship</t>
  </si>
  <si>
    <t>Australian government through an Australian Antarctic Science Grant(Australian Government); CSIRO Wealth from Oceans Flagship(Commonwealth Scientific &amp; Industrial Research Organisation (CSIRO))</t>
  </si>
  <si>
    <t>Funding for the present study was provided by the Australian government through an Australian Antarctic Science Grant (AAS 4100; to C. King) and by CSIRO Wealth from Oceans Flagship. We thank C. Jarolimek, J. King, and N. van Liefj (CSIRO Land and Water) for assistance with ICP analyses and L. Golding (CSIRO Land and Water) for assistance with statistical analysis using the R package. We also thank A. Cooper, A. Davidson, and P. Lowery (Australian Antarctic Division), for assistance with establishing microalgal cultures and for coordinating the transport of microalgae from Hobart to Sydney. We also thank M. Binet, G. Batley (CSIRO Land and Water), and 2 anonymous reviewers for their comments to improve the manuscript.</t>
  </si>
  <si>
    <t>10.1002/etc.2949</t>
  </si>
  <si>
    <t>CL5QC</t>
  </si>
  <si>
    <t>WOS:000357013700020</t>
  </si>
  <si>
    <t>Renaudie, J; Lazarus, DB</t>
  </si>
  <si>
    <t>Renaudie, Johan; Lazarus, David B.</t>
  </si>
  <si>
    <t>New species of Neogene radiolarians from the Southern Ocean - part III</t>
  </si>
  <si>
    <t>JOURNAL OF MICROPALAEONTOLOGY</t>
  </si>
  <si>
    <t>Radiolaria; Polycystinea; Antarctic; Cenozoic; taxonomy</t>
  </si>
  <si>
    <t>BIOSTRATIGRAPHY; CLASSIFICATION; COLLECTIONS</t>
  </si>
  <si>
    <t>In this paper, the third of a series of four, 25 new species are described from the Neogene sediments of the Southern Ocean: six spumellarians (Actinomma telarania, Hexacontium? cooki, Lonchosphaera shackletoni, Joergensenium pseudodictyocha, Cryptolarnacium pauliani and Spongoplegma dentifrangibula) and nineteen nassellarians (Arachnocorallium cerebellum, A. stilla, A.? pyroensis, Amphiplecta? satoshii, Antarctissa kjelli, Lithomelissa celsagula, Botryopera piperata, B. vavato, Lophophaena? neuma, L.? globeacuculla, L. pileata, L. amictoria, Pseudodictyophimus ignatius, Spongomelissa? bipatens, Ceratocyrtis? arthuri, C.? ringisstola, Phormostichoartus ashbyi, Ceratospyris clinamen and Dorcadospyris kennetti).</t>
  </si>
  <si>
    <t>[Renaudie, Johan; Lazarus, David B.] Humboldt Univ, Museum Nat Kunde, Leibniz Inst Evolut &amp; Biodivers Forsch, D-10115 Berlin, Germany</t>
  </si>
  <si>
    <t>Leibniz Institut fur Evolutions und Biodiversitatsforschung; Humboldt University of Berlin</t>
  </si>
  <si>
    <t>Renaudie, J (corresponding author), Humboldt Univ, Museum Nat Kunde, Leibniz Inst Evolut &amp; Biodivers Forsch, Invalidenstr 43, D-10115 Berlin, Germany.</t>
  </si>
  <si>
    <t>johan.renaudie@mfn-berlin.de</t>
  </si>
  <si>
    <t>Renaudie, Johan/D-9077-2012</t>
  </si>
  <si>
    <t>Renaudie, Johan/0000-0002-9107-1984</t>
  </si>
  <si>
    <t>DFG (German Science Foundation) [LA1191/8-1, LA1191/8-2]</t>
  </si>
  <si>
    <t>DFG (German Science Foundation)(German Research Foundation (DFG))</t>
  </si>
  <si>
    <t>The authors would like to thank Kjell R. Bjorklund and F. John Gregory for their constructive, thorough reviews; and IODP for providing samples. This work was done in the context of a project supported by DFG (German Science Foundation) grant LA1191/8-1 and -2.</t>
  </si>
  <si>
    <t>COPERNICUS GESELLSCHAFT MBH</t>
  </si>
  <si>
    <t>GOTTINGEN</t>
  </si>
  <si>
    <t>BAHNHOFSALLEE 1E, GOTTINGEN, 37081, GERMANY</t>
  </si>
  <si>
    <t>0262-821X</t>
  </si>
  <si>
    <t>2041-4978</t>
  </si>
  <si>
    <t>J MICROPALAEONTOL</t>
  </si>
  <si>
    <t>J. Micropalaentol.</t>
  </si>
  <si>
    <t>10.1144/jmpaleo2013-034</t>
  </si>
  <si>
    <t>CM1HF</t>
  </si>
  <si>
    <t>WOS:000357431200005</t>
  </si>
  <si>
    <t>Mou, SL; Zhang, XW; Miao, JL; Zheng, Z; Xu, D; Ye, NH</t>
  </si>
  <si>
    <t>Mou, Shanli; Zhang, Xiaowen; Miao, Jinlai; Zheng, Zhou; Xu, Dong; Ye, Naihao</t>
  </si>
  <si>
    <t>Reference genes for gene expression normalization in Chlamydomonas sp ICE-L by quantitative real-time RT-PCR</t>
  </si>
  <si>
    <t>JOURNAL OF PLANT BIOCHEMISTRY AND BIOTECHNOLOGY</t>
  </si>
  <si>
    <t>Chlamydomonas sp ICE-L; Reference genes; Normalization; Quantitative real-time PCR</t>
  </si>
  <si>
    <t>HOUSEKEEPING GENES; VALIDATION; SELECTION</t>
  </si>
  <si>
    <t>The determination of a robust reference gene has become increasingly important since RT-qPCR used as a prominent technique for quantification of transcript in connection with their molecular and biological mechanisms. Only a few studies on reference genes have been conducted using Antarctic ice algae. In this work, 10 candidate reference genes of Chlamydomonas sp. ICE-L were evaluated for their stabilities. The results showed that the best references genes differed across the experimental samples. Based on NormFinder Analysis, EF-1 alpha was the most suitable reference gene under the diurnal cycle, high light, high salinity and UV-B irradiation conditions, and GAPDH was the most stable gene under different light intensities. For all tested samples H2B was the best gene and 18S was the least. Pair-wise variation analysis revealed that H2B and EF-1 alpha were the best gene combination for diurnal cycle and high light conditions. For different light intensities and high salinity samples, the best combinations were GAPDH + ACT and L32 + H2B, respectively. For UV-B irradiated samples, a minimum of three genes (EF-1 alpha, L32 and 18S) were necessary for accurate normalization. Selecting appropriate reference gene was very important to achieve an accurate and reliable normalization of genes' expression. These results provided guidelines for reference genes selection under different experimental conditions and also established a foundation for more accurate and widespread use of RT-qPCR in Chlamydomonas sp. ICE-L.</t>
  </si>
  <si>
    <t>[Mou, Shanli; Zhang, Xiaowen; Xu, Dong; Ye, Naihao] Chinese Acad Fishery Sci, Yellow Sea Fisheries Res Inst, Qingdao 266071, Peoples R China; [Miao, Jinlai; Zheng, Zhou] State Ocean Adm, Inst Oceanog 1, Key Lab Marine Bioact Subst, Qingdao 266061, Peoples R China</t>
  </si>
  <si>
    <t>Chinese Academy of Fishery Sciences; Yellow Sea Fisheries Research Institute, CAFS; First Institute of Oceanography, Ministry of Natural Resources</t>
  </si>
  <si>
    <t>Ye, NH (corresponding author), Chinese Acad Fishery Sci, Yellow Sea Fisheries Res Inst, Qingdao 266071, Peoples R China.</t>
  </si>
  <si>
    <t>yenh@ysfri.ac.cn</t>
  </si>
  <si>
    <t>Zheng, Zhou/JJD-0602-2023</t>
  </si>
  <si>
    <t>SPRINGER INDIA</t>
  </si>
  <si>
    <t>7TH FLOOR, VIJAYA BUILDING, 17, BARAKHAMBA ROAD, NEW DELHI, 110 001, INDIA</t>
  </si>
  <si>
    <t>0971-7811</t>
  </si>
  <si>
    <t>0974-1275</t>
  </si>
  <si>
    <t>J PLANT BIOCHEM BIOT</t>
  </si>
  <si>
    <t>J. Plant Biochem. Biotechnol.</t>
  </si>
  <si>
    <t>10.1007/s13562-014-0268-4</t>
  </si>
  <si>
    <t>CL6WK</t>
  </si>
  <si>
    <t>WOS:000357108700004</t>
  </si>
  <si>
    <t>Vanneste, H; De Vleeschouwer, F; Martnez-Cortizas, A; von Scheffer, C; Piotrowska, N; Coronato, A; Le Roux, G</t>
  </si>
  <si>
    <t>Vanneste, Heleen; De Vleeschouwer, Francois; Martnez-Cortizas, Antonio; von Scheffer, Clemens; Piotrowska, Natalia; Coronato, Andrea; Le Roux, Gael</t>
  </si>
  <si>
    <t>Late-glacial elevated dust deposition linked to westerly wind shifts in southern South America</t>
  </si>
  <si>
    <t>TIERRA-DEL-FUEGO; RARE-EARTH-ELEMENTS; EAST ANTARCTICA; AEOLIAN DUST; PATAGONIA; PLEISTOCENE; CLIMATE; FLUCTUATIONS; VARIABILITY; VEGETATION</t>
  </si>
  <si>
    <t>Atmospheric dust loadings play a crucial role in the global climate system. Southern South America is a key dust source, however, dust deposition rates remain poorly quantified since the last glacial termination (similar to 17 kyr ago), an important timeframe to anticipate future climate changes. Here we use isotope and element geochemistry in a peat archive from Tierra del Fuego, to reconstruct atmospheric dust fluxes and associated environmental and westerly wind changes for the past 16.2 kyr. Dust depositions were elevated during the Antarctic Cold Reversal (ACR) and second half of the Younger Dryas (YD) stadial, originating from the glacial Beagle Channel valley. This increase was most probably associated with a strengthening of the westerlies during both periods as dust source areas were already available before the onset of the dust peaks and remained present throughout. Congruent with glacier advances across Patagonia, this dust record indicates an overall strengthening of the wind belt during the ACR. On the other hand, we argue that the YD dust peak is linked to strong and poleward shifted westerlies. The close interplay between dust fluxes and climatic changes demonstrates that atmospheric circulation was essential in generating and sustaining present-day interglacial conditions.</t>
  </si>
  <si>
    <t>[Vanneste, Heleen; De Vleeschouwer, Francois; von Scheffer, Clemens; Le Roux, Gael] Univ Toulouse, INP, EcoLab Lab Ecol Fonctionnelle &amp; Environm, UPS,ENSAT, Ave Agrobiopole, F-31326 Castanet Tolosan, France; [Vanneste, Heleen; De Vleeschouwer, Francois; Le Roux, Gael] CNRS, EcoLab, F-31326 Castanet Tolosan, France; [Martnez-Cortizas, Antonio] Univ Santiago Compostela, Fac Biol, Dept Edafol &amp; Quim Agr, E-15706 Santiago De Compostela, Spain; [Piotrowska, Natalia] Silesian Tech Univ, Inst Phys, Dept Radioisotopes, Gliwice, Poland; [Coronato, Andrea] CONICET CADIC, RA-9410 Ushuaia, Tierra Fuego, Argentina</t>
  </si>
  <si>
    <t>Universite Federale Toulouse Midi-Pyrenees (ComUE); Universite de Toulouse; Institut National Polytechnique de Toulouse; Universite Toulouse III - Paul Sabatier; Centre National de la Recherche Scientifique (CNRS); CNRS - Institute of Physics (INP); Universite de Toulouse; Universite Federale Toulouse Midi-Pyrenees (ComUE); Universite Toulouse III - Paul Sabatier; Institut National Polytechnique de Toulouse; Centre National de la Recherche Scientifique (CNRS); Universidade de Santiago de Compostela; Silesian University of Technology; Consejo Nacional de Investigaciones Cientificas y Tecnicas (CONICET)</t>
  </si>
  <si>
    <t>Vanneste, H (corresponding author), Univ Toulouse, INP, EcoLab Lab Ecol Fonctionnelle &amp; Environm, UPS,ENSAT, Ave Agrobiopole, F-31326 Castanet Tolosan, France.</t>
  </si>
  <si>
    <t>heleen.vanneste@ens-lyon.fr</t>
  </si>
  <si>
    <t>von Scheffer, Clemens/GVT-2515-2022; Piotrowska, Natalia/S-4528-2018; Martínez-Cortizas, Antonio/M-6196-2015; Le Roux, Gael/K-1154-2012</t>
  </si>
  <si>
    <t>von Scheffer, Clemens/0000-0001-8211-0518; Piotrowska, Natalia/0000-0002-8194-6767; Martínez-Cortizas, Antonio/0000-0003-0430-5760; Le Roux, Gael/0000-0002-1579-0178; De Vleeschouwer, Francois/0000-0002-0979-6397</t>
  </si>
  <si>
    <t>Agence National de la Recherche (ANR) [ANR-2011-JS56-006-01]</t>
  </si>
  <si>
    <t>Agence National de la Recherche (ANR)(Agence Nationale de la Recherche (ANR))</t>
  </si>
  <si>
    <t>This research is supported by a Young Researcher Grant of the Agence National de la Recherche (ANR), project ANR-2011-JS56-006-01 PARAD. We thank Delphine Triquet (EcoLab, Toulouse, France), David Baque (EcoLab, Toulouse, France), Aurelie Lanzanova and Pierre Brunet (both from Geoscience-Environnement-Toulouse, France) for their help with the preparation of the samples and the ICP-OES, ICP-MS and TIMS analyses. Catherine Jeandel is thanked for her support with the set up of the Nd extraction procedure. Dimitri Mauquoy (University of Aberdeen, U.K.) and Time Daley (Plymouth University, U.K.) are appreciated for their help on the field. The former is also thanked for having separated the macrofossils for the radiocarbon measurements. Thanks to Ramiro Lopez and Veronica Pancotto (CADIC-CONICET, Ushuaia) for their help with coring and export of samples.</t>
  </si>
  <si>
    <t>10.1038/srep11670</t>
  </si>
  <si>
    <t>CL7QO</t>
  </si>
  <si>
    <t>Green Submitted, Green Published, gold, Green Accepted</t>
  </si>
  <si>
    <t>WOS:000357167000002</t>
  </si>
  <si>
    <t>Ulibarrena, J; Conzonno, VH</t>
  </si>
  <si>
    <t>Ulibarrena, Javier; Conzonno, Victor H.</t>
  </si>
  <si>
    <t>Mechanisms involved in the proliferation and distribution of phytoplankton in the Patagonian Sea, Argentina, as revealed by remote sensing studies</t>
  </si>
  <si>
    <t>ENVIRONMENTAL EARTH SCIENCES</t>
  </si>
  <si>
    <t>Phytoplankton; Chlorophyll; Remote sensing; Patagonian Sea; South Atlantic Ocean</t>
  </si>
  <si>
    <t>CHLOROPHYLL-A; PRODUCTS</t>
  </si>
  <si>
    <t>Studies about the mechanisms that control the dynamics of phytoplankton in terms of surface chlorophyll patches by means of remote sensing information were encouraged in the Patagonian Sea (South Atlantic Ocean). Over this sea, circulation of the Patagonian Current and Malvinas Current, originated in the Circumpolar Antarctic Current, has much to do in the distribution of algal biomass. The study confirms the existence of three ecosystems: Coastal system, Shelf waters system and Shelf break. In the former, algal blooms are detected mostly between March and August. Later, the patches move inside the shelf area, the second ecosystem, towards NNE direction from approximately August to December under the influence of the Patagonian Current to reach the Malvinas Current, which circulates along the shelf break. The third ecosystem, Malvinas system, may be divided into the Malvinas Islands, where an intense algal bloom from December to January could be verified, and the Malvinas Current that shows a high concentration of algal pigment in the same period, although evidences support the hypothesis that the latter has mainly an allochthonous character. At about 37 degrees S-39 degrees S and 53 degrees W-56 degrees W, variable position, the confluence between Malvinas Current and Brazil Current takes place. As a result, the chlorophyll that functions as a tracer indicates that the impact has the characteristics of being an elastic collision, since the Malvinas Current identity was preserved afterwards. Special events, such as the climatic conditions that prompt changes in the annual behavior of the phytoplankton distribution, are discussed.</t>
  </si>
  <si>
    <t>[Ulibarrena, Javier] UNESCO COI IODE, Airborne &amp; Satellite Sensed Data, RA-1900 La Plata, Buenos Aires, Argentina; [Conzonno, Victor H.] Univ Nacl La Plata, Fac Ciencias Agr, LISEA, RA-1900 La Plata, Buenos Aires, Argentina</t>
  </si>
  <si>
    <t>National University of La Plata</t>
  </si>
  <si>
    <t>Ulibarrena, J (corresponding author), UNESCO COI IODE, Airborne &amp; Satellite Sensed Data, Calle 44 1540, RA-1900 La Plata, Buenos Aires, Argentina.</t>
  </si>
  <si>
    <t>julibarrena@hotmail.com</t>
  </si>
  <si>
    <t>Consejo Nacional de Investigaciones Cientificas y Tecnicas (CONICET)</t>
  </si>
  <si>
    <t>Consejo Nacional de Investigaciones Cientificas y Tecnicas (CONICET)(Consejo Nacional de Investigaciones Cientificas y Tecnicas (CONICET))</t>
  </si>
  <si>
    <t>I dedicate this work to colleague and friend Victor H. Conzzono who died in February 2014 and who was the main driver for the preparation of this study. May he rest in peace; we will keep him in our memory forever. The authors are grateful to Dr. Juan Schnack for critical reading and to Mrs. Monica Caviglia for correction of the manuscript and the anonymous reviewers for their important suggestions. Our thanks to Systems Analysts Nicolas Polvora for the revision of some images, to German Weber for his help in the digital processing of the images, to Martin Garrido from Servicio Meteorologico Nacional (Argentina) for the information about winds, to Mr. Carlos Tremouilles for making the figures and to Consejo Nacional de Investigaciones Cientificas y Tecnicas (CONICET) for the financial support.</t>
  </si>
  <si>
    <t>1866-6280</t>
  </si>
  <si>
    <t>1866-6299</t>
  </si>
  <si>
    <t>ENVIRON EARTH SCI</t>
  </si>
  <si>
    <t>Environ. Earth Sci.</t>
  </si>
  <si>
    <t>10.1007/s12665-015-4052-0</t>
  </si>
  <si>
    <t>Environmental Sciences; Geosciences, Multidisciplinary; Water Resources</t>
  </si>
  <si>
    <t>Environmental Sciences &amp; Ecology; Geology; Water Resources</t>
  </si>
  <si>
    <t>CK6OQ</t>
  </si>
  <si>
    <t>WOS:000356347800033</t>
  </si>
  <si>
    <t>Grosch, EG; Frimmel, HE; Abu-Alam, T; Kosler, J</t>
  </si>
  <si>
    <t>Grosch, Eugene G.; Frimmel, Hartwig E.; Abu-Alam, Tamer; Kosler, Jan</t>
  </si>
  <si>
    <t>Metamorphic and age constraints on crustal reworking in the western HU Sverdrupfjella: implications for the evolution of western Dronning Maud Land, Antarctica</t>
  </si>
  <si>
    <t>BARBERTON GREENSTONE-BELT; PB ZIRCON AGE; EAST ANTARCTICA; U-PB; CHLORITE GEOTHERMOMETRY; GRUNEHOGNA CRATON; KALAHARI CRATON; KAAPVAAL CRATON; ROCKS; HEIMEFRONTFJELLA</t>
  </si>
  <si>
    <t>A petrological and metamorphic comparison of Mesoproterozoic metabasic rocks was conducted on the eastern margin of the Archaean Kaapvaal-Grunehogna Craton and the adjacent westernmost Maud Belt (western H.U. Sverdrupfjella), across a major structural discontinuity known as the Pencksokket-Jutulstraumen Discontinuity. Thermodynamic phase diagram modelling of the low- and high-grade metabasaltic assemblages on either side of the discontinuity revealed a difference in peak metamorphic conditions from T=340 +/- 25 to 700 +/- 30 degrees C and P=0.29 +/- 0.08 to 0.90 +/- 0.10 GPa over an extrapolated orthogonal distance of 32 km across the strike of the discontinuity. Laser ablation inductively coupled plasma mass spectrometry U-Pb dating of titanite in a hornblende-plagioclase-quartz corona around garnet yielded a late Pan-African age of 491 +/- 27 Ma for high-grade metamorphism in the western H.U. Sverdrupfjella of the Maud Belt. The new petrological and geochronological constraints indicate that peak upper amphibolite-facies conditions were achieved in the western H.U. Sverdrupfjella at c. 500 Ma; namely, c. 70-80 Ma after peak eclogite-high-pressure granulite-facies metamorphism in the eastern H.U. Sverdrupjella. The U-Pb age data argue against previous models that invoke only late Mesoproterozoic (c. 1060-1030 Ma) granulite-facies metamorphism in the western H.U. Sverdrupfjella and Kaapvaal-Grunehogna Craton margin, and support the concept of a major diachronous Pan-African orogenic episode. A new geodynamic model is presented for western Dronning Maud Land, involving earliest Pan-African eclogite-high-pressure granulite- and upper amphibolite-facies metamorphism in a separate eastern H.U. Sverdrupjella terrane between c. 565 and 540 Ma, followed by later diachronous tectonic accretion of the eastern H.U. Sverdrupjella arc segment onto the western H.U. Sverdrupfjella crustal segment (including the easternmost Kaapvaal-Grunehogna Craton margin) that involved only upper amphibolite-facies metamorphism at c. 500 Ma. The new petrological data indicate that the inferred sub-glacial boundary (Pencksokket-Jutulstraumen Discontinuity) between the Kaapvaal-Grunehogna Craton and the western H.U. Sverdrupfjella region represents a major cratonic Pan-African thrust, which was subsequently reactivated by normal faulting during Gondwana break-up.</t>
  </si>
  <si>
    <t>[Grosch, Eugene G.; Kosler, Jan] Univ Bergen, Dept Earth Sci, N-5007 Bergen, Norway; [Grosch, Eugene G.; Kosler, Jan] Univ Bergen, Ctr Geobiol, N-5007 Bergen, Norway; [Frimmel, Hartwig E.] Univ Wurzburg, Inst Geog &amp; Geol, Bavarian Georesources Ctr, D-97074 Wurzburg, Germany; [Frimmel, Hartwig E.] Univ Cape Town, Dept Geol Sci, ZA-7700 Cape Town, South Africa; [Abu-Alam, Tamer] Norwegian Polar Res Inst, NO-9296 Tromso, Norway</t>
  </si>
  <si>
    <t>University of Bergen; University of Bergen; University of Wurzburg; University of Cape Town; Norwegian Polar Institute</t>
  </si>
  <si>
    <t>Grosch, EG (corresponding author), Univ Bergen, Dept Earth Sci, Allegaten 41, N-5007 Bergen, Norway.</t>
  </si>
  <si>
    <t>geogene@gmail.com</t>
  </si>
  <si>
    <t>Abu-alam, Tamer/U-1113-2017; Kosler, Jan/L-3223-2013; Frimmel, Hartwig/R-3324-2019</t>
  </si>
  <si>
    <t>Abu-alam, Tamer/0000-0001-6020-365X; Grosch, Eugene/0000-0001-9424-1814; Frimmel, Hartwig/0000-0003-3041-8208</t>
  </si>
  <si>
    <t>South African National Antarctic Programme; seed project</t>
  </si>
  <si>
    <t>M. Erambert (UiO) is acknowledged for help with electron microprobe analyses. The South African Department of Environmental Affairs and Tourism is thanked for logistical support during the Gjelsvikfjella 2002-2003 Antarctic Earth Sciences Expedition. This project was funded by the South African National Antarctic Programme (grant to H. E. F.) and by a seed project to E. G. G. for early Earth Geodynamics and Environments at the Centre for Geobiology.</t>
  </si>
  <si>
    <t>10.1144/jgs2014-090</t>
  </si>
  <si>
    <t>CL0KB</t>
  </si>
  <si>
    <t>WOS:000356630500008</t>
  </si>
  <si>
    <t>Vince, J; Smith, ADM; Sainsbury, KJ; Cresswell, ID; Smith, DC; Haward, M</t>
  </si>
  <si>
    <t>Vince, Joanna; Smith, Anthony D. M.; Sainsbury, Keith. J.; Cresswell, Ian David; Smith, David C.; Haward, Marcus</t>
  </si>
  <si>
    <t>Australia's Oceans Policy: Past, present and future</t>
  </si>
  <si>
    <t>Australia's Oceans Policy; Marine Bioregional Plans; Ocean governance; Integrated policy; Ecosystem based approaches; Marine Protected Areas</t>
  </si>
  <si>
    <t>SOUTH-EAST FISHERY; REGIONAL MARINE PLAN; MANAGEMENT; IMPLEMENTATION; GOVERNANCE; COASTAL; HISTORY</t>
  </si>
  <si>
    <t>Australia has a large and diverse marine jurisdiction. A federal division of responsibilities matched with complex intergovernmental arrangements shapes management of this jurisdiction. This paper first outlines Australia's ocean governance arrangements and then reviews attempts to establish a national Australian Oceans Policy in the late 1990s. Notwithstanding attempts to implement an integrated policy framework across jurisdictions and sectors this ambitious policy framework has not met its original aspirations. However some new approaches have been introduced into a range of ocean sectors. The paper explores twenty plus years of oceans policy development and implementation and identifies key future challenges in implementing national oceans policy. (C) 2015 Elsevier Ltd. All rights reserved.</t>
  </si>
  <si>
    <t>[Vince, Joanna] Univ Tasmania, Sch Social Sci, Polit &amp; Int Relat Program, Launceston, Tas 7250, Australia; [Vince, Joanna; Smith, Anthony D. M.; Sainsbury, Keith. J.; Smith, David C.; Haward, Marcus] Univ Tasmania, Ctr Marine Socioecol, Hobart, Tas 7001, Australia; [Smith, Anthony D. M.; Smith, David C.] CSIRO Oceans &amp; Atmosphere Flagship, Hobart, Tas 7001, Australia; [Sainsbury, Keith. J.] Univ Tasmania, Inst Marine &amp; Antarctic Studies, Taroona, Tas 7053, Australia; [Cresswell, Ian David] CSIRO Land &amp; Water Flagship, Hobart, Tas 7001, Australia; [Haward, Marcus] Univ Tasmania, Ocean &amp; Cryosphere Ctr, Inst Marine &amp; Antarctic Studies, Hobart, Tas 7001, Australia</t>
  </si>
  <si>
    <t>University of Tasmania; University of Tasmania; Commonwealth Scientific &amp; Industrial Research Organisation (CSIRO); University of Tasmania; Commonwealth Scientific &amp; Industrial Research Organisation (CSIRO); University of Tasmania</t>
  </si>
  <si>
    <t>Vince, J (corresponding author), Univ Tasmania, Sch Social Sci, Polit &amp; Int Relat Program, Locked Bag 1340, Launceston, Tas 7250, Australia.</t>
  </si>
  <si>
    <t>Joanna.vince@utas.edu.au; Tony.d.smith@csiro.au; ksainsbury@netspace.net.au; Ian.Cresswell@csiro.au; David.c.smith@csiro.au; M.G.Haward@utas.edu.au</t>
  </si>
  <si>
    <t>Vince, Joanna Zofia/J-7465-2014; Smith, David/GQQ-8257-2022; Vince, Joanna/O-6901-2019; Cresswell, Ian/M-1648-2015; Haward, Marcus/G-3369-2014</t>
  </si>
  <si>
    <t>Vince, Joanna Zofia/0000-0002-4469-7634; Vince, Joanna/0000-0002-4469-7634; Cresswell, Ian/0000-0002-2759-3737; Haward, Marcus/0000-0003-4775-0864</t>
  </si>
  <si>
    <t>10.1016/j.marpol.2015.02.014</t>
  </si>
  <si>
    <t>CL1YF</t>
  </si>
  <si>
    <t>WOS:000356740100001</t>
  </si>
  <si>
    <t>Brendryen, J; Haflidason, H; Rise, L; Chand, S; Vanneste, M; Longva, O; L'Heureux, JS; Forsberg, CF</t>
  </si>
  <si>
    <t>Brendryen, Jo; Haflidason, Haflidi; Rise, Leif; Chand, Shyam; Vanneste, Maarten; Longva, Oddvar; L'Heureux, Jean Sebastien; Forsberg, Carl Fredrik</t>
  </si>
  <si>
    <t>Ice sheet dynamics on the Lofoten-Vesteralen shelf, north Norway, from Late MIS-3 to Heinrich Stadial 1</t>
  </si>
  <si>
    <t>Last Glacial Maximum; MIS-3; Heinrich Stadial 1; Heinrich Stadial 3; Norwegian shelf; Marine-based glaciers; Glacial dynamics</t>
  </si>
  <si>
    <t>LAST GLACIAL MAXIMUM; TROUGH MOUTH FANS; GLACIMARINE SEDIMENTARY PROCESSES; QUATERNARY SEISMIC STRATIGRAPHY; RAPID CLIMATIC VARIATIONS; SEA-LEVEL; NORDIC SEAS; ANTARCTIC PENINSULA; CONTINENTAL-MARGIN; HIGH-LATITUDE</t>
  </si>
  <si>
    <t>We present an account of the glacial dynamics from late Marine Isotope Stage (MIS) 3 to the Heinrich Stadial (HS) 1 on the Lofoten-Vesteralen margin, Northern Norway. This account is based on an analysis of the sedimentary stratigraphy on the upper slope close to the ice sheet grounding line at the continental shelf edge, and an analysis of the glacial morphology on the shelf areas. Our results point to a dynamic ice sheet that waxed and waned on the Lofoten-Vesteralen continental shelf from the late MIS-3, through the Last Glacial Maximum (LGM) and the HS 1. Glacigenic debris flows and deposition of laminated diamicts suggest that the ice sheet reached the shelf edge on several occasions. These are dated to similar to 25.5 ka BP (HS3), between 21.1 and 21.7 ka BP, similar to 19.5 ka BP, 15.6 ka BP and 14.4 ka BP (uncorrected C-14 ages). A contouritic sorted sand sediment unit that formed in a relatively warm interval during Late MIS-3 suggests that a strong Norwegian Atlantic Slope Current also developed during glacial interstadials implying that the oceanic circulation in the eastern Norwegian Sea was similar as today. The general pattern is that the ice sheet advanced onto the shelf during cold period with little influx of Atlantic Water to the Norwegian Sea and that it retreated toward the coast during intervals with higher temperatures and higher influx of warm Atlantic Water. The last ice advance to the edge of the continental shelf occurred during HS 1. (C) 2015 Elsevier Ltd. All rights reserved.</t>
  </si>
  <si>
    <t>[Brendryen, Jo; Haflidason, Haflidi] Univ Bergen, Dept Earth Sci, N-5020 Bergen, Norway; [Brendryen, Jo; Haflidason, Haflidi] Bjerknes Ctr Climate Res, N-5020 Bergen, Norway; [Rise, Leif; Chand, Shyam; Longva, Oddvar] Geol Survey Norway, N-7491 Trondheim, Norway; [Vanneste, Maarten; L'Heureux, Jean Sebastien; Forsberg, Carl Fredrik] Norwegian Geotech Inst, N-0806 Oslo, Norway</t>
  </si>
  <si>
    <t>University of Bergen; Bjerknes Centre for Climate Research; Geological Survey of Norway; Norwegian Geotechnical Institute, NGI</t>
  </si>
  <si>
    <t>Brendryen, J (corresponding author), Univ Bergen, Dept Earth Sci, Box 7803, N-5020 Bergen, Norway.</t>
  </si>
  <si>
    <t>jo.brendryen@uib.no</t>
  </si>
  <si>
    <t>10.1016/j.quascirev.2015.03.015</t>
  </si>
  <si>
    <t>CK9JT</t>
  </si>
  <si>
    <t>WOS:000356557100011</t>
  </si>
  <si>
    <t>Oliver, ECJ</t>
  </si>
  <si>
    <t>Oliver, Eric C. J.</t>
  </si>
  <si>
    <t>Multidecadal variations in the modulation of Alaska wintertime air temperature by the Madden-Julian Oscillation</t>
  </si>
  <si>
    <t>ROSSBY-WAVE PROPAGATION; PRECIPITATION</t>
  </si>
  <si>
    <t>The Madden-Julian Oscillation (MJO), the dominant mode of intraseasonal variability in the tropics, is known to influence extratropical air temperature in the Northern Hemisphere. In particular, it has been shown that intraseasonal variations in wintertime Alaska surface air temperature (SAT) is linked with variations in cross-shore surface wind and that this mechanism is driven by a train of Rossby waves originating in the tropics due to MJO forcing. We show, using long station records of Alaska SAT and an independent reconstruction of the MJO index over the twentieth century, that the MJO-SAT connection in Alaska has undergone significant multidecadal variability over the last century. The Pacific Decadal Oscillation appears to explain some of the observed multidecadal variability but fails to capture a large proportion of it. We identify four distinct periods between the years 1910 and 2000 that exhibit either a weak, moderate or strong MJO-SAT connection. The nature of our method ensures that the detected multidecadal variability is due to changes in the teleconnection mechanism and not due to changes in the strength of the MJO index. Finally, we speculate on the mechanism which may bring about such multidecadal variations in the teleconnection mechanism.</t>
  </si>
  <si>
    <t>[Oliver, Eric C. J.] Univ Tasmania, Inst Marine &amp; Antarctic Studies, Hobart, Tas, Australia; [Oliver, Eric C. J.] Dalhousie Univ, Dept Oceanog, Halifax, NS, Canada</t>
  </si>
  <si>
    <t>University of Tasmania; Dalhousie University</t>
  </si>
  <si>
    <t>Oliver, ECJ (corresponding author), Univ Tasmania, Inst Marine &amp; Antarctic Studies, Hobart, Tas, Australia.</t>
  </si>
  <si>
    <t>eric.oliver@utas.edu.au</t>
  </si>
  <si>
    <t>Oliver, Eric/G-5118-2014</t>
  </si>
  <si>
    <t>Oliver, Eric/0000-0002-4006-2826</t>
  </si>
  <si>
    <t>10.1007/s00704-014-1215-y</t>
  </si>
  <si>
    <t>CK9CX</t>
  </si>
  <si>
    <t>WOS:000356539300001</t>
  </si>
  <si>
    <t>Behera, JK; Sinha, AK; Singh, AK; Vichare, G; Dhar, A; Labde, S; Jeeva, K</t>
  </si>
  <si>
    <t>Behera, Jayanta K.; Sinha, Ashwini K.; Singh, Anand K.; Vichare, Geeta; Dhar, Ajay; Labde, Sachin; Jeeva, K.</t>
  </si>
  <si>
    <t>Substorm related CNA near equatorward boundary of the auroral oval in relation to interplanetary conditions</t>
  </si>
  <si>
    <t>Cosmic noise absorption; Imaging riometer; Substorm; Geomangetic storm</t>
  </si>
  <si>
    <t>IMAGING RIOMETER; ELECTRON-PRECIPITATION; SOLAR-WIND; ABSORPTION; EVENTS; MAGNETOSPHERE; IONOSPHERE; DEPENDENCE; DYNAMICS; SECTOR</t>
  </si>
  <si>
    <t>Cosmic noise absorption (CNA) at high latitudes is a typical manifestation of enhanced precipitation of energetic charged particles during the course of a magnetospheric substorm. Present analysis demonstrates the energetic particles precipitate to the high latitude ionosphere during substorms, affecting upper and lower regions of the ionosphere simultaneously. Previous studies have reported that intense and short-lived CNA events associated with substorms are mostly observed in the midnight sector of the auroral oval. In the current study, we have examined such type of CNA events predominantly occurring during 0000-0600 UT (2300-0500 MLT) at an Indian Antarctic station Maitri (corrected geomagnetic (CGM) coordinates 62.59 degrees S, 53.59 degrees E), which is located at the equatorward edge of the auroral oval. Absorption events related to isolated substorm and storra-time substorms exhibit distinct features in terms of their intensity and extent in latitude and longitude. Our study suggests that the maximum intensity of CNAs depends on the interplanetary conditions, such as, the solar wind speed, southward component of IMF Bz, and duskward component of IEF Ey. Moreover, the role of duskward component of IEF Ey is more noteworthy than other interplanetary parameters. (C) 2015 COSPAR. Published by Elsevier Ltd. All rights reserved.</t>
  </si>
  <si>
    <t>[Behera, Jayanta K.; Sinha, Ashwini K.; Vichare, Geeta; Dhar, Ajay; Labde, Sachin] Indian Inst Geomagnetism, Navi Mumbai 410218, India; [Singh, Anand K.] Natl Ctr Antarctica &amp; Ocean Res, Vasco Da Gama 403804, Goa, India; [Jeeva, K.] Equatorial Geophyscal Res Lab, Maharajanagar 627011, Tirunelveli, India</t>
  </si>
  <si>
    <t>Department of Science &amp; Technology (India); Indian Institute of Geomagnetism (IIG); Ministry of Earth Sciences (MoES) - India; National Centre for Polar and Ocean Research (NCPOR); Department of Science &amp; Technology (India); Indian Institute of Geomagnetism (IIG)</t>
  </si>
  <si>
    <t>Behera, JK (corresponding author), Maitri Second Indian Sci Stn, Bombay, Maharashtra, India.</t>
  </si>
  <si>
    <t>jayanta.iig@gmail.com; sinha.ashwini@gmail.com; akumars11@gmail.com; geeta@iigs.iigm.res.in; ajaydhar56@gmail.com; sachinmaitril2@gmail.com; 123.jeeva@gmail.com</t>
  </si>
  <si>
    <t>Singh, Anand K./K-7986-2012</t>
  </si>
  <si>
    <t>Sinha, Ashwini Kumar/0000-0003-1329-6579</t>
  </si>
  <si>
    <t>National Centre for Antarctica and Ocean Research (Ministry of Earth Sciences)</t>
  </si>
  <si>
    <t>Authors would like to extend their sincere thanks to the National Centre for Antarctica and Ocean Research (Ministry of Earth Sciences) for providing the necessary infrastructure during the XXXIII Indian Scientific Expedition to Antarctica, 2011. Authors also acknowledge the OMNI Web (http://omniweb.gsfc.nasa.gov/form/omni min.html) for time-shifted interplanetary observations and World Data Centre (WDC), Kyoto (http://wdc.kugi.kyoto-u.ac.jp/aeasy/index.html) for geomagnetic indices.</t>
  </si>
  <si>
    <t>10.1016/j.asr.2015.03.036</t>
  </si>
  <si>
    <t>CL1WA</t>
  </si>
  <si>
    <t>WOS:000356734400004</t>
  </si>
  <si>
    <t>Shadwick, EH; Tilbrook, B; Cassar, N; Trull, TW; Rintoul, SR</t>
  </si>
  <si>
    <t>Shadwick, E. H.; Tilbrook, B.; Cassar, N.; Trull, T. W.; Rintoul, S. R.</t>
  </si>
  <si>
    <t>Summertime physical and biological controls on O2 and CO2 in the Australian Sector of the Southern Ocean</t>
  </si>
  <si>
    <t>Air-Sea CO2 Exchange; Oxygen-Argon ratio; Net Community Production; Southern Ocean</t>
  </si>
  <si>
    <t>NET COMMUNITY PRODUCTION; ROSS SEA; PHYTOPLANKTON GROWTH; PRIMARY PRODUCTIVITY; IRON FERTILIZATION; EXPORT PRODUCTION; PROFILING FLOATS; TEMPERATURE; RATIOS; FLUXES</t>
  </si>
  <si>
    <t>Continuous measurements of CO2 partial pressure, dissolved oxygen, and the oxygen argon ratio (O-2/Ar) in surface waters, complemented by discrete observations of inorganic carbon, along a late-summer south-to-north transect in the Australian Sector of the Southern Ocean (115 degrees E, WOCE I9S) are presented. The largest net community production (NCP, based on O-2/Ar), and air-sea CO2 disequilibrium (Delta DpCO(2)) were found in three regions: (1) between the southern boundary of the Antarctic Circumpolar Current (63.6 degrees S) and southern extent of the Polar Front (58.6 degrees S, NCP = 30 mmol C m(-2) d(-1), Delta pCO(2) = 30 to 50 mu atm); (2) between the northern extent of the Sub-Antarctic Front (45.5 degrees S) and the Sub-Tropical Front (39.8 degrees S, NCP = 50 mmol C m(-2) d(-1), Delta pCO(2) = 25 mu atm); and (3) near 35 degrees S (NCP = 50 mmol C m(-2) d(-1), Delta pCO(2) = 20 mu atm). Areas of enhanced NCP were correlated with shallow mixed layer depths, suggesting that production is controlled in part by light limitation. We found good agreement between estimates of NCP based on O-2/Ar measurements and those derived from seasonal (mixed layer) inorganic carbon deficits. In ice covered areas, and in areas where surface temperature changes act on shorter timescales than the equilibration of oxygen in the mixed layer, we find that physical controls on surface O-2 are of equal magnitude to biological controls, which has important implications for the use of oxygen sensors on autonomous platforms to infer NCP. (C) 2014 Elsevier B.V. All rights reserved.</t>
  </si>
  <si>
    <t>[Shadwick, E. H.; Tilbrook, B.; Trull, T. W.; Rintoul, S. R.] Univ Tasmania, Antarctic Climate &amp; Ecosyst Cooperat Res Ctr, Hobart, Tas 7001, Australia; [Tilbrook, B.; Trull, T. W.; Rintoul, S. R.] CSIRO Marine &amp; Atmospher Res, Wealth Oceans Flagship, Hobart, Tas 7001, Australia; [Tilbrook, B.; Trull, T. W.; Rintoul, S. R.] Ctr Weather &amp; Climate Res, Hobart, Tas 7001, Australia; [Tilbrook, B.; Trull, T. W.; Rintoul, S. R.] Australian Bur Meteorol, Hobart, Tas 7001, Australia; [Cassar, N.] Duke Univ, Nicholas Sch Environm, Div Earth &amp; Ocean Sci, Durham, NC 27708 USA</t>
  </si>
  <si>
    <t>University of Tasmania; Antarctic Climate &amp; Ecosystems Cooperative Research Centre (ACE CRC); Commonwealth Scientific &amp; Industrial Research Organisation (CSIRO); Bureau of Meteorology - Australia; Duke University</t>
  </si>
  <si>
    <t>Shadwick, EH (corresponding author), Antarctic Climate &amp; Ecosyst Cooperat Res Ctr, Private Bag 80, Hobart, Tas 7001, Australia.</t>
  </si>
  <si>
    <t>elizabeth.shadwick@utas.edu.au</t>
  </si>
  <si>
    <t>Rintoul, Stephen R/A-1471-2012; Tilbrook, Bronte/W-4007-2019; Trull, Tom W/B-7028-2014; Cassar, Nicolas/B-4260-2011</t>
  </si>
  <si>
    <t>Rintoul, Stephen R/0000-0002-7055-9876; Tilbrook, Bronte/0000-0001-9385-3827; Shadwick, Elizabeth/0000-0003-4008-3333; Cassar, Nicolas/0000-0003-0100-3783</t>
  </si>
  <si>
    <t>Australian Government's Cooperative Research Centres Program, through the Antarctic Climate &amp; Ecosystems Cooperative Research Centre (ACE CRC); Scientific Committee on Antarctic Research (SCAR) Fellowship; Alfred P. Sloan Fellowship; Australian Government through the National Collaborative Research Infrastructure Strategy; Super Science Initiative</t>
  </si>
  <si>
    <t>Australian Government's Cooperative Research Centres Program, through the Antarctic Climate &amp; Ecosystems Cooperative Research Centre (ACE CRC)(Australian GovernmentDepartment of Industry, Innovation and ScienceCooperative Research Centres (CRC) Programme); Scientific Committee on Antarctic Research (SCAR) Fellowship; Alfred P. Sloan Fellowship(Alfred P. Sloan Foundation); Australian Government through the National Collaborative Research Infrastructure Strategy(Australian GovernmentDepartment of Industry, Innovation and Science); Super Science Initiative</t>
  </si>
  <si>
    <t>This work was supported by the Australian Government's Cooperative Research Centres Program, through the Antarctic Climate &amp; Ecosystems Cooperative Research Centre (ACE CRC), and by a Scientific Committee on Antarctic Research (SCAR) Fellowship to EHS. NC was partly supported by an Alfred P. Sloan Fellowship. We thank C. Neill, K. Brown, J. Akl and E. Van Ooijen for the optode calibrations and underway data. K. Berry, N. Roden, K. Strzepek, A. Swadling and S. Thanassekos contributed to ship board sampling and analysis. M. Rosenberg provided calibrated CTD data, and the CSIRO Hydrochemistry group provided oxygen and nutrient analyses. We thank S. Sokolov for providing the Southern Ocean front positions. We are grateful to the captain and crew of the RV Aurora Australis. Underway pCO2 data was sourced from the Integrated Marine Observing System (IMOS) - IMOS is supported by the Australian Government through the National Collaborative Research Infrastructure Strategy and the Super Science Initiative. Ocean colour and sea-surface temperature visualisations used in this study were produced with the Giovanni online data system, developed and maintained by the NASA GES DISC; sea ice visualisations were produced using data accessed from the U.S. National Snow and Ice Data Center. We thank 3 anonymous reviewers and Alberto Borges for their comments on an earlier version of the manuscript.</t>
  </si>
  <si>
    <t>10.1016/j.jmarsys.2013.12.008</t>
  </si>
  <si>
    <t>CK9FY</t>
  </si>
  <si>
    <t>WOS:000356547200004</t>
  </si>
  <si>
    <t>Swart, S; Thomalla, SJ; Monteiro, PMS</t>
  </si>
  <si>
    <t>Swart, S.; Thomalla, S. J.; Monteiro, P. M. S.</t>
  </si>
  <si>
    <t>The seasonal cycle of mixed layer dynamics and phytoplankton biomass in the Sub-Antarctic Zone: A high-resolution glider experiment</t>
  </si>
  <si>
    <t>Sub-Antarctic Zone; Mixed layer depth; Stratification; Primary production; Ocean glider</t>
  </si>
  <si>
    <t>SOUTHERN-OCEAN; NORTH-ATLANTIC; MESOSCALE; BLOOMS; IRON; CHLOROPHYLL; TURBULENCE; FRONTS; FLUXES; SCALE</t>
  </si>
  <si>
    <t>In the Southern Ocean there is increasing evidence that seasonal to subseasonal temporal scales, meso- and submesoscales play an important role in understanding the sensitivity of ocean primary productivity to climate change. In this study, high-resolution glider data (3 hourly, 2 km horizontal resolution), from similar to 6 months of sampling (spring through summer) in the Sub-Antarctic Zone, is used to assess 1) the different forcing mechanisms driving variability in upper ocean physics and 2) how these may characterize the seasonal cycle of phytoplanlcton production. Results highlight the important role mesa- to submesoscale features have in driving vertical stratification and early phytoplankton bloom initiations in spring by increasing light exposure. In summer, the combined role of solar heat flux, mesoscale features and subseasonal storms on the extent of the mixed layer is proposed to regulate both light and iron to the upper ocean at appropriate time scales for phytoplankton growth, thereby sustaining the bloom for an extended period through to late summer. This study highlights the need for climate models to resolve both mesa- to submesoscale and subseasonal processes in order to accurately reflect the phenology of the phytoplankton community and understand the sensitivity of ocean primary productivity to climate change. (C) 2014 Elsevier B.V. All rights reserved.</t>
  </si>
  <si>
    <t>[Swart, S.; Thomalla, S. J.; Monteiro, P. M. S.] CSIR, Southern Ocean Carbon &amp; Climate Observ, ZA-7599 Stellenbosch, South Africa; [Swart, S.] Univ Cape Town, Marine Res Inst, Dept Oceanog, ZA-7701 Rondebosch, South Africa</t>
  </si>
  <si>
    <t>Council for Scientific &amp; Industrial Research (CSIR) - South Africa; University of Cape Town</t>
  </si>
  <si>
    <t>Swart, S (corresponding author), CSIR, Southern Ocean Carbon &amp; Climate Observ, POB 320, ZA-7599 Stellenbosch, South Africa.</t>
  </si>
  <si>
    <t>sebastiaan.swart@csir.co.za</t>
  </si>
  <si>
    <t>Thomalla, Sandy/AAS-4133-2021; Swart, Sebastiaan/U-5498-2017</t>
  </si>
  <si>
    <t>Swart, Sebastiaan/0000-0002-2251-8826</t>
  </si>
  <si>
    <t>CSIR's PG funding [0000005278]; NRF-SANAP [SNA2011112600001, SNA2011120800004]; CSIR-YREF grant [05441]</t>
  </si>
  <si>
    <t>CSIR's PG funding; NRF-SANAP; CSIR-YREF grant</t>
  </si>
  <si>
    <t>The blended altimetry data were supplied by CLS/AVISO, the ocean color data is from the GlobColour Project, the SST is provided by the UK Met Office and the wind data is provided by NOAA/NCDC. This work was supported by CSIR's PG funding (0000005278), NRF-SANAP grants (SNA2011112600001 and SNA2011120800004) and a CSIR-YREF grant (05441) of S. Swart. We thank both the South African Maritime Safety Authority (SAMSA), the South African National Antarctic Program (SANAP), the captain and officers of the MV SA Agulhas and the RV SA Agulhas II for the successful completion of the research voyages pertaining to SOSCEx. This experiment would not have been possible without the dedication and professionalism shown by oceanographic engineers, Derek Needham and Andre Hoek of Sea Technology Services, as well as by our young and enthusiastic electronic engineering students, Sinekhaya Bilana and Jean-Pierre Smit of Cape Peninsula University of Technology. Lastly, we would like to thank the numerous technical assistance, advice and IOP hosting provided by Geoff Shilling and Craig Lee of the Applied Physics Laboratory, University of Washington.</t>
  </si>
  <si>
    <t>10.1016/j.jmarsys.2014.06.002</t>
  </si>
  <si>
    <t>WOS:000356547200012</t>
  </si>
  <si>
    <t>McKiver, WJ; Vichi, M; Lovato, T; Storto, A; Masina, S</t>
  </si>
  <si>
    <t>McKiver, William J.; Vichi, Marcello; Lovato, Tomas; Storto, Andrea; Masina, Simona</t>
  </si>
  <si>
    <t>Impact of increased grid resolution on global marine biogeochemistry</t>
  </si>
  <si>
    <t>Marine plankton; Global ocean; Mesoscale processes; Chlorophyll; Nutricline</t>
  </si>
  <si>
    <t>SEA-ICE MODEL; OCEAN ECOSYSTEM; MIXED-LAYER; BIOLOGICAL PRODUCTION; CIRCULATION MODEL; GENERALIZED-MODEL; TROPICAL PACIFIC; SOUTHERN-OCEAN; NORTH-ATLANTIC; MESOSCALE</t>
  </si>
  <si>
    <t>Here we examine the impact of mesoscale processes on the global marine biogeochemical system by performing simulations at two different resolutions, 2 degrees (LO-res) and 1/4 degrees resolution (HI-res) using the PELAGOS model. Both the LO-res and HI-res simulations are set up with the same forcings and biogeochemical parameterizations, while the initial conditions are provided by a spinup of the LO-res simulation. This allows us to perform a direct inter-comparison of the two cases with a view to understanding how the introduction of mesoscale features affects the biogeochemical system, specifically how differences in the resolved horizontal and vertical motions are reflected in the plankton biomass and the nutrient availability. While the global large-scale oceanographic features (fronts, gyres, etc.) are captured in both the LO-res and HI-res simulations, differences in the mesoscale flow structures, and in particular the resolved vertical physics in the HI-res simulation generate very different behavior in the biogeochemical system. These differences in the physics drive what is a spun-up biogeochemical system in the LO-res simulation into a new regime in the HI-res simulation with significant reduction of typical low resolution biases. Coastal features are well reproduced due to stronger Ekman upwelling at the continental margins and increased eddy kinetic energy in the Southern Ocean significantly reduces the winter overestimation. These biases in the LO-res model are a result of inadequate vertical dynamics. The enhancement of surface chlorophyll can be attributed to improvements in the winter mixed layer in some regions such as the North Atlantic, while it is overall the difference in the Ekman vertical velocity which improves surface production allowing to simulate more realistic deep chlorophyll maxima as well. While the HI-res is better than the LO-res at capturing the timing of the spring bloom in the Southern Ocean, it still overestimates the peak of the bloom, hinting at the need to better understand the driving forces of the seasonal cycle of sub-Antarctic plankton dynamics. (C) 2014 Elsevier B.V. All rights reserved.</t>
  </si>
  <si>
    <t>[McKiver, William J.; Vichi, Marcello; Lovato, Tomas; Storto, Andrea; Masina, Simona] Ctr Euromediterraneo Cambiamenti Climat, Bologna, Italy; [Masina, Simona] Ist Nazl Geofis &amp; Vulcanol, Bologna, Italy; [Vichi, Marcello] Univ Cape Town, Dept Oceanog, ZA-7700 Rondebosch, South Africa</t>
  </si>
  <si>
    <t>Istituto Nazionale Geofisica e Vulcanologia (INGV); University of Cape Town</t>
  </si>
  <si>
    <t>McKiver, WJ (corresponding author), Ctr Euromediterraneo Cambiamenti Climat, Bologna, Italy.</t>
  </si>
  <si>
    <t>william.mckiver@cmcc.it</t>
  </si>
  <si>
    <t>Storto, Andrea/AAH-3823-2019; McKiver, William/AAY-2783-2020; Vichi, Marcello/GLR-9823-2022; Masina, Simona/B-4974-2012; Vichi, Marcello/B-8719-2008</t>
  </si>
  <si>
    <t>Storto, Andrea/0000-0003-3856-8905; Vichi, Marcello/0000-0002-0686-9634; Vichi, Marcello/0000-0002-0686-9634; LOVATO, Tomas/0000-0002-5188-6767; McKiver, William/0000-0001-8082-3530; MASINA, Simona/0000-0001-6273-7065</t>
  </si>
  <si>
    <t>GreenSeas project in the framework of the European Community FP7 Framework Programme [265294]; Italian Ministry of Education, University and Research; Italian Ministry of Environment, Land and Sea under the GEMINA project</t>
  </si>
  <si>
    <t>GreenSeas project in the framework of the European Community FP7 Framework Programme; Italian Ministry of Education, University and Research(Ministry of Education, Universities and Research (MIUR)); Italian Ministry of Environment, Land and Sea under the GEMINA project</t>
  </si>
  <si>
    <t>This work is funded by the GreenSeas project (2010-2013) in the framework of the European Community FP7 Framework Programme (265294). The research leading to these results has received funding from the Italian Ministry of Education, University and Research and the Italian Ministry of Environment, Land and Sea under the GEMINA project. We wish to thank Dorotea Iovino for her advice in setting up the model.</t>
  </si>
  <si>
    <t>10.1016/j.jmarsys.2014.10.003</t>
  </si>
  <si>
    <t>WOS:000356547200016</t>
  </si>
  <si>
    <t>Stienen, EWM; Brenninkmeijer, A; Courtens, W</t>
  </si>
  <si>
    <t>Stienen, Eric W. M.; Brenninkmeijer, Allix; Courtens, Wouter</t>
  </si>
  <si>
    <t>Intra-specific plasticity in parental investment in a long-lived single-prey loader</t>
  </si>
  <si>
    <t>Sandwich Tern; Single-prey loader; Body condition; Parental nest attendance; Kleptoparasitism</t>
  </si>
  <si>
    <t>TERNS STERNA-HIRUNDO; BLACK-HEADED GULLS; SANDWICH TERNS; EXPERIMENTAL MANIPULATION; CHICK CONDITION; BODY-MASS; ENVIRONMENTAL VARIABILITY; CALONECTRIS-DIOMEDEA; FORAGING BEHAVIOR; ANTARCTIC PETREL</t>
  </si>
  <si>
    <t>Seabirds exhibit considerable behavioural flexibility in foraging investment in order to meet the nutritional needs of their chicks during variable environmental conditions. Although regulation of offspring provisioning is generally thought to be related to species-specific constraints imposed by central place foraging, some studies suggest different responses within the same species linked to local differences in foraging conditions. Under adverse conditions, seabirds are expected to be less flexible because they must secure their own survival chances first before investing in current reproduction. Short-ranging single-prey loaders are expected to show large intra-specific variation in time spent on foraging because their mode of foraging is energetically expensive, and because they face restricted possibilities to increase the numerical prey input to the colony compared to multiple prey loaders. In this study, we examined if and how the single-prey loading Sandwich Tern Thalasseus sandvicensis varies colony attendance based on the nutritional status of their chick as well as parental body condition in two study colonies. The proportion of time that a chick was left unattended at the colony negatively correlated with chick body condition, suggesting that the parents tried to counterbalance poor feeding conditions by investing more time in foraging. Energy transport rates to the chicks (corrected for time spent away from the colony) and body condition of the chicks were similar in both colonies. However, at Zeebrugge, where adults were in poor body condition, parental non-attendance was much lower than on Griend, even when chicks were in poor condition. Still, our results suggest that parental nest non-attendance in Sandwich Terns is merely a corrective response to food loss to kleptoparasitic gulls in order to meet the nutritional status of the chick, although an effect of adult body condition could not be excluded.</t>
  </si>
  <si>
    <t>[Stienen, Eric W. M.; Courtens, Wouter] Res Inst Nat &amp; Forest, B-1070 Brussels, Belgium; [Brenninkmeijer, Allix] Altenburg &amp; Wymenga Bv, NL-9269 TZ Feanwalden, Netherlands</t>
  </si>
  <si>
    <t>Research Institute for Nature &amp; Forest</t>
  </si>
  <si>
    <t>Stienen, EWM (corresponding author), Res Inst Nat &amp; Forest, Kliniekstr 25, B-1070 Brussels, Belgium.</t>
  </si>
  <si>
    <t>eric.stienen@inbo.be; a.brenninkmeijer@altwym.nl</t>
  </si>
  <si>
    <t>Courtens, Wouter/AAG-7859-2019; Stienen, Eric/ABC-1652-2020</t>
  </si>
  <si>
    <t>Courtens, Wouter/0000-0002-5806-0343; Stienen, Eric/0000-0002-4315-0936</t>
  </si>
  <si>
    <t>Department of Maritime Access of the Flemish Government [AMT: 16EP/HS/4/2005]; Belgian Science Policy Office [TROPHOS EV-BNZ-03, Westbanks SD/BN/01A]</t>
  </si>
  <si>
    <t>Department of Maritime Access of the Flemish Government; Belgian Science Policy Office(Belgian Federal Science Policy Office)</t>
  </si>
  <si>
    <t>We like to thank all the people involved in collecting biometrical data and doing observations on Griend and at Zeebrugge. Especially, Hans Schekkerman, Hilbran Verstraete, John Habraken, John Schobben, Karin Geschiere, Nicolas Vanermen, Peter van Beers, Piet van Tienen, Rene Oosterhuis and Marc Van de walle spend many hours of observations in a hide near the colony. We thank Cees de Boer, Dirk de Boer, Dirk van Hollik, Dirk Kuiper, Jan van Dijk and Peter van Tellingen for their logistic support. The Agency of Nature and Forest (ANB) undertook regular maintenance of the colony site at Zeebrugge. The Port Authority Zeebrugge (MBZ) kindly gave permission to access the breeding sites. The Flanders Marine Institute (VLIZ) provided storage facilities for the field equipment. Ivy Jansen (INBO) gave statistical advice. Financial support for this study was provided by the Department of Maritime Access of the Flemish Government (AMT: 16EP/HS/4/2005 and related contracts) and the Belgian Science Policy Office (projects TROPHOS EV-BNZ-03 and Westbanks SD/BN/01A).</t>
  </si>
  <si>
    <t>0021-8375</t>
  </si>
  <si>
    <t>1439-0361</t>
  </si>
  <si>
    <t>10.1007/s10336-015-1170-0</t>
  </si>
  <si>
    <t>CK7WS</t>
  </si>
  <si>
    <t>WOS:000356447100014</t>
  </si>
  <si>
    <t>Arthofer, W; Bertini, L; Caruso, C; Cicconardi, F; Delph, LF; Fields, PD; Ikeda, M; Minegishi, Y; Proietti, S; Ritthammer, H; Schlick-Steiner, BC; Steiner, FM; Wachter, GA; Wagner, HC; Weingartner, LA</t>
  </si>
  <si>
    <t>Arthofer, Wolfgang; Bertini, Laura; Caruso, Carla; Cicconardi, Francesco; Delph, Lynda F.; Fields, Peter D.; Ikeda, Minoru; Minegishi, Yuki; Proietti, Silvia; Ritthammer, Heike; Schlick-Steiner, Birgit C.; Steiner, Florian M.; Wachter, Gregor A.; Wagner, Herbert C.; Weingartner, Laura A.</t>
  </si>
  <si>
    <t>Genomic-Resources-Dev-Consortium</t>
  </si>
  <si>
    <t>Genomic Resources Notes accepted 1 February 2015-31 March 2015</t>
  </si>
  <si>
    <t>This article documents the public availability of (i) raw transcriptome sequence data, assembled contigs and BLAST hits of the Antarctic plant Colobanthus quitensis grown in two different climatic conditions, (ii) the draft genome sequence data (raw reads, assembled contigs and unassembled reads) and RAD-tag read data of the marbled flounder Pseudopleuronectes yokohamae, (iii) transcriptome resources from four white campion (Silene latifolia) individuals from two morphologically divergent populations and (iv) nuclear DNA markers from 454 sequencing of reduced representation libraries (RRL) based on amplified fragment length polymorphism (AFLP) PCR products of four species of ants in the genus Tetramorium.</t>
  </si>
  <si>
    <t>Mol Ecol Resources Editorial Off, Vancouver, BC V6T 1Z4, Canada; [Arthofer, Wolfgang; Cicconardi, Francesco; Ritthammer, Heike; Schlick-Steiner, Birgit C.; Steiner, Florian M.; Wachter, Gregor A.; Wagner, Herbert C.; Genomic-Resources-Dev-Consortium] Univ Innsbruck, Inst Ecol, Mol Ecol Grp, Technikerstr 25, A-6020 Innsbruck, Austria; [Bertini, Laura; Caruso, Carla; Proietti, Silvia] Univ Tuscia, Dept Ecol &amp; Biol Sci, I-01100 Viterbo, Italy; [Delph, Lynda F.; Weingartner, Laura A.] Indiana Univ, Dept Biol, Bloomington, IN 47405 USA; [Fields, Peter D.] Univ Virginia, Dept Biol, Charlottesville, VA 22904 USA; [Fields, Peter D.] Univ Basel, Inst Zool, CH-4051 Basel, Switzerland; [Ikeda, Minoru; Minegishi, Yuki] Tohoku Univ, Grad Sch Agr Sci, Tohoku Ecosyst Associated Marine Sci, Oshika, Miyagi 9862242, Japan; [Proietti, Silvia] Univ Utrecht, Fac Sci, Dept Biol, Plant Microbe Interact, NL-3584 CH Utrecht, Netherlands</t>
  </si>
  <si>
    <t>University of Innsbruck; Tuscia University; Indiana University System; Indiana University Bloomington; University of Virginia; University of Basel; Tohoku University; Utrecht University</t>
  </si>
  <si>
    <t>Arthofer, W (corresponding author), Univ Innsbruck, Inst Ecol, Mol Ecol Grp, Technikerstr 25, A-6020 Innsbruck, Austria.</t>
  </si>
  <si>
    <t>caruso, carla/AAC-4123-2019; Weingartner, Laura/AAT-4072-2020; Bertini, Laura/AAA-8054-2019; Proietti, Silvia/AAA-6524-2020; Cicconardi, Francesco/AFV-0338-2022</t>
  </si>
  <si>
    <t>caruso, carla/0000-0002-2482-8254; Weingartner, Laura/0000-0003-0820-3980; proietti, silvia/0000-0002-4795-3293; Steiner, Florian M./0000-0003-2414-4650; BERTINI, Laura/0000-0001-6335-3880; Schlick-Steiner, Birgit/0000-0003-4026-5778</t>
  </si>
  <si>
    <t>Austrian Science Fund (FWF) [P 23409] Funding Source: researchfish; Austrian Science Fund (FWF) [P23409] Funding Source: Austrian Science Fund (FWF); Austrian Science Fund FWF [P 23409] Funding Source: Medline</t>
  </si>
  <si>
    <t>Austrian Science Fund (FWF)(Austrian Science Fund (FWF)); Austrian Science Fund (FWF)(Austrian Science Fund (FWF)); Austrian Science Fund FWF(Austrian Science Fund (FWF))</t>
  </si>
  <si>
    <t>10.1111/1755-0998.12419</t>
  </si>
  <si>
    <t>CL1CJ</t>
  </si>
  <si>
    <t>WOS:000356679800028</t>
  </si>
  <si>
    <t>Sitz, LE; Farneti, R; Griffies, SM</t>
  </si>
  <si>
    <t>Sitz, Lina E.; Farneti, Riccardo; Griffies, Stephen M.</t>
  </si>
  <si>
    <t>Simulated South Atlantic transports and their variability during 1958-2007</t>
  </si>
  <si>
    <t>South Atlantic transports; South Atlantic variability; Global ocean-sea-ice modelling; Model comparisons; SAMOC</t>
  </si>
  <si>
    <t>ANTARCTIC CIRCUMPOLAR CURRENT; MERIDIONAL HEAT-TRANSPORT; GLOBAL OCEAN CIRCULATION; FRESH-WATER TRANSPORTS; OVERTURNING CIRCULATION; AGULHAS LEAKAGE; CLIMATE VARIABILITY; HEMISPHERE; MODEL; DEEP</t>
  </si>
  <si>
    <t>South Atlantic transports, as simulated by a global ocean-sea ice model forced with the Coordinated Oceanice Reference Experiments version 2 (CORE-II) interannually varying air-sea reanalysis data sets, are analyzed for the period 1958-2007. The ocean-sea ice model is configured at three different resolutions: from eddy-permitting to coarsened grid spacing. A particular focus is given to the effect of eddy fluxes and inter-ocean exchanges on the South Atlantic Meridional Overturning Circulation (SAMOC), as well as on the main factors contributing to the interannual variability during the integration period. Differences between refined and coarsened grid spacing models are more evident in coastal areas and in regions of high eddy activities. Major discrepancies are associated to both the parameterization of eddy fluxes and the coarse representation of the bathymetry. The refined grid spacing model produces higher values of both SAMOC index, defined as the maximum of the zonally-integrated northward cumulative volume transport (CVT) from surface to bottom across similar to 34 degrees S, and meridional heat transport (MHT). All models show high correlations between SAMOC index and MHT, as well as a strengthening of the transports in the 1980-2007 period. The strengthening of the SAMOC index is mainly dominated by surface and mode waters in all models. In surface and intermediate layers, the regions contributing to this trend are located east of 40 degrees W. These changes are compensated by the strengthening of the poleward transport in deeper layers, mostly in the western part of the basin. The MHT trend is connected with the combined effect of a heat transport increase through the Drake Passage and a reduction of the heat loss through the eastern section between Africa and Antarctica, mainly associated with a strengthening in heat entering into the basin through the Agulhas system. (C) 2015 Elsevier Ltd. All rights reserved.</t>
  </si>
  <si>
    <t>[Sitz, Lina E.; Farneti, Riccardo] Int Ctr Theorer Phys, Earth Syst Phys Sect, Trieste, Italy; [Sitz, Lina E.] Univ Nacl Sur, Dept Fis, RA-8000 Bahia Blanca, Buenos Aires, Argentina; [Griffies, Stephen M.] NOAA, Geophys Fluid Dynam Lab, Princeton, NJ USA</t>
  </si>
  <si>
    <t>National University of the South; National Oceanic Atmospheric Admin (NOAA) - USA</t>
  </si>
  <si>
    <t>Sitz, LE (corresponding author), Int Ctr Theorer Phys, Earth Syst Phys Sect, Trieste, Italy.</t>
  </si>
  <si>
    <t>lsitz@ictp.it</t>
  </si>
  <si>
    <t>Farneti, Riccardo/B-5183-2011; Griffies, Stephen Matthew/N-9144-2019</t>
  </si>
  <si>
    <t>Farneti, Riccardo/0000-0001-7781-6436; Griffies, Stephen Matthew/0000-0002-3711-236X; Sitz, Lina/0000-0002-6333-4986</t>
  </si>
  <si>
    <t>National Center for Atmospheric research (NCAR); Geophysical Fluid Dynamics Laboratory (GFDL) under the umbrella of the CLIVAR Ocean Model Development Panel (OMDP); Comision Nacional de Actividades Espaciales; Ministerio de Ciencia, Tecnologia e Innovacion Productiva, Argentina [001]</t>
  </si>
  <si>
    <t>National Center for Atmospheric research (NCAR)(National Science Foundation (NSF)NSF - Directorate for Geosciences (GEO)); Geophysical Fluid Dynamics Laboratory (GFDL) under the umbrella of the CLIVAR Ocean Model Development Panel (OMDP); Comision Nacional de Actividades Espaciales; Ministerio de Ciencia, Tecnologia e Innovacion Productiva, Argentina</t>
  </si>
  <si>
    <t>The CORE-II data sets are collaboratively supported by the National Center for Atmospheric research (NCAR) and the Geophysical Fluid Dynamics Laboratory (GFDL) under the umbrella of the CLIVAR Ocean Model Development Panel (OMDP). All data sets, support codes and documentation are freely available at: http://datagfcli.noaa.govinomads/forms/mom4/COREv2.html. This research was partially funded by Comision Nacional de Actividades Espaciales and Ministerio de Ciencia, Tecnologia e Innovacion Productiva, Argentina grant 001. We thank Carolina Dufour and Adele Morrison for their useful comments on earlier drafts. Sybren Drijfhout and two anonymous reviewers made useful and constructive comments on the manuscript.</t>
  </si>
  <si>
    <t>10.1016/j.ocemod.2015.05.001</t>
  </si>
  <si>
    <t>CK2SR</t>
  </si>
  <si>
    <t>WOS:000356063100004</t>
  </si>
  <si>
    <t>Byun, MY; Lee, J; Cui, LH; Kang, Y; Oh, TK; Park, H; Lee, H; Kim, WT</t>
  </si>
  <si>
    <t>Byun, Mi Young; Lee, Jungeun; Cui, Li Hua; Kang, Yoonjee; Oh, Tae Kyung; Park, Hyun; Lee, Hyoungseok; Kim, Woo Taek</t>
  </si>
  <si>
    <t>Constitutive expression of DaCBF7, an Antarctic vascular plant Deschampsia antarctica CBF homolog, resulted in improved cold tolerance in transgenic rice plants</t>
  </si>
  <si>
    <t>PLANT SCIENCE</t>
  </si>
  <si>
    <t>C-repeat/DRE binding factor; Cold stress tolerance; Deschampsia antarctica; RNA-seq analysis; Transgenic rice (Oryza sativa) plant</t>
  </si>
  <si>
    <t>RESPONSIVE GENE-EXPRESSION; TRANSCRIPTION FACTORS; STRESS TOLERANCE; FREEZING TOLERANCE; ABIOTIC STRESS; FUNCTIONAL-CHARACTERIZATION; SIGNAL-TRANSDUCTION; ENHANCES TOLERANCE; DROUGHT; OVEREXPRESSION</t>
  </si>
  <si>
    <t>Deschampsia antarcdca is an Antarctic hairgrass that grows on the west coast of the Antarctic peninsula. In this report, we have identified and characterized a transcription factor, D. antarctica C-repeat binding factor 7 (DaCBF7), that is a member of the monocot group V CBF homologs. The protein contains a single AP2 domain, a putative nuclear localization signal, and the typical CBF signature. DaCBF7, like other monocot group V homologs, contains a distinct polypeptide stretch composed of 43 amino acids in front of the AP2 motif. DaCBF7 was predominantly localized to nuclei and interacted with the C-repeat/dehydration responsive element (CRT/DRE) core sequence (ACCGAC) in vitro. DaCBF7 was induced by abiotic stresses, including drought, cold, and salinity. To investigate its possible cellular role in cold tolerance, a transgenic rice system was employed. DaCBF7-overexpressing transgenic rice plants (Ubi:DaCBF7) exhibited markedly increased tolerance to cold stress compared to wild-type plants without growth defects; however, overexpression of DaCBF7 exerted little effect on tolerance to drought or salt stress. Transcriptome analysis of a Ubi:DaCBF7 transgenic line revealed 13 genes that were up-regulated in DaCBF7-overexpressing plants compared to wild-type plants in the absence of cold stress and in short- or long-term cold stress. Five of these genes, dehydrin, remorin, Os03g63870, Os11g34790, and Os10g22630, contained putative CRT/DRE or low-temperature responsive elements in their promoter regions. These results suggest that overexpression of DaCBF7 directly and indirectly induces diverse genes in transgenic rice plants and confers enhanced tolerance to cold stress. (C) 2015 Elsevier Ireland Ltd. All rights reserved.</t>
  </si>
  <si>
    <t>[Byun, Mi Young; Cui, Li Hua; Oh, Tae Kyung; Kim, Woo Taek] Yonsei Univ, Coll Life Sci &amp; Biotechnol, Dept Syst Biol, Seoul 120749, South Korea; [Lee, Jungeun; Kang, Yoonjee; Park, Hyun; Lee, Hyoungseok] Korea Polar Res Inst, Div Life Sci, Inchon 406840, South Korea</t>
  </si>
  <si>
    <t>Yonsei University; Korea Institute of Ocean Science &amp; Technology (KIOST); Korea Polar Research Institute (KOPRI)</t>
  </si>
  <si>
    <t>Kim, WT (corresponding author), Yonsei Univ, Coll Life Sci &amp; Biotechnol, Dept Syst Biol, Seoul 120749, South Korea.</t>
  </si>
  <si>
    <t>soulaid@kopri.re.kr; wtkim@yonsei.ac.kr</t>
  </si>
  <si>
    <t>Lee, Hyoungseok/0000-0002-5831-6345; Park, Hyun/0000-0002-8055-2010</t>
  </si>
  <si>
    <t>Antarctic organisms: cold-adaptation mechanisms and its application grant - Korea Polar Research Institute [PE15070]; National Center for GM Crops of the Next Generation BioGreen 21 Program - Rural Development Administration, Republic of Korea [PJ011138]</t>
  </si>
  <si>
    <t>Antarctic organisms: cold-adaptation mechanisms and its application grant - Korea Polar Research Institute(Korea Polar Research Institute of Marine Research Placement (KOPRI)); National Center for GM Crops of the Next Generation BioGreen 21 Program - Rural Development Administration, Republic of Korea</t>
  </si>
  <si>
    <t>This work was supported by The Antarctic organisms: cold-adaptation mechanisms and its application grant (PE15070), funded by the Korea Polar Research Institute and a grant from the National Center for GM Crops (Project No. PJ011138) of the Next Generation BioGreen 21 Program, funded by the Rural Development Administration, Republic of Korea, to W.T.K.</t>
  </si>
  <si>
    <t>ELSEVIER IRELAND LTD</t>
  </si>
  <si>
    <t>CLARE</t>
  </si>
  <si>
    <t>ELSEVIER HOUSE, BROOKVALE PLAZA, EAST PARK SHANNON, CO, CLARE, 00000, IRELAND</t>
  </si>
  <si>
    <t>0168-9452</t>
  </si>
  <si>
    <t>1873-2259</t>
  </si>
  <si>
    <t>PLANT SCI</t>
  </si>
  <si>
    <t>Plant Sci.</t>
  </si>
  <si>
    <t>10.1016/j.plantsci.2015.03.020</t>
  </si>
  <si>
    <t>CK9JO</t>
  </si>
  <si>
    <t>WOS:000356556600006</t>
  </si>
  <si>
    <t>Casanovas, P; Naveen, R; Forrest, S; Poncet, J; Lynch, HJ</t>
  </si>
  <si>
    <t>Casanovas, Paula; Naveen, Ron; Forrest, Steve; Poncet, Jerome; Lynch, Heather J.</t>
  </si>
  <si>
    <t>A comprehensive coastal seabird survey maps out the front lines of ecological change on the western Antarctic Peninsula</t>
  </si>
  <si>
    <t>Penguins; Blue-eyed shag; Marguerite Bay; Sea ice; Phytoplankton blooms</t>
  </si>
  <si>
    <t>MARINE ECOSYSTEM; CLIMATE-CHANGE; PENGUIN POPULATIONS; SEA-ICE; VARIABILITY; ADELIE; LINKS</t>
  </si>
  <si>
    <t>Seabirds along the western Antarctic Peninsula are known to be shifting in abundance and distribution in response to changing sea ice and prey distributions, but the spatial extent of these changes has remained an open question because survey efforts have focused on the more easily accessed northern coastline. We used a yacht-based field expedition (January 5-21, 2013) to complete the first comprehensive penguin (Pygoscelis spp.) and blue-eyed shag (Phalacrocorax [atriceps] bransfieldensis) population survey of the Graham and Loubet Coasts of the western Antarctic Peninsula since the mid-1980s. Our surveys document a sharp transition zone at the northern boundary of Marguerite Bay; north of this boundary zone, we confirm widespread declines in Ad,lie penguins and increasing populations of gentoo penguins, but south of this zone we find Ad,lie populations that have remained stable or increased in abundance since the previous surveys by Poncet and Poncet (Br Antarct Surv Bull 77:109-129, 1987). Marguerite Bay has long been known as a predator hotspot, but our findings suggest that Marguerite Bay has actually been improving for marine predators for at least several decades. Marguerite Bay, which has fundamentally different ocean dynamics than in areas just outside Marguerite Bay, has maintained persistent phytoplankton blooms over the past decade even as summer sea ice extent, which can inhibit access to breeding areas, has declined. This provides further support for the hypothesis that ocean productivity and sea ice dynamics are critical factors regulating Ad,lie penguin abundance in the region and that Marguerite Bay is now at the front lines of ecological change in this region.</t>
  </si>
  <si>
    <t>[Casanovas, Paula; Naveen, Ron; Forrest, Steve] Oceanites Inc, Chevy Chase, MD USA; [Poncet, Jerome] Golden Fleece Expedit Cruises, Beaver Isl, Falkland Island, Spain; [Lynch, Heather J.] SUNY Stony Brook, Dept Ecol &amp; Evolut, Stony Brook, NY 11794 USA</t>
  </si>
  <si>
    <t>State University of New York (SUNY) System; State University of New York (SUNY) Stony Brook</t>
  </si>
  <si>
    <t>Lynch, HJ (corresponding author), SUNY Stony Brook, Dept Ecol &amp; Evolut, Stony Brook, NY 11794 USA.</t>
  </si>
  <si>
    <t>heather.lynch@stonybrook.edu</t>
  </si>
  <si>
    <t>Convey, Peter/AAV-5728-2020</t>
  </si>
  <si>
    <t>Convey, Peter/0000-0001-8497-9903; Casanovas, Paula/0000-0002-4462-139X</t>
  </si>
  <si>
    <t>Tinker Foundation; Oceanites, Inc.; U.S. National Science Foundation Office of Polar Programs and Geography and Spatial Sciences [07-39515, 12-55058]; NASA headquarters under the NASA Earth and Space Fellowship Program [NNX10AN55H]</t>
  </si>
  <si>
    <t>Tinker Foundation; Oceanites, Inc.; U.S. National Science Foundation Office of Polar Programs and Geography and Spatial Sciences; NASA headquarters under the NASA Earth and Space Fellowship Program</t>
  </si>
  <si>
    <t>We gratefully acknowledge the support of The Tinker Foundation, whose support enabled Oceanites, Inc. and the Antarctic Site Inventory team to charter Golden Fleece for this directed research, and in addition, thank the U.S. National Science Foundation Office of Polar Programs and Geography and Spatial Sciences (Awards Nos. 07-39515 and 12-55058). We also acknowledge the support of NASA headquarters under the NASA Earth and Space Fellowship Program-Grant NNX10AN55H to P. C. We are grateful to the crew of the yacht Golden Fleece, Yoann Gourdet and Cathy Colle, for ensuring the safety and well-being of the Antarctic Site Inventory research team during their work period in the Antarctic Peninsula. Cheesemans' Ecology Safaris and One Ocean Expeditions, which graciously provided transportation to and from the Peninsula.</t>
  </si>
  <si>
    <t>10.1007/s00300-015-1651-x</t>
  </si>
  <si>
    <t>CK9BP</t>
  </si>
  <si>
    <t>WOS:000356535300001</t>
  </si>
  <si>
    <t>Angel, JJS; Cantero, ALP</t>
  </si>
  <si>
    <t>Soto Angel, Joan J.; Pena Cantero, Alvaro L.</t>
  </si>
  <si>
    <t>On the benthic hydroids from the Scotia Arc (Southern Ocean): new insights into their biodiversity, ecology and biogeography</t>
  </si>
  <si>
    <t>Biodiversity; Biogeography; Hydrozoa; New records; New species; Scotia Arc</t>
  </si>
  <si>
    <t>RECENT ANTARCTIC EXPEDITIONS; 1888 CNIDARIA; STAUROTHECA ALLMAN; ACRYPTOLARIA NORMAN; SCHIZOTRICHA ALLMAN; R.V. POLARSTERN; HYDROZOA; SERTULARIIDAE; SEA; REVISION</t>
  </si>
  <si>
    <t>The Scotia Arc, located between the Antarctic Peninsula and the southern tip of South America, is an important zone from the biogeographic point of view. Its benthic biodiversity has been extensively documented with a few exceptions, among others, the hydroid fauna, which constitutes one of the major components of the benthic Antarctic communities. With the aim of increasing the data in three different but complementary fields of knowledge (namely biodiversity, ecology and biogeography), an unpublished collection obtained during the German Antarctic expedition ANTARKTIS XIX/5 (LAMPOS) with the RV Polarstern in 2002 has been studied. A total of 45 species of benthic hydroids, belonging to 9 families and 20 genera, was found. Forty of them, including Halecium stoloniferum sp. nov. and Schizotricha discovery sp. nov., were identified to the species level. Leptothecata was by far the most dominant order with 42 species, while Anthoathecata was only represented by 3 species. Fifteen species (38 %) are endemic to the Antarctic region and 31 (78 %) restricted to Antarctic and/or sub-Antarctic waters. Schizotricha southgeorgiae, Halecium elegantulum and Sertularella argentinica are reported for the second time, whereas Schizotricha jaederholmi, Antarctoscyphus gruzovi and Sertularella jorgensis for the third time. New original autoecological data concerning the use of the substrate, reproductive phenology and bathymetric range of the inventoried species are provided.</t>
  </si>
  <si>
    <t>[Soto Angel, Joan J.; Pena Cantero, Alvaro L.] Univ Valencia, Grp Biodiversitat &amp; Evolucio Cnidaris, Inst Cavanilles Biodiversitat &amp; Biol Evolut, E-46100 Valencia, Spain; [Soto Angel, Joan J.] Univ Valencia, Lab Biol Marina, Dept Zool, Fac Ciencias Biol, E-46100 Valencia, Spain</t>
  </si>
  <si>
    <t>University of Valencia; University of Valencia</t>
  </si>
  <si>
    <t>Angel, JJS (corresponding author), Univ Valencia, Lab Biol Marina, Dept Zool, Fac Ciencias Biol, C Dr Moliner 50, E-46100 Valencia, Spain.</t>
  </si>
  <si>
    <t>joan.soto@uv.es</t>
  </si>
  <si>
    <t>Cantero, Álvaro Luis Peña/F-7888-2016; Àngel, Joan J. Soto/AAS-6133-2021</t>
  </si>
  <si>
    <t>Àngel, Joan J. Soto/0000-0002-9132-4822; Pena Cantero, Alvaro/0000-0003-3056-6673</t>
  </si>
  <si>
    <t>Conselleria d'Educacio, Cultura i Esport, Generalitat Valenciana, Spain [ACIF/2011/062]</t>
  </si>
  <si>
    <t>Conselleria d'Educacio, Cultura i Esport, Generalitat Valenciana, Spain</t>
  </si>
  <si>
    <t>The authors want to express their gratitude to Dr. Pablo Lopez Gonzalez (Universidad de Sevilla, Spain) and Dr. Josep-Maria Gili (ICM-CSIC, Barcelona, Spain) for lending us the material studied. The present project was supported by Conselleria d'Educacio, Cultura i Esport, Generalitat Valenciana, Spain (ACIF/2011/062).</t>
  </si>
  <si>
    <t>10.1007/s00300-015-1660-9</t>
  </si>
  <si>
    <t>WOS:000356535300006</t>
  </si>
  <si>
    <t>Mayzaud, P; Boutoute, M</t>
  </si>
  <si>
    <t>Mayzaud, P.; Boutoute, M.</t>
  </si>
  <si>
    <t>Dynamics of lipid and fatty acid composition of the hyperiid amphipod Themisto: a bipolar comparison with special emphasis on seasonality</t>
  </si>
  <si>
    <t>Lipids; Themisto; Arctic; Antarctic; Review</t>
  </si>
  <si>
    <t>POPULATION-DYNAMICS; TROPHIC RELATIONSHIPS; ANTARCTIC-OCEAN; SOUTH GEORGIA; FOOD-WEB; ZOOPLANKTON; GAUDICHAUDII; TROPHODYNAMICS; LIBELLULA; COPEPODS</t>
  </si>
  <si>
    <t>Themisto in polar regions represents a direct link between the zooplankton community and higher predators. Lipid characteristics were reviewed for both polar populations: T. libellula and T. abyssorum in the Arctic, and T. gaudichaudii in the Antarctic. Lipids composition showed similarities for all species with lipid class structures dominated by neutral lipids and similar composition of fatty acid membrane lipids. Differences reflect specificities of food web structure. In the Arctic, feeding on Calanus resulted in high accumulation of wax esters, and high content in long-chain monoenes in triglycerides and wax esters. In the Antarctic, feeding on different calanoid copepods resulted in a dominance of triglycerides and high 18:1n-9 content in both neutral lipid classes. Strong similarities in total fatty acid composition of summer-collected Themisto were observed in both polar systems. In addition to summer published data, a seasonal survey of adult lipid composition was carried out in Kerguelen Bay over 18 months. Lipid class composition showed maximum values of neutral lipids in fall-winter to cope with low food abundance and late winter reproduction. The results concerning fatty acid structure underline the influence of the summer-winter and winter-spring transitions: triglycerides and wax ester fatty acid changes showed in winter maximum percentages of 18:1n-9 and minimum content of polyunsaturated fatty acids. It emphasized the overwintering strategy with continuous feeding, relative stability of lipid content but decreasing percentages of polyunsaturated acids in wax esters (mostly 18:4n-3), and to a lesser extent triglycerides (mostly 20:5n-3 and 22:6n-3) to maintain stability in phospholipids fatty acid composition.</t>
  </si>
  <si>
    <t>[Mayzaud, P.; Boutoute, M.] Sorbonne Univ, Lab Oceanog Villefranche, Univ Paris 06, UMR 7093, F-06234 Paris, France; [Mayzaud, P.; Boutoute, M.] CNRS, UMR 7093, LOV, F-06234 Villefranche Sur Mer, France</t>
  </si>
  <si>
    <t>Sorbonne Universite; Centre National de la Recherche Scientifique (CNRS); CNRS - National Institute for Earth Sciences &amp; Astronomy (INSU); Sorbonne Universite; Centre National de la Recherche Scientifique (CNRS); CNRS - National Institute for Earth Sciences &amp; Astronomy (INSU)</t>
  </si>
  <si>
    <t>Mayzaud, P (corresponding author), Sorbonne Univ, Lab Oceanog Villefranche, Univ Paris 06, UMR 7093, BP 28, F-06234 Paris, France.</t>
  </si>
  <si>
    <t>Groupement de Recherche en Environnement 1069: Ecosystemes et Anthropisation from the CNRS; IPEV Interactions Oiseaux-Zooplancton (IOZ) [166]; IOZ programme; [UMR-CNRS7093]</t>
  </si>
  <si>
    <t>Groupement de Recherche en Environnement 1069: Ecosystemes et Anthropisation from the CNRS; IPEV Interactions Oiseaux-Zooplancton (IOZ); IOZ programme;</t>
  </si>
  <si>
    <t>This study was part of the IOZ programme financially supported by a grant from the Groupement de Recherche en Environnement 1069: Ecosystemes et Anthropisation from the CNRS, from IPEV Interactions Oiseaux-Zooplancton 166 (IOZ), and from UMR-CNRS7093. Thanks to P. Lejeune, G. Roudaut, and F. Alonzo for their technical help in the field. Special thanks to the captain and the crew from the RV La Curieuse. The authors would like to thank Dr. John Dolan for his editorial comments and suggestions.</t>
  </si>
  <si>
    <t>10.1007/s00300-015-1666-3</t>
  </si>
  <si>
    <t>WOS:000356535300010</t>
  </si>
  <si>
    <t>De Mas, E; Benzal, J; Merino, S; Valera, F; Palacios, MJ; Cuervo, JJ; Barbosa, A</t>
  </si>
  <si>
    <t>De Mas, Eva; Benzal, Jesus; Merino, Santiago; Valera, Francisco; Jose Palacios, Maria; Javier Cuervo, Jose; Barbosa, Andres</t>
  </si>
  <si>
    <t>Erythrocytic abnormalities in three Antarctic penguin species along the Antarctic Peninsula: biomonitoring of genomic damage</t>
  </si>
  <si>
    <t>Erythrocytic abnormalities; Genotoxic damage; Antarctica; Penguins; Pollutants</t>
  </si>
  <si>
    <t>POLYBROMINATED DIPHENYL ETHERS; NUCLEAR ABNORMALITIES; TRACE-ELEMENTS; HYDROCARBON CONTAMINATION; MICRONUCLEUS TEST; MCMURDO-STATION; SOUTH SHETLAND; ARTHUR HARBOR; BAHIA-PARAISO; POLAR SKUAS</t>
  </si>
  <si>
    <t>Pollutants and toxic contaminants produced in all parts of the world are transported to remote regions including Antarctica. Tourism, research, and fishing activities on this continent are another source of contamination. Toxic substances affect Antarctic species, and some produced genomic damage to the fauna. The genetic damage can be detected by microscopic observation of erythrocytic nuclear abnormalities (ENAs). We counted the number of ENAs in seven populations of three Pygoscelid penguin species, Ad,lie (Pygoscelis adeliae), Chinstrap (Pygoscelis antarctica), and Gentoo (Pygoscelis papua), and found important differences among species exposed to the same conditions. ENAs were more frequent in Ad,lie penguins than in the other two species. Inter-population comparisons within species showed remarkable differences in Ad,lie and Chinstrap penguins but not in Gentoo penguin. Frequency of ENAs in Ad,lie penguins was the highest in Yalour Island population, intermediate in King George Island population, and the lowest in Torgersen Island and Avian Island populations. In Chinstrap penguins, the highest number of ENAs was found on Deception Island, and significant differences were found only between Deception Island and King George Island populations. This information will provide baseline data to be used for assessing the evolution of genomic damage of penguins along the Antarctic Peninsula in the future.</t>
  </si>
  <si>
    <t>[De Mas, Eva; Benzal, Jesus; Valera, Francisco; Jose Palacios, Maria; Javier Cuervo, Jose; Barbosa, Andres] CSIC, Dept Ecol Func &amp; Evolut, Estn Expt Zonas Aridas, La Canada De San Urbano 04120, Almeria, Spain; [Merino, Santiago; Javier Cuervo, Jose; Barbosa, Andres] CSIC, Museo Nacl Ciencias Nat, Dept Ecol Evolut, E-28006 Madrid, Spain</t>
  </si>
  <si>
    <t>Consejo Superior de Investigaciones Cientificas (CSIC); CSIC - Estacion Experimental de Zonas Aridas (EEZA); Consejo Superior de Investigaciones Cientificas (CSIC); CSIC - Museo Nacional de Ciencias Naturales (MNCN)</t>
  </si>
  <si>
    <t>Barbosa, A (corresponding author), CSIC, Dept Ecol Func &amp; Evolut, Estn Expt Zonas Aridas, Carretera Sacramento S-N, La Canada De San Urbano 04120, Almeria, Spain.</t>
  </si>
  <si>
    <t>barbosa@mncn.csic.es</t>
  </si>
  <si>
    <t>Barbosa, Andrés/C-3208-2008; Merino, Santiago/A-6183-2008; Valera, Francisco/R-3437-2019; Benzal, Jesús/T-4555-2017; Cuervo, José Javier/K-1646-2014; De Mas, Eva/H-9172-2015</t>
  </si>
  <si>
    <t>Barbosa, Andrés/0000-0001-8434-3649; Merino, Santiago/0000-0003-0603-8280; Valera, Francisco/0000-0003-2266-8899; Cuervo, José Javier/0000-0001-7943-7835; De Mas, Eva/0000-0001-8225-5805</t>
  </si>
  <si>
    <t>Spanish Ministry of Science and Education [BES2005-8465]; Spanish Ministry of Science and Innovation; European Regional Development Fund [REN2001-5004/ANT, CGL2004-03148, POL2006-05175, CGL2007-60369, CTM2011-24427]; [172]</t>
  </si>
  <si>
    <t>Spanish Ministry of Science and Education(Spanish Government); Spanish Ministry of Science and Innovation(Spanish Government); European Regional Development Fund(European Union (EU));</t>
  </si>
  <si>
    <t>M.J.P. was supported by a Ph.D. grant from the Spanish Ministry of Science and Education (BES2005-8465). We thank the Spanish Antarctic base Gabriel de Castilla, the Argentinean Antarctic base Carlini (ex Jubany), the UTM (Maritime Technology Unit, CSIC), the Spanish Polar ship Las Palmas and the Argentinean Antarctic Institute for their logistic support. Permission to work in the study area and for penguin handling was granted by the Spanish Polar Committee. This is a contribution to the International Polar Year project 172 BIRDHEALTH and to PINGUCLIM project. Deborah Fuldauer revised the language of the manuscript. We greatly appreciate for the comments of three anonymous reviewers which improved an early version of the manuscript. This study was funded by the Spanish Ministry of Science and Innovation and the European Regional Development Fund under the Projects REN2001-5004/ANT, CGL2004-03148, POL2006-05175, CGL2007-60369 and CTM2011-24427 during writing.</t>
  </si>
  <si>
    <t>10.1007/s00300-015-1667-2</t>
  </si>
  <si>
    <t>WOS:000356535300011</t>
  </si>
  <si>
    <t>Zhang, F; He, JF; Lin, L; Jin, HY</t>
  </si>
  <si>
    <t>Zhang, Fang; He, Jianfeng; Lin, Ling; Jin, Haiyan</t>
  </si>
  <si>
    <t>Dominance of picophytoplankton in the newly open surface water of the central Arctic Ocean</t>
  </si>
  <si>
    <t>Picophytoplankton; Community structure; Central Arctic Ocean; HPLC-CHEMTAX; 18S rRNA gene; 454 Pyrosequencing</t>
  </si>
  <si>
    <t>COMMUNITY STRUCTURE; PHYTOPLANKTON; DIVERSITY; ABUNDANCE; SUMMER; RIVER; SEA; TEMPERATURE; PHYLOGENY; MICROBES</t>
  </si>
  <si>
    <t>Picophytoplankton are the main primary producers in oligotrophic oceans. They account for more than 90 % of the phototrophic biomass. Investigations of picophytoplankton in the central Arctic Ocean region are rare because these waters used to be completely covered with sea ice. Large, newly exposed water areas, however, appeared in the sea ice zone during the summer of 2010. This provided the first opportunity to study the Arctic picophytoplankton community in these newly open surface waters. This study focuses on the picophytoplankton in the areas near the Alpha-Mendeleev Ridge and Makarov Basin. Here, HPLC pigment analysis with CHEMTAX was used to study community populations, and 454 pyrosequencing with bioinformatics analysis was used to identify the dominant genera (species). Both Pearson correlation analysis and canonical correlation analysis were used to study the relationships between the community and environmental factors. We found chlorophyll a concentrations were low (0.05-0.39 mu g l(-1)), and picophytoplankton dominated these areas. The abundances of picophytoplankton were 1.58 x 10(6)-9.47 x 10(6) cells l(-1) and made up 44-80 % of the total chlorophyll a. Prasinophytes made up 0-88 % of the picoplanktonic chlorophyll a with the following distributions: diatoms (2-80 %), cyanobacteria (0-20 %), haptophytes (4-14 %), and dinoflagellates (2-11 %). The dominant genera (species) in the picoeukaryotes were Pyramimonas (Pyramimonas gelidicola), Micromonas (Micromonas pusilla), and Phaeocystis. Salinity and latitude were the primary factors controlling the community structure of the picophytoplankton.</t>
  </si>
  <si>
    <t>[Zhang, Fang; He, Jianfeng; Lin, Ling] Polar Res Inst China, Key Lab Polar Sci State Ocean Adm, Shanghai 200136, Peoples R China; [Jin, Haiyan] SOA, Inst Oceanog 2, Lab Marine Ecosyst &amp; Biogeochem, Hangzhou 310012, Zhejiang, Peoples R China</t>
  </si>
  <si>
    <t>Polar Research Institute of China</t>
  </si>
  <si>
    <t>Zhang, F (corresponding author), Polar Res Inst China, Key Lab Polar Sci State Ocean Adm, Shanghai 200136, Peoples R China.</t>
  </si>
  <si>
    <t>zhangfang@pric.org.cn</t>
  </si>
  <si>
    <t>Zhang, Fang/AAX-3262-2021</t>
  </si>
  <si>
    <t>Zhang, Fang/0000-0002-0300-8273</t>
  </si>
  <si>
    <t>National Natural Science Foundation [41206189, 41076130]; EU [1105]; Chinese Science and Technology Administration [1105]; China International Polar Year Plan; Chinese National Arctic &amp; Antarctic Date Center (CN-NADC)</t>
  </si>
  <si>
    <t>National Natural Science Foundation(National Natural Science Foundation of China (NSFC)); EU(European Union (EU)); Chinese Science and Technology Administration; China International Polar Year Plan; Chinese National Arctic &amp; Antarctic Date Center (CN-NADC)</t>
  </si>
  <si>
    <t>This work was supported by the National Natural Science Foundation (41206189, 41076130), the international cooperation program between the EU and the Chinese Science and Technology Administration (no. 1105), the China International Polar Year Plan, and the Samples Information and Data issued by the Resource-sharing Platform of Polar Samples (http://birds.chinare.org.cn) maintained by the Polar Research Institute of China (PRIC), and the Chinese National Arctic &amp; Antarctic Date Center (CN-NADC).</t>
  </si>
  <si>
    <t>10.1007/s00300-015-1662-7</t>
  </si>
  <si>
    <t>WOS:000356535300013</t>
  </si>
  <si>
    <t>Molina-Montenegro, MA; Pertierra, LR; Razeto-Barry, P; Díaz, J; Finot, VL; Torres-Díaz, C</t>
  </si>
  <si>
    <t>Molina-Montenegro, Marco A.; Pertierra, Luis R.; Razeto-Barry, Pablo; Diaz, Javier; Finot, Victor L.; Torres-Diaz, Cristian</t>
  </si>
  <si>
    <t>A recolonization record of the invasive Poa annua in Paradise Bay, Antarctic Peninsula: modeling of the potential spreading risk</t>
  </si>
  <si>
    <t>Antarctica; Biodiversity; Invasions; Poa annua</t>
  </si>
  <si>
    <t>MARITIME ANTARCTICA; CLIMATE-CHANGE; PLANTS; ENVIRONMENT; CONTINENT; IMPACTS; FLORA; L.</t>
  </si>
  <si>
    <t>Antarctica is one of the most extreme environments for vascular plants occurrence worldwide, and only two native vascular plants have colonized this continent: Deschampsia antarctica and Colobanthus quitensis. Nevertheless, in recent years, several alien plant species has been found in Antarctica with negative effects on the native flora. In this study, we show a recolonization record of the most widespread plant invader in Antarctica (Poa annua) and the risk of a potential spreading in a highly visited site on the Antarctic Peninsula. Overall, two new P. annua individuals were recorded, where four specimens were previously reported and removed in 2010, suggesting that either a propagule load is continuous, or that a seed bank prevailed in the site. On the other hand, the spreading modeling suggests that the probability to colonize and spreading of P. annua increases notoriously with the possibility of dispersion of propagules, with consequent risk of displacement for the native flora. Biological invasions are a major threat to the integrity of native biodiversity in all biomes, and they have the potential to change irreversibly Antarctica's fragile ecosystems.</t>
  </si>
  <si>
    <t>[Molina-Montenegro, Marco A.] Univ Catolica Norte, Fac Ciencias Mar, CEAZA, Coquimbo, Chile; [Pertierra, Luis R.] Univ Rey Juan Carlos, Dept Biol &amp; Geol, Area Biodiversidad &amp; Conservac, Madrid, Spain; [Diaz, Javier] Inst Filosofia &amp; Ciencias Complejidad IFICC, Santiago 3024, Chile; [Razeto-Barry, Pablo] Univ Diego Port, Vicerrectoria Acad, Santiago, Chile; [Finot, Victor L.] Univ Concepcion, Fac Agron, Dept Anim Prod, Chillan, Chile; [Torres-Diaz, Cristian] Univ Bio Bio, Fac Ciencias, Dept Ciencias Basicas, Chillan, Chile</t>
  </si>
  <si>
    <t>Universidad Catolica del Norte; Universidad Rey Juan Carlos; University Diego Portales; Universidad de Concepcion; Universidad del Bio-Bio</t>
  </si>
  <si>
    <t>Molina-Montenegro, MA (corresponding author), Univ Catolica Norte, Fac Ciencias Mar, CEAZA, Coquimbo, Chile.</t>
  </si>
  <si>
    <t>marco.molina@ceaza.cl</t>
  </si>
  <si>
    <t>Pertierra, Luis R./K-3727-2017</t>
  </si>
  <si>
    <t>Pertierra, Luis R./0000-0002-2232-428X; Diaz Cisternas, Javier/0000-0003-2803-0570; Molina-Montenegro, Marco/0000-0001-6801-8942; Torres Diaz, Cristian/0000-0002-5741-5288</t>
  </si>
  <si>
    <t>INACH project of the Chilean Antarctic Institute (INACH) [RT_11-13]</t>
  </si>
  <si>
    <t>INACH project of the Chilean Antarctic Institute (INACH)</t>
  </si>
  <si>
    <t>This work was financed by the INACH (RT_11-13) project of the Chilean Antarctic Institute (INACH). We thank Robert J. Soreng of Smithsonian Institution, Washington DC, for helping us with the taxonomical determination of Poa annua.</t>
  </si>
  <si>
    <t>10.1007/s00300-015-1668-1</t>
  </si>
  <si>
    <t>WOS:000356535300014</t>
  </si>
  <si>
    <t>Fox, D</t>
  </si>
  <si>
    <t>Fox, Douglas</t>
  </si>
  <si>
    <t>Life at Hell's Gate</t>
  </si>
  <si>
    <t>SCIENTIFIC AMERICAN</t>
  </si>
  <si>
    <t>The coast of the West Antarctic landmass is one of the most desolate places on the planet. For 1,000 kilometers, it is buried under the West Antarctic Ice Sheet, a series of interconnected glaciers the size of western Europe that slowly slides off the continent into the sea. As the ice crosses the end of the buried land, it becomes a flat shelf hundreds of meters thick that extends hundreds of kilometers farther out to sea, floating on the water. The shelf is the size of Spain, so vast that it could take three to 10 years for an ocean current far below to carry a speck of plankton from the open sea, where sunlight and food are abundant, to the forbidding darkness way back at the submerged shoreline.</t>
  </si>
  <si>
    <t>0036-8733</t>
  </si>
  <si>
    <t>SCI AM</t>
  </si>
  <si>
    <t>Sci.Am.</t>
  </si>
  <si>
    <t>10.1038/scientificamerican0715-46</t>
  </si>
  <si>
    <t>CL0KY</t>
  </si>
  <si>
    <t>WOS:000356632800030</t>
  </si>
  <si>
    <t>Utevsky, A; Gordeev, I</t>
  </si>
  <si>
    <t>Utevsky, Andrei; Gordeev, Ilya</t>
  </si>
  <si>
    <t>New tentacled leech Ceratobdella quadricornuta n. g., n. sp (Hirudinida: Piscicolidae) parasitic on the starry skate Raja georgiana Norman from the Scotia Sea, Antarctica</t>
  </si>
  <si>
    <t>SYSTEMATIC PARASITOLOGY</t>
  </si>
  <si>
    <t>PHYLOGENY; EVOLUTION</t>
  </si>
  <si>
    <t>A new fish leech Ceratobdella quadricornuta n. g., n. sp. (Hirudinida: Piscicolidae), a parasite of the Antarctic skate Raja georgiana Norman (Rajiformes: Rajidae) collected between the Falkland Islands and South Georgia Island in the Scotia Sea, is described and compared with related genera. Ceratobdella quadricornuta is characterised by an uncommon appearance of its anterior sucker bearing four well-developed tentacles and a unique combination of features of the reproductive and digestive systems: crop and intestine equally developed, posterior crop caeca separated; accessory glands, conductive tissue and external copulatory area lacking; common part of ejaculatory ducts (common atrium) voluminous and muscular, male copulatory bursa short, small ovisacs opening into female copulatory bursa (vagina).</t>
  </si>
  <si>
    <t>[Utevsky, Andrei] Kharkov Natl Univ, Dept Zool &amp; Anim Ecol, UA-61022 Kharkov, Ukraine; [Gordeev, Ilya] Russian Fed Res Inst Fisheries &amp; Oceanog VNIRO, Lab Arctic &amp; Antarctic, Moscow 107140, Russia</t>
  </si>
  <si>
    <t>Ministry of Education &amp; Science of Ukraine; VN Karazin Kharkiv National University; Research lnstitute of Fisheries &amp; Oceanography</t>
  </si>
  <si>
    <t>Utevsky, A (corresponding author), Kharkov Natl Univ, Dept Zool &amp; Anim Ecol, Maidan Svobody 4, UA-61022 Kharkov, Ukraine.</t>
  </si>
  <si>
    <t>autevsk@yandex.ua; gordeev_ilya@bk.ru</t>
  </si>
  <si>
    <t>Gordeev, Ilya/F-2972-2017</t>
  </si>
  <si>
    <t>Gordeev, Ilya/0000-0002-6650-9120; Utevsky, Andriy/0000-0002-8336-1105</t>
  </si>
  <si>
    <t>National Antarctic Scientific Center of Ukraine, a CAML / SCAR-Mar-BIN TOTAL Foundation minigrant; RFBR (Russian Fund of Fundamental Research) [14-04-31950 mol_a]</t>
  </si>
  <si>
    <t>National Antarctic Scientific Center of Ukraine, a CAML / SCAR-Mar-BIN TOTAL Foundation minigrant; RFBR (Russian Fund of Fundamental Research)</t>
  </si>
  <si>
    <t>This research was supported in part by the National Antarctic Scientific Center of Ukraine, a CAML / SCAR-Mar-BIN TOTAL Foundation minigrant and by RFBR (Russian Fund of Fundamental Research, No. 14-04-31950 mol_a).</t>
  </si>
  <si>
    <t>0165-5752</t>
  </si>
  <si>
    <t>1573-5192</t>
  </si>
  <si>
    <t>SYST PARASITOL</t>
  </si>
  <si>
    <t>Syst. Parasitol.</t>
  </si>
  <si>
    <t>10.1007/s11230-015-9570-3</t>
  </si>
  <si>
    <t>CK1PX</t>
  </si>
  <si>
    <t>WOS:000355980400002</t>
  </si>
  <si>
    <t>Cass, CJ; Daly, KL</t>
  </si>
  <si>
    <t>Cass, Christine J.; Daly, Kendra L.</t>
  </si>
  <si>
    <t>Ecological characteristics of eucalanoid copepods of the eastern tropical North Pacific Ocean: Adaptations for life within a low oxygen system</t>
  </si>
  <si>
    <t>Body composition; Copepod; Eastern tropical Pacific; Eucalanidae; Oxygen minimum zone</t>
  </si>
  <si>
    <t>MINIMUM ZONE; VERTICAL-DISTRIBUTION; CALANOID COPEPODS; LIPID STORAGE; WAX ESTERS; ZOOPLANKTON ECOLOGY; ANTARCTIC COPEPODS; MARINE COPEPODS; ARABIAN SEA; FATTY-ACID</t>
  </si>
  <si>
    <t>The eastern tropical North Pacific Ocean (ETNP) is home to one of the largest and most severe mid-water oxygen minimum zones (OMZs). Members of the copepod family Eucalanidae are abundant in this region and display varied vertical distributions throughout the OMZ. This research assessed the diversity of ecological strategies used by these copepods to cope with the presence of the OMZ based on their biochemical, physiological, and behavioral characteristics. Five species of copepods (Eucalanus inermis, Pareucalanus attenuatus, Rhincalanus nasutus, Rhincalanus rostrifrons, and Subeucalanus subtenuis) were collected at the Costa Rica Dome (9 degrees N, 90 degrees W) and Tehuantepec Bowl (13 degrees N, 105 degrees W) during cruises in fall of 2007 and winter of 2008-2009. Adult females of all species were collected and analyzed for water, ash, carbon, nitrogen, hydrogen, phosphorus, protein and lipid content, lactate dehydrogenase (LDH) activity, and survivorship when exposed to prolonged low-oxygen conditions. Four distinct ecological strategies were observed for the five species based on genus. E inermis, found throughout the OMZ and surface waters, had very high water content (94% of wet weight (WW)), leading to low organic content per unit WW. However, when corrected to ash-free dry weight (AFDW), Protein and storage lipid contents of this species had intermediate (46 and 8% of AFDW, respectively) values compared to other species. E. inermis demonstrated high survivorship under low-oxygen conditions (&gt;90%), and had detectable levels of LDH, indicating an ability to rely on anaerobic pathways. Rhincalanus spp., found primarily in the lower-oxygen subsurface waters, also had detectable LDH activity and high survivorship under low-oxygen conditions (&gt;85%), but had much higher storage lipid levels (&gt;37% of AFDW), very low protein levels (28-33% of AFDW), and low water content (87% of WW). S. subtenuis and P. attenuatus are both distributed primarily in surface waters, but showed distinct ecological strategies. S. subtenuis protein levels were very high (67% AFDW), storage lipid levels low (0%), and water content low (87% of WW). They also had very low survivorship under low-oxygen conditions (22%) and no detectable LDH activity. P. attenuatus also did not have detectable LDH activity or large lipid stores. P. attenuatus, however, had much lower protein content (30% AFDW) and higher water content (89% of WW), indicating a distinct ecological strategy. Comparisons of ETNP individuals with conspecifics or congeners from higher-oxygen environments suggest that low protein levels (indicative of lower overall activity) seen in some groups may be an adaptation for survival in lower-oxygen regions. (C) 2015 Elsevier B.V. All rights reserved.</t>
  </si>
  <si>
    <t>[Cass, Christine J.; Daly, Kendra L.] Univ S Florida, Coll Marine Sci, St Petersburg, FL 33701 USA</t>
  </si>
  <si>
    <t>State University System of Florida; University of South Florida</t>
  </si>
  <si>
    <t>Cass, CJ (corresponding author), Humboldt State Univ, Dept Oceanog, Arcata, CA 95521 USA.</t>
  </si>
  <si>
    <t>christine.cass@humboldt.edu</t>
  </si>
  <si>
    <t>U.S. National Science Foundation, Division of Ocean Sciences [OCE-0526545]</t>
  </si>
  <si>
    <t>U.S. National Science Foundation, Division of Ocean Sciences(National Science Foundation (NSF))</t>
  </si>
  <si>
    <t>Funding for this work was provided by the U.S. National Science Foundation, Division of Ocean Sciences under grant #OCE-0526545 to KLD. The funding source had no role in study design, data collection, analysis and interpretation, or preparation and submission of this manuscript.</t>
  </si>
  <si>
    <t>10.1016/j.jembe.2015.04.005</t>
  </si>
  <si>
    <t>CJ8SR</t>
  </si>
  <si>
    <t>WOS:000355774300014</t>
  </si>
  <si>
    <t>Cobianchi, M; Mancin, N; Lupi, C; Bordiga, M; Bostock, HC</t>
  </si>
  <si>
    <t>Cobianchi, M.; Mancin, N.; Lupi, C.; Bordiga, M.; Bostock, H. C.</t>
  </si>
  <si>
    <t>Effects of oceanic circulation and volcanic ash-fall on calcite dissolution in bathyal sediments from the SW Pacific Ocean over the last 550 ka</t>
  </si>
  <si>
    <t>Carbonate dissolution; Fragmentation index; Nannofossil Dissolution Index; Late Pleistocene; SW Pacific</t>
  </si>
  <si>
    <t>WESTERN BOUNDARY CURRENT; SOUTH ATLANTIC-OCEAN; EQUATORIAL PACIFIC; DEEP-SEA; CARBONATE DISSOLUTION; NEW-ZEALAND; FORAMINIFERAL DISSOLUTION; CALCAREOUS NANNOFOSSIL; RHYOLITIC ERUPTIONS; CACO3 PRESERVATION</t>
  </si>
  <si>
    <t>The effects on calcite dissolution of both oceanic circulation and volcanic ash-fall were evaluated in lower bathyal sediments over the last 550 ka record from core MD 97-2114, recovered on the northern slope (depth of 1936 m, in the Pacific Deep Water, PDW) of the Chatham Rise (east of New Zealand, SW Pacific Ocean). This area has been impacted by changes in glacial/interglacial circulation and ocean chemistry as well as by the explosive volcanic activity of the Taupo Volcanic Zone. Several micro-paleontological dissolution proxies, based on planktonic foraminifera and calcareous nannofossils, were analysed in order to evaluate the calcite dissolution of the deep-sea sediments. These were compared with a couple of proxies of primary productivity (benthic foraminiferal epifaunal/infaunal ratio and delta C-13(benthic) (foraminifera)) and the abundance of volcanic glass. The dissolution proxy data from MD 97-2114 were compared with two nearby ODP sites, ODP 1123 (3290 m deep, bathed by the lower Circumpolar Deep Water, LCDW) and ODP 1125 (1365 m deep, bathed by the Antarctic Intermediate Water, AAIW). The results suggest: (1) the calcite dissolution/preservation cycles at all three core sites show Glacial-Interglacial (G-I) periodicities that match the previously described Pacific-style CaCO3 cycles; (2) several short-term dissolution events do not follow this general scheme and occur following tephra deposition. The dissolution related to the tephra deposition seems to have mostly affected calcareous nannofossils, thus we hypothesise that the ash-fall induced a temporary reduction of the surface water pH (below 7.8), which affected the coccolithophores that inhabit the surface waters. (3) Other short-term dissolution events (1000 years) are unrelated to tephra deposition and are possibly driven by the slowing of deep-sea circulation and a reduced Deep Western Boundary Current (DWBC). This lead to the dominance of older, more corrosive Pacific Deep Water (POW) flowing in to the region, resulting in coeval dissolution episodes at all three core sites (depth range from 1365 to 3290 m). (C) 2015 Elsevier B.V. All rights reserved.</t>
  </si>
  <si>
    <t>[Cobianchi, M.; Mancin, N.; Lupi, C.; Bordiga, M.] Univ Pavia, Dipartimento Sci Terra &amp; Ambiente, I-27100 Pavia, Italy; [Bordiga, M.] Uppsala Univ, Dept Earth Sci, S-75236 Uppsala, Sweden; [Bostock, H. C.] Natl Inst Water &amp; Atmospher Res, Wellington, New Zealand</t>
  </si>
  <si>
    <t>University of Pavia; Uppsala University; National Institute of Water &amp; Atmospheric Research (NIWA) - New Zealand</t>
  </si>
  <si>
    <t>Cobianchi, M (corresponding author), Univ Pavia, Dipartimento Sci Terra &amp; Ambiente, Via Ferrata 1, I-27100 Pavia, Italy.</t>
  </si>
  <si>
    <t>miriam.cobianchi@unipv.it</t>
  </si>
  <si>
    <t>Bostock, Helen/A-6834-2013; Bordiga, Manuela/B-1405-2017</t>
  </si>
  <si>
    <t>Bostock, Helen/0000-0002-8903-8958; Bordiga, Manuela/0000-0003-0884-2686; Mancin, Nicoletta/0000-0001-5257-4397</t>
  </si>
  <si>
    <t>University of Pavia (Italy); iPEV; NIWA [COPR1403]</t>
  </si>
  <si>
    <t>University of Pavia (Italy); iPEV; NIWA</t>
  </si>
  <si>
    <t>The IMAGES core MD 97-2114 was recovered in May 1997 during the IMAGES III cruise of the R/V Marion-Dufresne. We would like to thank the captain and crew and the scientists involved in the voyage that collected the core and particularly E. Michel, IMAGES chief scientist of the 1997 cruise, who allowed us to study core. Bruce Hayward is acknowledged for the critical reading of the manuscript. We would like to thank Roberto Sacchi, Assistant Professor at the Pavia University, for his invaluable help in processing the GAM analysis. We are also grateful to Gavin Dunbar and to an anonymous reviewer for providing constructive comments. We are grateful to the staff of the CISRiC-Arvedi Laboratory for SEM photos. This project was funded by the University of Pavia (Italy) (FAR 2012-2014) and by iPEV (1997) who funded the IMAGES III Cruise. HB was funded by the NIWA (COPR1403) core funding.</t>
  </si>
  <si>
    <t>10.1016/j.palaeo.2015.03.045</t>
  </si>
  <si>
    <t>CJ3AF</t>
  </si>
  <si>
    <t>WOS:000355355100007</t>
  </si>
  <si>
    <t>Winterton, SL; Ware, JL</t>
  </si>
  <si>
    <t>Winterton, Shaun L.; Ware, Jessica L.</t>
  </si>
  <si>
    <t>Phylogeny, divergence times and biogeography of window flies (Scenopinidae) and the therevoid clade (Diptera: Asiloidea)</t>
  </si>
  <si>
    <t>SYSTEMATIC ENTOMOLOGY</t>
  </si>
  <si>
    <t>MAXIMUM-LIKELIHOOD; BRACHYCERAN DIPTERA; THEREVIDAE DIPTERA; SEQUENCE ALIGNMENT; AUSTRALIA DIPTERA; CRETACEOUS AMBERS; LYNEBORG DIPTERA; GEOGRAPHIC RANGE; BONJEANIA IRWIN; STILETTO-FLIES</t>
  </si>
  <si>
    <t>The evolution of the therevoid' clade, with an emphasis on window flies (Scenopinidae), is presented by combining DNA sequence data with morphological characters for living and fossil species. The therevoid clade represents a group of four families (Apsilocephalidae, Evocoidae, Scenopinidae and Therevidae) of lower brachyceran Diptera in the superfamily Asiloidea. A comprehensive phylogenetic analysis using parsimony and likelihood methods was undertaken using extensive taxon sampling from all families and subfamilies, and compared with outgroup taxa sampled from the related families Asilidae, Mydidae, Apioceridae and Empididae. Fifty-nine morphological characters (adult, larval and pupal) were combined with 6.4 kb of DNA sequences for two ribosomal genes (16S and 18S ribosomal DNA) and three protein-encoding genes [cytochrome oxidase I (COI), triose phosphate isomerase (TPI) and the CPSase region of carbamoyl-phosphate synthase-aspartate transcarbamoylase-dihydroorotase (CAD)]. Results from combined analyses of morphological and molecular data for 78 taxa representing all families of the therevoid clade are presented. Specific hypotheses of the relationship between respective families and subfamilies were tested statistically using four-cluster likelihood mapping. The therevoid clade is a well-supported monophyletic group within Asiloidea, with Evocoidae sister to Apsilocephalidae and Therevidae sister to Scenopinidae. Temporal and zoogeographical aspects of therevoid clade evolution were investigated using Bayesian divergence time estimates and Lagrange ancestral range scenarios. The effect of inclusion of fossils as terminal taxa on phylogenetic and divergence time estimation was investigated, with morphological scoring for fossil representatives included in the analyses rather than used simply as minimum age constraints. In each analysis there was either improvement in estimation, or only marginal and localized loss in tree resolution, and with younger estimates of divergence time across the tree. The historical biogeography of the therevoid clade was examined with multiple trans-Antarctic vicariance events between Australasia and South America evident during the Late Cretaceous to early Palaeogene. Scenopininae is newly subdivided into two tribes, Metatrichini trib.n. and Scenopinini Fallen stat.r. This published work has been registered in ZooBank, .</t>
  </si>
  <si>
    <t>[Winterton, Shaun L.] Calif Dept Food &amp; Agr, Calif State Collect Arthropods, Sacramento, CA 95832 USA; [Ware, Jessica L.] Rutgers State Univ, Newark, NJ 07102 USA</t>
  </si>
  <si>
    <t>California Department of Food &amp; Agriculture; Rutgers University System; Rutgers University Newark; Rutgers University New Brunswick</t>
  </si>
  <si>
    <t>Winterton, SL (corresponding author), Calif Dept Food &amp; Agr, Calif State Collect Arthropods, 3294 Meadowview Rd, Sacramento, CA 95832 USA.</t>
  </si>
  <si>
    <t>wintertonshaun@gmail.com</t>
  </si>
  <si>
    <t>Ware, Jessica/0000-0002-4066-7681</t>
  </si>
  <si>
    <t>National Science Foundation [NSF-DEB-0614213]; Australian Biological Resource Study [ABRS-209-48]</t>
  </si>
  <si>
    <t>National Science Foundation(National Science Foundation (NSF)); Australian Biological Resource Study</t>
  </si>
  <si>
    <t>Thank you to Ronald Blakey (http://jan.ucc.nau.edu/rcb7/index.html) for use of palaeographical images. This research was supported by the National Science Foundation (NSF-DEB-0614213) and the Australian Biological Resource Study (ABRS-209-48). Statements and viewpoints expressed herein do not necessarily reflect the opinion of NSF or ABRS. Thank you to Ashley Kirk-Spriggs, Evert Schlinger, David Yeates, Brian Wiegmann, Martin Hauser, Michael Irwin, Michael von Tschirnhaus, Christine Lambkin, Lyn Kimsey, Jeffrey Skevington, Mike Lahti and Kevin Holston for material used in sequencing. Thank you also to Brian Wiegmann, Stephen Gaimari and Christine Lambkin for their comments on the draft manuscript.</t>
  </si>
  <si>
    <t>0307-6970</t>
  </si>
  <si>
    <t>1365-3113</t>
  </si>
  <si>
    <t>SYST ENTOMOL</t>
  </si>
  <si>
    <t>Syst. Entomol.</t>
  </si>
  <si>
    <t>10.1111/syen.12117</t>
  </si>
  <si>
    <t>Evolutionary Biology; Entomology</t>
  </si>
  <si>
    <t>CJ7SZ</t>
  </si>
  <si>
    <t>WOS:000355701300001</t>
  </si>
  <si>
    <t>Merkhofer, L; Wilf, P; Haas, MT; Kooyman, RM; Sack, L; Scoffoni, C; Cúneo, NR</t>
  </si>
  <si>
    <t>Merkhofer, Lisa; Wilf, Peter; Haas, M. Tyler; Kooyman, Robert M.; Sack, Lawren; Scoffoni, Christine; Ruben Cuneo, N.</t>
  </si>
  <si>
    <t>Resolving Australian analogs for an Eocene Patagonian paleorainforest using leaf size and floristics</t>
  </si>
  <si>
    <t>biogeography; Gondwana; leaf size; rainforests; paleobotany; paleoclimate; paleoecology; vein scaling</t>
  </si>
  <si>
    <t>LAGUNA DEL HUNCO; RAIN-FOREST; MACROFOSSIL RECORD; PLANT DIVERSITY; SOUTH-AMERICA; CASUARINACEAE; VEGETATION; PALEOCENE; AKANIACEAE; EUCALYPTUS</t>
  </si>
  <si>
    <t>PREMISE OF THE STUDY: The diverse early Eocene flora from Laguna del Hunco (LH) in Patagonia, Argentina has many nearest living relatives (NLRs) in Australasia but few in South America, indicating the differential survival of an ancient, trans-Antarctic rainforest biome. To better understand this significant biogeographic pattern, we used detailed comparisons of leaf size and floristics to quantify the legacy of LH across a large network of Australian rainforest-plot assemblages. METHODS: We applied vein scaling, a new method for estimating the original areas of fragmented leaves. We then compared leaf size and floristics at LH with living Australian assemblages and tabulated the climates of those where NLRs occur, along with additional data on climatic ranges of ex-Australian NLRs that survive outside of Australia. KEY RESULTS: Vein scaling estimated areas as accurately as leaf-size classes. Applying vein scaling to fossil fragments increased the grand mean area of LH by 450 mm 2, recovering more originally large leaves. The paleoflora has a majority of microphyll leaves, comparable to leaf litter in subtropical Australian forests, which also have the greatest floristic similarity to LH. Tropical Australian assemblages also share many taxa with LH, and ex-Australian NLRs mostly inhabit cool, wet montane habitats no longer present in Australia. CONCLUSIONS: Vein scaling is valuable for improving the resolution of fossil leaf-size distributions by including fragmented specimens. The legacy of LH is evident not only in subtropical and tropical Australia but also in tropical montane Australasia and Southeast Asia, reflecting the disparate histories of surviving Gondwanan lineages.</t>
  </si>
  <si>
    <t>[Merkhofer, Lisa; Wilf, Peter; Haas, M. Tyler] Penn State Univ, Dept Geosci, University Pk, PA 16802 USA; [Kooyman, Robert M.] Macquarie Univ, Dept Biol Sci, Sydney, NSW 2109, Australia; [Sack, Lawren; Scoffoni, Christine] Univ Calif Los Angeles, Dept Ecol &amp; Evolut, Los Angeles, CA 90095 USA; [Ruben Cuneo, N.] Consejo Nacl Invest Cient &amp; Tecn, Museo Paleontol Egidio Feruglio, RA-9100 Trelew, Chubut, Argentina</t>
  </si>
  <si>
    <t>Pennsylvania Commonwealth System of Higher Education (PCSHE); Pennsylvania State University; Pennsylvania State University - University Park; Macquarie University; University of California System; University of California Los Angeles; Consejo Nacional de Investigaciones Cientificas y Tecnicas (CONICET)</t>
  </si>
  <si>
    <t>Wilf, P (corresponding author), Penn State Univ, Dept Geosci, University Pk, PA 16802 USA.</t>
  </si>
  <si>
    <t>pwilf@psu.edu</t>
  </si>
  <si>
    <t>Sack, Lawren/A-5492-2008; Kooyman, Robert M/JCE-5169-2023; Kooyman, Robert M/H-3347-2017</t>
  </si>
  <si>
    <t>Sack, Lawren/0000-0002-7009-7202; Kooyman, Robert M/0000-0003-1985-9547; Kooyman, Robert M/0000-0003-1985-9547</t>
  </si>
  <si>
    <t>Australian Research Council; P.D. Krynine Memorial Fund; Penn State Department of Geosciences; National Science Foundation [DEB-0919071]; Direct For Biological Sciences; Division Of Environmental Biology [0919071] Funding Source: National Science Foundation</t>
  </si>
  <si>
    <t>Australian Research Council(Australian Research Council); P.D. Krynine Memorial Fund; Penn State Department of Geosciences; National Science Foundation(National Science Foundation (NSF)); Direct For Biological Sciences; Division Of Environmental Biology(National Science Foundation (NSF)NSF - Directorate for Biological Sciences (BIO))</t>
  </si>
  <si>
    <t>We thank B. Cariglino, C. Gonzalez, I. Escapa, A. Iglesias, K. Johnson, P. Puerta, L. Reiner, D. Royer, E. Ruigomez, and S. Wing for valuable comments and significant technical assistance; T. Bralower and M. Patzkowsky for comments on early drafts; and two anonymous reviewers for helpful comments. Several collaborative ideas underlying this work arose from Working Group 1 of the ARC-NZ Research Network for Vegetation Function, Macquarie University, 2005, supported by the Australian Research Council and organized by M. Westoby and I. Wright. We acknowledge funding from the P.D. Krynine Memorial Fund, Penn State Department of Geosciences (L.M.), and National Science Foundation grant DEB-0919071 (P.W. and N.R.C.). The work reported here partially fulfills requirements for a M.S. in Geosciences for L.M. and a B.S. in Geosciences for M.T.H. at Pennsylvania State University, 2014.</t>
  </si>
  <si>
    <t>10.3732/ajb.1500159</t>
  </si>
  <si>
    <t>CN2TW</t>
  </si>
  <si>
    <t>WOS:000358275800013</t>
  </si>
  <si>
    <t>Yi, SX; Wu, XF; Wang, FY; Dai, ZG</t>
  </si>
  <si>
    <t>Yi, Shuang-Xi; Wu, Xue-Feng; Wang, Fa-Yin; Dai, Zi-Gao</t>
  </si>
  <si>
    <t>CONSTRAINTS ON THE BULK LORENTZ FACTORS OF GRB X-RAY FLARES</t>
  </si>
  <si>
    <t>gamma-ray burst: general; radiation mechanisms: non-thermal</t>
  </si>
  <si>
    <t>LATE INTERNAL-SHOCK; BURST AFTERGLOWS; LIGHT CURVES; SWIFT; EMISSION; MODEL; ONSET; JET; DYNAMICS; ORIGIN</t>
  </si>
  <si>
    <t>X-ray flares were discovered in the afterglow phase of gamma-ray bursts (GRBs) by the Swift satellite a decade ago and are known as a canonical component in GRB X-ray afterglows. In this paper, we constrain the Lorentz factors of GRB X-ray flares using two different methods. For the first method, we estimate the lower limit on the bulk Lorentz factor with the flare duration and jet break time. In the second method, the upper limit on the Lorentz factor is derived by assuming that the X-ray flare jet has undergone saturated acceleration. We also re-estimate the initial Lorentz factor with GRB afterglow onsets, and find the coefficient of the theoretical Lorentz factor is 1.67 rather than the commonly used 2 for the interstellar medium (ISM) and 1.44 for the wind case. We find that the correlation between the limited Lorentz factor and the isotropic radiation energy of X-ray flares in the ISM case is more consistent with that of prompt emission than the wind case in a statistical sense. For a comparison, the lower limit on the Lorentz factor is statistically larger than the extrapolation from prompt bursts in the wind case. Our results indicate that X-ray flares and prompt bursts are produced by the same physical mechanism.</t>
  </si>
  <si>
    <t>[Yi, Shuang-Xi; Wang, Fa-Yin; Dai, Zi-Gao] Nanjing Univ, Sch Astron &amp; Space Sci, Nanjing 210093, Jiangsu, Peoples R China; [Yi, Shuang-Xi; Wang, Fa-Yin; Dai, Zi-Gao] Nanjing Univ, Minist Educ, Key Lab Modern Astron &amp; Astrophys, Nanjing 210093, Jiangsu, Peoples R China; [Wu, Xue-Feng] Chinese Acad Sci, Purple Mt Observ, Nanjing 210008, Jiangsu, Peoples R China; [Wu, Xue-Feng] Chinese Acad Sci, Chinese Ctr Antarctic Astron, Nanjing 210008, Jiangsu, Peoples R China; [Wu, Xue-Feng] Chinese Acad Sci, Nanjing Univ, Purple Mt Observ, Joint Ctr Particle Nucl Phys &amp; Cosmol, Nanjing 210008, Jiangsu, Peoples R China</t>
  </si>
  <si>
    <t>Nanjing University; Nanjing University; Chinese Academy of Sciences; Nanjing Institute of Astronomical Optics &amp; Technology, NAOC, CAS; Purple Mountain Observatory, CAS; Chinese Academy of Sciences; Nanjing University; Purple Mountain Observatory, CAS; Chinese Academy of Sciences; Nanjing Institute of Astronomical Optics &amp; Technology, NAOC, CAS</t>
  </si>
  <si>
    <t>Yi, SX (corresponding author), Nanjing Univ, Sch Astron &amp; Space Sci, Nanjing 210093, Jiangsu, Peoples R China.</t>
  </si>
  <si>
    <t>dzg@nju.edu.cn</t>
  </si>
  <si>
    <t>Wu, Xuefeng/G-5316-2015; Wang, Fayin/GPX-5783-2022; Wang, Fayin/AAZ-5541-2021</t>
  </si>
  <si>
    <t>Wang, Fayin/0000-0003-4157-7714; Wang, Fayin/0000-0003-4157-7714; Dai, Zigao/0000-0002-7835-8585</t>
  </si>
  <si>
    <t>National Basic Research Program (973 Program) of China [2014CB845800, 2013CB834900]; Nanjing University; National Natural Science Foundation of China [11033002, 11422325, 11373022, 11322328]; Chinese Academy of Sciences [XDB09000000]; Natural Science Foundation of Jiangsu Province [BK2012890]; Excellent Youth Foundation of Jiangsu Province [BK20140016]</t>
  </si>
  <si>
    <t>National Basic Research Program (973 Program) of China(National Basic Research Program of China); Nanjing University(Nanjing University); National Natural Science Foundation of China(National Natural Science Foundation of China (NSFC)); Chinese Academy of Sciences(Chinese Academy of Sciences); Natural Science Foundation of Jiangsu Province(Natural Science Foundation of Jiangsu Province); Excellent Youth Foundation of Jiangsu Province</t>
  </si>
  <si>
    <t>We thank the anonymous referee for constructive suggestions. We also thank Bing Zhang, En-Wei Liang, Yun-Wei Yu, Liang-Duan Liu, Di Xiao, and A-Ming Chen for useful comments and help. This work is supported by the National Basic Research Program (973 Program) of China (grant Nos. 2014CB845800 and 2013CB834900), the program A for Outstanding PhD candidate of Nanjing University, and the National Natural Science Foundation of China (grant Nos. 11033002, 11422325, 11373022, and 11322328). X.F.W. was also partially supported by the One-Hundred-Talent Program, the Youth Innovation Promotion Association, and the Strategic Priority Research Program The Emergence of Cosmological Structure (grant No. XDB09000000) of the Chinese Academy of Sciences, and the Natural Science Foundation of Jiangsu Province (No. BK2012890). F. Y. W. was also partially supported by the Excellent Youth Foundation of Jiangsu Province (BK20140016).</t>
  </si>
  <si>
    <t>10.1088/0004-637X/807/1/92</t>
  </si>
  <si>
    <t>CO1VX</t>
  </si>
  <si>
    <t>WOS:000358945200092</t>
  </si>
  <si>
    <t>Arndt, DS; Blunden, J; Willett, KW; Aaron-Morrison, AP; Ackerman, SA; Adamu, JI; Albanil, A; Alfaro, EJ; Allan, R; Alley, RB; Alvarez, L; Alves, LM; Amador, JA; Andreassen, LM; Antonov, J; Applequist, S; Arendt, A; Arévalo, J; Arguez, A; Arndt, DS; Banzon, V; Barichivich, J; Baringer, MO; Barreira, S; Baxter, S; Bazo, J; Becker, A; Behrenfeld, MJ; Bell, GD; Benedetti, A; Bernhard, G; Berrisford, P; Berry, DI; Bettolli, ML; Bhatt, US; Bidegain, M; Bindoff, N; Bissolli, P; Blake, ES; Blenman, RC; Blunden, J; Bond, NA; Bosilovich, M; Box, JE; Boudet, D; Boyer, T; Braathen, GO; Bromwich, DH; Brown, LC; Brown, R; Bulygina, ON; Burgess, D; Calderón, B; Camargo, SJ; Campbell, JD; Cappelen, J; Carrasco, G; Carter, B; Chambers, DP; Chandler, E; Chevallier, F; Christiansen, HH; Christy, JR; Chung, D; Ciais, P; Clem, KR; Coelho, CAS; Cogley, JG; Coldewey-Egbers, M; Colwell, S; Cooper, OR; Copland, L; Cronin, MF; Crouch, J; Cunningham, SA; Davis, SM; De Jeu, RAM; Degenstein, D; Demircan, M; Derksen, C; Destin, D; Diamond, HJ; Dlugokencky, J; Dohan, K; Dolman, AJ; Domingues, CM; Donat, MG; Dong, S; Dorigo, WA; Drozdov, DS; Duguay, CR; Dunn, RJH; Durán-Quesada, AM; Dutton, GS; Ebrahim, A; Elkins, JW; Epstein, HE; Espinoza, JC; Evans, TE; Famiglietti, JS; Fateh, S; Fauchereau, NC; Feely, RA; Fenimore, C; Fettweis, X; Fioletov, VE; Flemming, J; Fogarty, CT; Fogt, RL; Folland, CK; Foster, M; Francis, SD; Franz, BA; Freeland, H; Frith, SM; Froidevaux, L; Frost, GV; Ganter, C; Garzoli, S; Gerland, S; Gitau, W; Gobron, N; Goldenberg, SB; Goni, G; Gonzalez, IT; Good, SA; Goto, A; Griffin, KS; Grist, J; Grooss, JU; Guard, C; Gupta, SK; Hagos, S; Haimberger, L; Hall, BD; Halpert, MS; Hamlington, BD; Hanna, E; Hanssen-Bauer, I; Harris, I; Heidinger, AK; Heikkilä, A; Heim, RR; Hendricks, S; Hernandez, M; Hidalgo, HG; Hilburn, K; Ho, SP; Hobbs, WR; Hu, ZZ; Huelsing, H; Hurst, DF; Inness, A; Ishii, M; Jeffers, B; Jeffries, MO; Jevrejeva, S; Jin, XZ; John, V; Johns, WE; Johnsen, B; Johnson, B; Johnson, GC; Jones, PD; Josey, SA; Joyette, S; Jumaux, G; Kabidi, K; Kaiser, JW; Kang, KK; Kanzow, TO; Kao, HY; Kazemi, A; Keller, LM; Kendon, M; Kennedy, J; Kerr, K; Kheyrollah Pour, H; Kholodov, AL; Khoshkam, M; Kidd, R; Kieke, D; Kim, H; Kim, SJ; Kimberlain, TB; Klotzbach, P; Knaff, JA; Kobayashi, S; Kohler, J; Korshunova, NN; Koskela, T; Kramarova, N; Kratz, DP; Kruger, A; Kruk, MC; Kumar, A; Kwok, R; Lagerloef, GSE; Lakkala, K; Lander, MA; Landsea, CW; Lankhorst, M; Lantz, K; Lazzara, MA; Leuliette, E; L'Heureux, M; Lieser, JL; Lin, II; Liu, H; Liu, Y; Locarnini, R; Loeb, NG; Long, CS; Lorrey, AM; Loyola, D; Lui, YY; Lumpkin, R; Luo, JJ; Luojus, K; Lyman, JM; Macara, GR; Maddux, BC; Malkova, GV; Manney, G; Marcellin-Honore', V; Marchenko, SS; Marengo, JA; Marra, JJ; Martinez-Guingla, R; Massom, RA; Mata, MM; Mathis, JT; Mazloff, M; McBride, C; McCarthy, G; McGree, S; McLean, N; McVicar, TR; Mears, CA; Meier, W; Meinen, CS; Mekonnen, A; Melzer, T; Menendez, M; Mengistu Tsidu, G; Meredith, MP; Merrifield, MA; Mitchum, GT; Monteiro, P; Montzka, SA; Morice, C; Mote, T; Mudryk, L; Mühle, J; Mullan, AB; Müller, R; Nash, ER; Naveira Garabato, AC; Nerem, RS; Newman, L; Newman, PA; Nicolaus, M; Nieto, JJ; Noetzli, J; O'Neel, S; Oberman, NG; Ogallo, LA; Oki, T; Oludhe, CS; Osborn, TJ; Overland, J; Oyunjargal, L; Pabón, D; Parinussa, RM; Park, EH; Parker, D; Parsons, R; Pasch, RJ; Pascual-Ramírez, R; Pelto, MS; Peng, L; Perovich, D; Persson, POG; Peterson, TC; Petropavlovskikh, I; Peuch, VH; Pezza, AB; Phillips, D; Photiadou, C; Pinty, B; Pitts, MC; Porter, AO; Proshutinsky, A; Quegan, S; Quintana, J; Rahimzadeh, F; Rajeevan, M; Ramos, A; Raynor, D; Razuvaev, VN; Reagan, J; Reid, P; Reimer, C; Rémy, S; Rennie, J; Renwick, JA; Revadekar, JV; Richter-Menge, JA; Robinson, DA; Rodell, M; Romanovsky, VE; Ronchail, J; Rosenlof, KH; Roth, C; Sabine, CL; Sallée, JB; Sánchez-Lugo, A; Santee, ML; Sawaengphokhai, P; Sayouri, A; Scambos, TA; Schemm, J; Schmid, C; Schmidtko, S; Schreck, CJ; Send, U; Sensoy, S; Setzer, A; Sharp, M; Shaw, A; Shi, L; Shiklomanov, NI; Shu, S; Shupe, MD; Siegel, DA; Sima, F; Simmons, AJ; Smeed, DA; Smeets, CJPP; Smith, C; Smith, SL; Smith, TM; Spence, JM; Srivastava, AK; Stackhouse Jr, PW; Stammerjohn, S; Steinbrecht, W; Stella, JL; Stephenson, K; Stephenson, TS; Strahan, S; Streletskiy, DA; Swart, S; Sweet, W; Tamar, G; Taylor, MA; Tedesco, M; Thompson, L; Thompson, P; Thorne, PW; Timmermans, ML; Tjernström, M; Tobin, I; Tobin, S; Trachte, K; Trewin, BC; Trigo, R; Trotman, AR; Tschudi, M; van de Wal, RSW; van den Broeke, M; van der A, RJ; van der Schrier, G; van der Werf, GR; van Dijk, AIJM; Vautard, R; Vazquez, JL; Vega, C; Verver, G; Vieira, G; Vincent, LA; Vose, RS; Wagner, W; Wahlin, A; Wahr, J; Walker, DA; Walsh, J; Wang, B; Wang, C; Wang, J; Wang, L; Wang, M; Wang, SH; Wang, S; Wanninkhof, R; Weber, M; Werdell, PJ; Whitewood, R; Wilber, AC; Wild, JD; Willett, KM; Williams, MJM; Willis, JK; Wolken, G; Wong, T; Wouters, B; Xue, Y; Yamada, R; Yashayaev, I; Yim, SY; Yin, X; Yu, L; Zambrano, E; Zhang, P; Zhou, L; Ziemke, J; Love-Brotak, SE; Sprain, M; Veasey, SW; Griffin, J; Misch, DJ; Riddle, DB; Young, T</t>
  </si>
  <si>
    <t>Arndt, D. S.; Blunden, J.; Willett, K. W.; Aaron-Morrison, Arlene P.; Ackerman, Steven A.; Adamu, J. I.; Albanil, Adelina; Alfaro, Eric J.; Allan, Rob; Alley, Richard B.; Alvarez, Luis; Alves, Lincoln M.; Amador, Jorge A.; Andreassen, L. M.; Antonov, John; Applequist, Scott; Arendt, A.; Arevalo, Juan; Arguez, Anthony; Arndt, Derek S.; Banzon, Viva; Barichivich, J.; Baringer, Molly O.; Barreira, Sandra; Baxter, Stephen; Bazo, Juan; Becker, Andreas; Behrenfeld, Michael J.; Bell, Gerald D.; Benedetti, Angela; Bernhard, G.; Berrisford, Paul; Berry, David I.; Bettolli, Mar-a L.; Bhatt, U. S.; Bidegain, Mario; Bindoff, Nathan; Bissolli, Peter; Blake, Eric S.; Blenman, Rosalind C.; Blunden, Jessica; Bond, Nick A.; Bosilovich, Mike; Box, J. E.; Boudet, Dagne; Boyer, Tim; Braathen, Geir O.; Bromwich, David H.; Brown, L. C.; Brown, R.; Bulygina, Olga N.; Burgess, D.; Calderon, Blanca; Camargo, Suzana J.; Campbell, Jayaka D.; Cappelen, J. .; Carrasco, Gualberto; Carter, Brendan; Chambers, Don P.; Chandler, Elise; Chevallier, Frederic; Christiansen, Hanne H.; Christy, John R.; Chung, D.; Ciais, Philippe; Clem, Kyle R.; Coelho, Caio A. S.; Cogley, J. G.; Coldewey-Egbers, Melanie; Colwell, Steve; Cooper, Owen R.; Copland, L.; Cronin, Meghan F.; Crouch, Jake; Cunningham, Stuart A.; Davis, Sean M.; De Jeu, R. A. M.; Degenstein, Doug; Demircan, M.; Derksen, C.; Destin, Dale; Diamond, Howard J.; Dlugokencky, J.; Dohan, Kathleen; Dolman, A. Johannes; Domingues, Catia M.; Donat, Markus G.; Dong, Shenfu; Dorigo, Wouter A.; Drozdov, D. S.; Duguay, C. R.; Dunn, Robert J. H.; Duran-Quesada, Ana M.; Dutton, Geoff S.; Ebrahim, A.; Elkins, James W.; Epstein, H. E.; Espinoza, Jhan C.; Evans, Thomas E.; Famiglietti, James S.; Fateh, S.; Fauchereau, Nicolas C.; Feely, Richard A.; Fenimore, Chris; Fettweis, X.; Fioletov, Vitali E.; Flemming, Johannes; Fogarty, Chris T.; Fogt, Ryan L.; Folland, Chris K.; Foster, Michael; Francis, S. D.; Franz, Bryan A.; Freeland, Howard; Frith, Stacey M.; Froidevaux, Lucien; Frost, G. V.; Ganter, Catherine; Garzoli, Silvia; Gerland, S.; Gitau, Wilson; Gobron, Nadine; Goldenberg, Stanley B.; Goni, Gustavo; Gonzalez, Idelmis T.; Good, Simon A.; Goto, A.; Griffin, Kyle S.; Grist, Jeremy; Grooss, J. -U.; Guard, Charles; Gupta, S. K.; Hagos, S.; Haimberger, Leo; Hall, Bradley D.; Halpert, Michael S.; Hamlington, Benjamin D.; Hanna, E.; Hanssen-Bauer, I.; Harris, Ian; Heidinger, Andrew K.; Heikkila, A.; Heim, Richard R.; Hendricks, S.; Hernandez, M.; Hidalgo, Hugo G.; Hilburn, Kyle; Ho, Shu-peng; Hobbs, Will R.; Hu, Zeng-Zhen; Huelsing, Hannah; Hurst, Dale F.; Inness, Antje; Ishii, Masayoshi; Jeffers, Billy; Jeffries, Martin O.; Jevrejeva, Svetlana; Jin, Xiangze; John, Viju; Johns, William E.; Johnsen, B.; Johnson, Bryan; Johnson, Gregory C.; Jones, Phil D.; Josey, Simon A.; Joyette, Sigourney; Jumaux, Guillaume; Kabidi, Khadija; Kaiser, Johannes W.; Kang, K. K.; Kanzow, Torsten O.; Kao, Hsun-Ying; Kazemi, A.; Keller, Linda M.; Kendon, Mike; Kennedy, John; Kerr, Kenneth; Kheyrollah Pour, H.; Kholodov, A. L.; Khoshkam, Mahbobeh; Kidd, R.; Kieke, Dagmar; Kim, Hyungjun; Kim, S. J.; Kimberlain, Todd B.; Klotzbach, Philip; Knaff, John A.; Kobayashi, Shinya; Kohler, J.; Korshunova, Natalia N.; Koskela, T.; Kramarova, Natalya; Kratz, D. P.; Kruger, Andries; Kruk, Michael C.; Kumar, Arun; Kwok, R.; Lagerloef, Gary S. E.; Lakkala, K.; Lander, Mark A.; Landsea, Chris W.; Lankhorst, Matthias; Lantz, Kathy; Lazzara, Matthew A.; Leuliette, Eric; L'Heureux, Michelle; Lieser, Jan L.; Lin, I. I.; Liu, Hongxing; Liu, Yinghui; Locarnini, Ricardo; Loeb, Norman G.; Long, Craig S.; Lorrey, Andrew M.; Loyola, Diego; Lui, Yi Y.; Lumpkin, Rick; Luo, Jing-Jia; Luojus, K.; Lyman, John M.; Macara, Gregor R.; Maddux, Brent C.; Malkova, G. V.; Manney, G.; Marcellin-Honore', Vernie; Marchenko, S. S.; Marengo, Jose A.; Marra, John J.; Martinez-Guingla, Rodney; Massom, Robert A.; Mata, Mauricio M.; Mathis, Jeremy T.; Mazloff, Matthew; McBride, Charlotte; McCarthy, Gerard; McGree, Simon; McLean, Natalie; McVicar, Tim R.; Mears, Carl A.; Meier, W.; Meinen, Christopher S.; Mekonnen, A.; Melzer, T.; Menendez, Melisa; Mengistu Tsidu, G.; Meredith, Michael P.; Merrifield, Mark A.; Mitchum, Gary T.; Monteiro, Pedro; Montzka, Stephen A.; Morice, Colin; Mote, T.; Mudryk, L.; Muhle, Jens; Mullan, A. Brett; Mueller, R.; Nash, Eric R.; Naveira Garabato, Alberto C.; Nerem, R. Steven; Newman, Louise; Newman, Paul A.; Nicolaus, M.; Nieto, Juan J.; Noetzli, Jeannette; O'Neel, S.; Oberman, N. G.; Ogallo, Laban A.; Oki, Taikan; Oludhe, Christopher S.; Osborn, Tim J.; Overland, J.; Oyunjargal, Lamjav; Pabon, D.; Parinussa, Robert M.; Park, E-hyung; Parker, David; Parsons, Rost; Pasch, Richard J.; Pascual-Ramirez, Reynaldo; Pelto, Mauri S.; Peng, Liang; Perovich, D.; Persson, P. O. G.; Peterson, Thomas C.; Petropavlovskikh, Irina; Peuch, Vincent-Henri; Pezza, Alexandre B.; Phillips, David; Photiadou, C.; Pinty, Bernard; Pitts, Michael C.; Porter, Avalon O.; Proshutinsky, A.; Quegan, Shaun; Quintana, Juan; Rahimzadeh, Fatemeh; Rajeevan, Madhavan; Ramos, A.; Raynor, Darren; Razuvaev, Vyacheslav N.; Reagan, James; Reid, Phillip; Reimer, C.; Remy, Samuel; Rennie, Jared; Renwick, James A.; Revadekar, Jayashree V.; Richter-Menge, Jacqueline A.; Robinson, David A.; Rodell, Matthew; Romanovsky, Vladimir E.; Ronchail, Josyane; Rosenlof, Karen H.; Roth, Chris; Sabine, Christopher L.; Sallee, Jean-Bapiste; Sanchez-Lugo, Ahira; Santee, Michelle L.; Sawaengphokhai, P.; Sayouri, Amal; Scambos, Ted A.; Schemm, Jae; Schmid, Claudia; Schmidtko, Sunke; Schreck, Carl J., III; Send, Uwe; Sensoy, Serhat; Setzer, Alberto; Sharp, M.; Shaw, Adrian; Shi, Lei; Shiklomanov, Nikolai I.; Shu, Song; Shupe, M. D.; Siegel, David A.; Sima, Fatou; Simmons, Adrian J.; Smeed, David A.; Smeets, C. J. P. P.; Smith, Cathy; Smith, Sharon L.; Smith, Thomas M.; Spence, Jacqueline M.; Srivastava, A. K.; Stackhouse Jr., Paul W.; Stammerjohn, Sharon; Steinbrecht, Wolfgang; Stella, Jose L.; Stephenson, Kimberly; Stephenson, Tannecia S.; Strahan, Susan; Streletskiy, D. A.; Swart, Sebastiaan; Sweet, William; Tamar, Gerard; Taylor, Michael A.; Tedesco, M.; Thompson, L.; Thompson, Philip; Thorne, Peter W.; Timmermans, M. -L.; Tjernstrom, M.; Tobin, Isabelle; Tobin, Skie; Trachte, Katja; Trewin, Blair C.; Trigo, Ricardo; Trotman, Adrian R.; Tschudi, M.; van de Wal, R. S. W.; van den Broeke, M.; van der A, Ronald J.; van der Schrier, Gerard; van der Werf, Guido R.; van Dijk, Albert I. J. M.; Vautard, Robert; Vazquez, J. L.; Vega, Carla; Verver, G.; Vieira, Goncalo; Vincent, Lucie A.; Vose, Russell S.; Wagner, W.; Wahlin, Anna; Wahr, J.; Walker, D. A.; Walsh, J.; Wang, Bin; Wang, Chunzai; Wang, Junhong; Wang, Lei; Wang, M.; Wang, Sheng-Hung; Wang, Shujie; Wanninkhof, Rik; Weber, Mark; Werdell, P. Jeremy; Whitewood, Robert; Wilber, Anne C.; Wild, Jeannette D.; Willett, Kate M.; Williams, Michael J. M.; Willis, Josh K.; Wolken, G.; Wong, Takmeng; Wouters, B.; Xue, Yan; Yamada, Ryuji; Yashayaev, Igor; Yim, So-Young; Yin, Xungang; Yu, Lisan; Zambrano, Eduardo; Zhang, Peiqun; Zhou, Lin; Ziemke, Jerry; Love-Brotak, S. Elizabeth; Sprain, Mara; Veasey, Sara W.; Griffin, Jessicca; Misch, Deborah J.; Riddle, Deborah B.; Young, Teresa</t>
  </si>
  <si>
    <t>STATE OF THE CLIMATE IN 2014</t>
  </si>
  <si>
    <t>MADDEN-JULIAN OSCILLATION; WESTERN NORTH PACIFIC; MERIDIONAL OVERTURNING CIRCULATION; ARCTIC SEA-ICE; WIND-SPEED TRENDS; TROPICAL CYCLONE INTENSITY; MASS-BALANCE OBSERVATIONS; OCEAN THERMAL STRUCTURE; AEROSOL OPTICAL DEPTHS; SOUTHERN ANNULAR MODE</t>
  </si>
  <si>
    <t>Most of the dozens of essential climate variables monitored each year in this report continued to follow their long-term trends in 2014, with several setting new records. Carbon dioxide, methane, and nitrous oxide-the major greenhouse gases released into Earth's atmosphere-once again all reached record high average atmospheric concentrations for the year. Carbon dioxide increased by 1.9 ppm to reach a globally averaged value of 397.2 ppm for 2014. Altogether, 5 major and 15 minor greenhouse gases contributed 2.94 W m(-2) of direct radiative forcing, which is 36% greater than their contributions just a quarter century ago. Accompanying the record-high greenhouse gas concentrations was nominally the highest annual global surface temperature in at least 135 years of modern record keeping, according to four independent observational analyses. The warmth was distributed widely around the globe's land areas, Europe observed its warmest year on record by a large margin, with close to two dozen countries breaking their previous national temperature records; many countries in Asia had annual temperatures among their 10 warmest on record; Africa reported above-average temperatures across most of the continent throughout 2014; Australia saw its third warmest year on record, following record heat there in 2013; Mexico had its warmest year on record; and Argentina and Uruguay each had their second warmest year on record. Eastern North America was the only major region to observe a below-average annual temperature. But it was the oceans that drove the record global surface temperature in 2014. Although 2014 was largely ENSO-neutral, the globally averaged sea surface temperature (SST) was the highest on record. The warmth was particularly notable in the North Pacific Ocean where SST anomalies signaled a transition from a negative to positive phase of the Pacific decadal oscillation. In the winter of 2013/14, unusually warm water in the northeast Pacific was associated with elevated ocean heat content anomalies and elevated sea level in the region. Globally, upper ocean heat content was record high for the year, reflecting the continued increase of thermal energy in the oceans, which absorb over 90% of Earth's excess heat from greenhouse gas forcing. Owing to both ocean warming and land ice melt contributions, global mean sea level in 2014 was also record high and 67 mm greater than the 1993 annual mean, when satellite altimetry measurements began. Sea surface salinity trends over the past decade indicate that salty regions grew saltier while fresh regions became fresher, suggestive of an increased hydrological cycle over the ocean expected with global warming. As in previous years, these patterns are reflected in 2014 subsurface salinity anomalies as well. With a now decade-long trans-basin instrument array along 26 degrees N, the Atlantic meridional overturning circulation shows a decrease in transport of -4.2 +/- 2.5 Sv decade(-1). Precipitation was quite variable across the globe. On balance, precipitation over the world's oceans was above average, while below average across land surfaces. Drought continued in southeastern Brazil and the western United States. Heavy rain during April-June led to devastating floods in Canada's Eastern Prairies. Above-normal summer monsoon rainfall was observed over the southern coast of West Africa, while drier conditions prevailed over the eastern Sahel. Generally, summer monsoon rainfall over eastern Africa was above normal, except in parts of western South Sudan and Ethiopia. The south Asian summer monsoon in India was below normal, with June record dry. Across the major tropical cyclone basins, 91 named storms were observed during 2014, above the 1981-2010 global average of 82. The Eastern/Central Pacific and South Indian Ocean basins experienced significantly above-normal activity in 2014; all other basins were either at or below normal. The 22 named storms in the Eastern/Central Pacific was the basin's most since 1992. Similar to 2013, the North Atlantic season was quieter than most years of the last two decades with respect to the number of storms, despite the absence of El Nino conditions during both years. In higher latitudes and at higher elevations, increased warming continued to be visible in the decline of glacier mass balance, increasing permafrost temperatures, and a deeper thawing layer in seasonally frozen soil. In the Arctic, the 2014 temperature over land areas was the fourth highest in the 115-year period of record and snow melt occurred 20-30 days earlier than the 1998-2010 average. The Greenland Ice Sheet experienced extensive melting in summer 2014. The extent of melting was above the 1981-2010 average for 90% of the melt season, contributing to the second lowest average summer albedo over Greenland since observations began in 2000 and a record-low albedo across the ice sheet for August. On the North Slope of Alaska, new record high temperatures at 20-m depth were measured at four of five permafrost observatories. In September, Arctic minimum sea ice extent was the sixth lowest since satellite records began in 1979. The eight lowest sea ice extents during this period have occurred in the last eight years. Conversely, in the Antarctic, sea ice extent countered its declining trend and set several new records in 2014, including record high monthly mean sea ice extent each month from April to November. On 20 September, a record large daily Antarctic sea ice extent of 20.14 x 106 km(2) occurred. The 2014 Antarctic stratospheric ozone hole was 20.9 million km2 when averaged from 7 September to 13 October, the sixth smallest on record and continuing a decrease, albeit statistically insignificant, in area since 1998.</t>
  </si>
  <si>
    <t>[Aaron-Morrison, Arlene P.; Kerr, Kenneth] Trinidad &amp; Tobago Meteorol Serv, Piarco, Trinidad Tobago; [Ackerman, Steven A.; Foster, Michael] Univ Wisconsin Madison, CIMSS, Madison, WI USA; [Adamu, J. I.; Francis, S. D.] Nigerian Meteorol Agcy, Abuja, Nigeria; [Albanil, Adelina; Pascual-Ramirez, Reynaldo; Vazquez, J. L.] Natl Meteorol Serv Mexico, Mexico City, DF, Mexico; [Alfaro, Eric J.; Amador, Jorge A.; Duran-Quesada, Ana M.; Hidalgo, Hugo G.] Univ Costa Rica, Ctr Geophys Res &amp; Sch Phys, San Jose, Costa Rica; [Allan, Rob; Dunn, Robert J. H.; Folland, Chris K.; Good, Simon A.; Kennedy, John; Morice, Colin; Parker, David; Willett, Kate M.] Met Off Hadley Ctr, Exeter, Devon, England; [Alley, Richard B.] Penn State Univ, Dept Geosciences &amp; Earth &amp; Environm Syst Inst, University Pk, PA USA; [Alvarez, Luis] Inst Hidrologia Meteorologia &amp; Estudios Ambient C, IDEAM, Bogota, Colombia; [Alves, Lincoln M.] Inst Nacl Pesquisas Espaciais, Centro Ciencias Sistema Terrestre, Cachoeira Paulista, Sao Paulo, Brazil; [Andreassen, L. M.] Sect Glaciers, Ice &amp; Snow, Norwegian Water Resources &amp; Energy Directorate, Oslo, Norway; [Antonov, John; Boyer, Tim; Diamond, Howard J.; Locarnini, Ricardo; Parsons, Rost; Reagan, James; Veasey, Sara W.; Riddle, Deborah B.] NOAA, NESDIS Natl Ctr Environm Informat, Silver Spring, MD USA; [Antonov, John] Univ Corp Atmospheric Res, Boulder, CO USA; [Applequist, Scott; Arguez, Anthony; Arndt, Derek S.; Banzon, Viva; Blunden, Jessica; Crouch, Jake; Fenimore, Chris; Heim, Richard R.; Kruk, Michael C.; Peterson, Thomas C.; Sanchez-Lugo, Ahira; Shi, Lei; Vose, Russell S.; Yin, Xungang; Love-Brotak, S. Elizabeth; Sprain, Mara; Veasey, Sara W.; Misch, Deborah J.; Young, Teresa] NOAA, NESDIS Natl Ctr Environm Informat, Asheville, NC USA; [Arendt, A.; Bhatt, U. S.; Kholodov, A. L.; Marchenko, S. S.; Romanovsky, Vladimir E.] Univ Alaska Fairbanks, Inst Geophys, Fairbanks, AK USA; [Arevalo, Juan] Inst Nacl Meteorologia Hidrologia Venezuela, Caracas, Venezuela; [Barichivich, J.] Univ Leeds, Sch Geog, Leeds, W Yorkshire, Chile; [Barichivich, J.] Ctr Climate &amp; Resilience Res CR 2, Santiago, Chile; [Baringer, Molly O.; Goldenberg, Stanley B.; Goni, Gustavo; Lumpkin, Rick; Meinen, Christopher S.; Schmid, Claudia; Wang, Chunzai; Wanninkhof, Rik] NOAA OAR Atlant Oceanog &amp; Meteorol Lab, Miami, FL USA; [Barreira, Sandra] Argentine Naval Hydrog Serv, Buenos Aires, DF, Argentina; [Baxter, Stephen; Bell, Gerald D.; Halpert, Michael S.; L'Heureux, Michelle; Schemm, Jae] NOAA NWS Climate Predict Ctr, College Pk, MD USA; [Bazo, Juan] Serv Nacl Meteorol Hidrol Peru, Lima, Peru; [Becker, Andreas] Global Precipitat Climatol Ctr, Deutsch Wetterdienst, Offenbach, Germany; [Behrenfeld, Michael J.] Oregon State Univ, Corvallis, OR USA; [Bell, Gerald D.] NOAA NWS Climate Predict Ctr, College Pk, MD USA; [Benedetti, Angela; Berrisford, Paul; Inness, Antje; Simmons, Adrian J.] European Ctr Medium Range Weather Forecasts, Reading, Berks, England; [Bernhard, G.] Biospher Instruments, San Diego, CA USA; [Berrisford, Paul] European Ctr Medium Range Weather Forecasts, Reading, Berks, England; [Berry, David I.; Grist, Jeremy; Josey, Simon A.; McCarthy, Gerard; Raynor, Darren; Smeed, David A.] Natl Oceanog Ctr, Southampton, Hants, England; [Bettolli, Mar-a L.] Univ Buenos Aires, Fac Ciencias Exactas &amp; Nat, Dept Ciencias Atmosfera &amp; Ios Oceanos, Buenos Aires, DF, Argentina; [Bidegain, Mario] Inst Uruguayo Meteorologia, Montevideo, Uruguay; [Bindoff, Nathan] Antarct Climate &amp; Ecosystems Cooperat Res Ctr, Hobart, Tas, Australia; [Bindoff, Nathan] CSIRO Marine &amp; Atmospher Labs, Hobart, Tas, Australia; [Bissolli, Peter] WMO RA VI Reg Climate Ctr Network, Deutsch Wetterdienst, Offenbach, Germany; [Blake, Eric S.; Kimberlain, Todd B.; Pasch, Richard J.] NOAA NWS Natl Hurricane Ctr, Miami, FL USA; [Blenman, Rosalind C.] Barbados Meteorol Serv, Christchurch, New Zealand; [Blunden, Jessica; Kruk, Michael C.] ERT Inc, NOAA NESDIS Natl Ctrs Environm Informat, Asheville, NC USA; [Bond, Nick A.; Wang, M.] Univ Washington, Joint Inst Study Atmosphere &amp; Ocean, Seattle, WA USA; [Bond, Nick A.; Carter, Brendan; Cronin, Meghan F.; Feely, Richard A.; Johnson, Gregory C.; Lyman, John M.; Mathis, Jeremy T.; Overland, J.; Sabine, Christopher L.] NOAA OAR Pacific Marine Environm Lab, Seattle, WA USA; [Bosilovich, Mike] NASA Goddard Space Flight Ctr, Global Modelling &amp; Assimilat Off, Greenbelt, MD USA; [Boudet, Dagne; Gonzalez, Idelmis T.; Hernandez, M.] Inst Meteorol Cuba, Climate Ctr, Havana, Cuba; [Box, J. E.] Geol Survey Denmark &amp; Greenland, Copenhagen, Denmark; [Braathen, Geir O.] WMO Atmospher Environm Res Div, Geneva, Switzerland; [Bromwich, David H.; Wang, Sheng-Hung] Ohio State Univ, Byrd Polar &amp; Climate Res Ctr, Columbus, OH USA; [Brown, L. C.] Univ Toronto Mississauga, Dept Geog, Mississauga, ON, Canada; [Brown, R.; Derksen, C.; Mudryk, L.] Environm Canada, Div Climate Res, Montreal, PQ, Canada; [Bulygina, Olga N.] Russian Inst Hydrometeorol Informat, Obninsk, Russia; [Burgess, D.] Geol Survey Canada, Ottawa, ON, Canada; [Calderon, Blanca; Vega, Carla] Univ Costa Rica, Ctr Geophys Res, San Jose, Costa Rica; [Camargo, Suzana J.] Columbia Univ, Lamont Doherty Earth Observ, Palisades, NY USA; [Campbell, Jayaka D.; McLean, Natalie; Stephenson, Kimberly; Stephenson, Tannecia S.; Taylor, Michael A.] Univ West Indies, Dept Phys, Kingston, Jamaica; [Cappelen, J. .] Danish Meteorol Inst, Copenhagen, Denmark; [Carrasco, Gualberto] Servicio Nacl Meteorologia Hidrologia Bolivia, La Paz, Bolivia; [Chambers, Don P.; Mitchum, Gary T.] Univ S Florida, Coll Marine Sci, St Petersburg, FL USA; [Chandler, Elise; Ganter, Catherine; McGree, Simon; Tobin, Skie] Bur Meteorol, Melbourne, Vic, Australia; [Chevallier, Frederic] Lab Sci Climat &amp; Environm, CEA CNRS UVSQ, Gif Sur Yvette, France; [Christiansen, Hanne H.] UNIS Univ Ctr Svalbard, Arct Geol Dept, Longyearbyen, Norway; [Christy, John R.] Univ Alabama Huntsville, Huntsville, AL USA; [Chung, D.; Dorigo, Wouter A.; Kidd, R.; Melzer, T.; Reimer, C.; Wagner, W.] Vienna Univ Technol, Dept Geodesy &amp; Geoinformat, Vienna, Austria; [Ciais, Philippe] LCSE, Gif Sur Yvette, France; [Clem, Kyle R.] Victoria Univ Wellington, Sch Geog Environm &amp; Earth Sci, Wellington, New Zealand; [Coelho, Caio A. S.] CPTEC, INPE Ctr Weather Forecasts &amp; Climate Studies, Cachoeira Paulista, Brazil; [Cogley, J. G.] Trent Univ, Dept Geog, Peterborough, ON, Canada; [Coldewey-Egbers, Melanie; Loyola, Diego] DLR German Aerosp Ctr Oberpfaffenhofen, Wessling, Germany; [Colwell, Steve; Meredith, Michael P.] British Antarct Survey, Cambridge, England; [Cooper, Owen R.; Davis, Sean M.; Dutton, Geoff S.; Hurst, Dale F.; Johnson, Bryan; Lantz, Kathy; Persson, P. O. G.; Petropavlovskikh, Irina; Shupe, M. D.; Smith, Cathy] Univ Colorado Boulder, Cooperat Inst Res Environm Sci, Boulder, CO USA; [Cooper, Owen R.; Davis, Sean M.; Dlugokencky, J.; Dutton, Geoff S.; Elkins, James W.; Hall, Bradley D.; Hurst, Dale F.; Lantz, Kathy; Montzka, Stephen A.; Persson, P. O. G.; Rosenlof, Karen H.; Shupe, M. D.; Smith, Cathy] NOAA OAR Earth Syst Res Lab, Boulder, CO USA; [Copland, L.; Thompson, Philip] Univ Ottawa, Dept Geog, Ottawa, ON, Canada; [Cunningham, Stuart A.] Scottish Marine Inst, Oban, Argyll, Scotland; [De Jeu, R. A. M.] Vrije Univ Amsterdam, Fac Earth &amp; Life Sci, Dept Earth Sci, Earth &amp; Climate Cluster, Amsterdam, Netherlands; [Degenstein, Doug; Roth, Chris] Univ Saskatchewan, Saskatoon, SK, Canada; [Demircan, M.; Sensoy, Serhat] Turkish State Meteorol Serv, Ankara, Turkey; [Destin, Dale] Antigua &amp; Barbuda Meteorol Serv, St John, NF, Canada; [Dohan, Kathleen; Kao, Hsun-Ying] Earth &amp; Space Res, Seattle, WA USA; [Dolman, A. Johannes] Vrije Univ Amsterdam, Dept Earth Sci Earth &amp; Climate Cluster, Amsterdam, Netherlands; [Domingues, Catia M.] Univ Tasmania, Inst Marine &amp; Antarct Studies, Hobart, Tas, Australia; [Domingues, Catia M.] Antarct Climate &amp; Ecosystems Cooperat Res Ctr, Hobart, Tas, Australia; [Donat, Markus G.] Univ New S Wales, Climate Change Res Ctr, Sydney, NSW, Australia; [Dong, Shenfu; Garzoli, Silvia] Cooperat Inst Marine &amp; Atmospher Sci, Miami, FL USA; [Dorigo, Wouter A.] Univ Ghent, Dept Forest &amp; Water Management, Ghent, Belgium; [Drozdov, D. S.; Malkova, G. V.] Earth Cryosphere Inst, Tyumen, Russia; [Drozdov, D. S.; Malkova, G. V.] Tyumen State Oil &amp; Gas Univ, Tyumen, Russia; [Duguay, C. R.; Kheyrollah Pour, H.] Univ Waterloo, Dept Geog &amp; Environm Management, Waterloo, ON, Canada; [Duguay, C. R.; Kang, K. K.] H2O Geomatics Inc, Waterloo, ON, Canada; [Ebrahim, A.] Egyptian Meteorol Author, Cairo, Egypt; [Epstein, H. E.] Univ Virginia, Charlottesville, VA USA; [Espinoza, Jhan C.] Inst Geofisico Peru, Lima, Peru; [Evans, Thomas E.] NOAA NWS Cent Pacif Hurricane Ctr, Honolulu, HI USA; [Famiglietti, James S.] Univ Calif Irvine, Dept Earth Syst Sci, Irvine, CA USA; [Fateh, S.; Kazemi, A.] Islamic Republ Iranian Meteorol Organ, Tehran, Iran; [Fauchereau, Nicolas C.] Natl Inst Water &amp; Atmospher Res Ltd, Auckland, New Zealand; [Feely, Richard A.; Johnson, Gregory C.] NOAA OAR Pacific Marine Environm Lab, Seattle, WA USA; [Fenimore, Chris] NOAA NESDIS Natl Ctr Environm Informat, Asheville, NC USA; [Fettweis, X.] Univ Liege, Liege, Belgium; [Fioletov, Vitali E.; Phillips, David] Environm Canada, Toronto, ON, Canada; [Flemming, Johannes] European Ctr Medium Range Weather Forecasts, Reading, Berks, England; [Fogarty, Chris T.] Canadian Hurricane Ctr, Environm Canada, Dartmouth, NS, Canada; [Fogt, Ryan L.] Ohio Univ, Dept Geog, Athens, OH USA; [Folland, Chris K.] Met Off Hadley Ctr, Exeter, Devon, England; CIMSS, Univ Wisconsin, Madison, WI USA; [Francis, S. D.] Nigerian Meteorol Agency, Abuja, Nigeria; [Franz, Bryan A.; Frith, Stacey M.] NASA, Goddard Space Flight Ctr, Greenbelt, MD USA; [Freeland, Howard] Inst Ocean Sci, Fisheries, Fisheries &amp; Oceans, Sidney, BC, Canada; [Froidevaux, Lucien] Jet Prop Lab, CALTECH, Pasadena, CA USA; [Frost, G. V.] ABR Inc, Fairbanks, AK USA; [Ganter, Catherine] Bureau Meteorol, Melbourne, Vic, Australia; [Garzoli, Silvia] NOAA, OAR Atlantic Oceanog &amp; Meteorol Lab, Miami, FL USA; [Garzoli, Silvia] Cooperative Inst Marine &amp; Atmospher Sci, Miami, FL USA; [Gerland, S.] Norwegian Polar Res Inst, Fram Ctr, Tromso, Norway; [Gitau, Wilson] Univ Nairobi, Dept Meteorol, Nairobi, Kenya; [Gobron, Nadine] European Commiss, Joint Res Ctr, Inst Environm &amp; Sustainab, Land Resources Monitoring Unit, Ispra, Italy; [Goldenberg, Stanley B.; Goni, Gustavo] NOAA, OAR Atlantic Oceanog &amp; Meteorol Lab, Miami, FL 33149 USA; [Gonzalez, Idelmis T.] Inst Met, Climate Ctr, Havana, Cuba; [Good, Simon A.] Met Office Hadley Ctr, Exeter, Devon, England; [Goto, A.] Japan Meteorol Agency, Tokyo, Japan; [Keller, Linda M.; Griffin, Jessicca] Univ Wisconsin, Dept Atmospher &amp; Ocean Sci, Madison, WI USA; [Grist, Jeremy] Natl Oceanog Ctr, Southampton, Hants, England; [Grooss, J. -U.] Forschungszentrum Julich, Julich, Germany; [Guard, Charles] NOAA, NWS Weather Forecast, Mangilao, GU USA; [Gupta, S. K.] SSAI, Hampton, VA USA; [Hagos, S.] FCSD, ASGC Climate Phys Grp, Pacific NW Natl Lab, Richland, WA USA; [Haimberger, Leo] Univ Vienna, Dept Meteorol &amp; Geophys, Vienna, Austria; [Hall, Bradley D.] NOAA, OAR Earth Syst Res, Boulder, CO USA; [Halpert, Michael S.] NOAA, NWS Climate Predict Ctr, College Pk, MD USA; [Hamlington, Benjamin D.] Old Dominion Univ, Ctr Coastal Phys Oceanog, Norfolk, VA USA; [Hanna, E.] Univ Sheffield, Dept Geog, Sheffield S10 2TN, S Yorkshire, England; [Hanssen-Bauer, I.] Norwegian Meteorol Inst, Oslo, Norway; [Harris, Ian] Univ East Anglia, Climat Res Unit, Sch Environm Sci, Norwich, Norfolk, England; [Heidinger, Andrew K.] NOAA NESDIS STAR Univ Wisconsin, Madison, WI USA; [Heikkila, A.] Finnish Meteorol Inst, Helsinki, Finland; [Heim, Richard R.] NOAA NESDIS Natl Ctr Environm Informat, Asheville, NC USA; [Hendricks, S.] Alfred Wegener Inst, Bremerhaven, Germany; [Hernandez, M.] Inst Meteorol Cuba, Climate Ctr, Havana, Cuba; [Hidalgo, Hugo G.] Univ Costa Rica, Ctr Geophys Res &amp; Sch Phys, San Jose, Costa Rica; [Hilburn, Kyle] Remote Sensing Syst, Santa Rosa, CA USA; [Ho, Shu-peng] COSMIC, UCAR, Boulder, CO USA; [Hobbs, Will R.] Univ Tasmania, ARC Ctr Excellence for Climate Syst Sci, Hobart, Tas, Australia; [Hu, Zeng-Zhen] NOAA NWS, Natl Ctr Environm Predict, College Pk, MD USA; [Huelsing, Hannah] SUNY Binghamton, Albany, NY USA; [Hurst, Dale F.] Univ Colorado Boulder, Cooperat Inst Res Environm Sci, Boulder, CO USA; [Hurst, Dale F.] NOAA OAR, Earth Sci Res Lab, Boulder, CO USA; [Inness, Antje; Kaiser, Johannes W.] European Ctr Medium Range Weather Forecasts, Reading, Berks, England; [Ishii, Masayoshi] Japan Meteorol Agency, Meteorol Res Inst, Tsukuba, Ibaraki, Japan; [Jeffers, Billy; Joyette, Sigourney] Meteorol Off, ET Joshua Airport, Arnos Vale, St Vincent; [Jeffries, Martin O.] Off Naval Res, Arlington, VA USA; [Jevrejeva, Svetlana] Natl Geophys Ctr, Liverpool, Merseyside, England; [Jin, Xiangze] Woods Hole Oceanog Inst, Woods Hole, MA USA; [John, Viju] EUMETSAT, User Serv Climate, Darmstadt, Germany; [Johns, William E.] Rosenstiel Sch Marine &amp; Atmospher Sci, Miami, FL USA; [Johnsen, B.] Norwegian Radiat Protect Author, Osteras, Norway; [Johnson, Bryan] NOAA OAR, Earth Syst Res Lab, Global Monitoring Div, Boulder, CO USA; [Johnson, Bryan] Univ Colorado Boulder, Boulder, CO USA; [Jones, Phil D.] Univ East Anglia, Climatic Res Unit, Sch Environm Sci, Norwich, Norfolk, England; [Jones, Phil D.] Ctr Excellence Climate Change Res, Dept Meteorol, Jeddah, Saudi Arabia; [Josey, Simon A.] Natl Oceanog Ctr, Southampton, Hants, England; [Jumaux, Guillaume] Meteo France, Paris, France; [Kabidi, Khadija] Direct Meteorol Nationale Maroc, Rabat, Morocco; [Kaiser, Johannes W.] Max Planck Inst Chem, Mainz, Germany; [Kang, K. K.] H2O Geomat Inc, Waterloo, ON, Canada; [Kanzow, Torsten O.] Alfred Wegener Inst Polar &amp; Marine Res, Bremerhaven, Germany; [Kendon, Mike] Met Off Natl Climate Informat Ctr, Exeter, Devon, England; [Kerr, Kenneth] Trinidad &amp; Tobago Meteorol Serv, Piarco, Trinidad Tobago; [Kheyrollah Pour, H.] Univ Waterloo, Dept Geog &amp; Environm Management, Waterloo, ON, Canada; [Kholodov, A. L.] Univ Alaska Fairbanks, Inst Geophys, Fairbanks, AK 99775 USA; [Khoshkam, Mahbobeh] Islamic Republ Iran Meteorol Org, Tehran, Iran; [Kidd, R.; Melzer, T.; Reimer, C.; Wagner, W.] Vienna Univ Technol, Dept Geodesy &amp; Geoinformat, Vienna, Austria; [Kieke, Dagmar] Inst Umweltphys, Bremen, Germany; [Kim, Hyungjun] Univ Tokyo, Inst Ind Sci, Tokyo 1138654, Japan; [Kim, S. J.] Korea Polar Res Inst, Incheon, South Korea; [Kimberlain, Todd B.] NOAA, NWS Natl Hurricane Ctr, Miami, FL USA; [Klotzbach, Philip] Colorado State Univ, Dept Atmospher Sci, Ft Collins, CO 80523 USA; [Knaff, John A.] NOAA, NESDIS Ctr Satellite Applicat &amp; Res, Ft Collins, CO USA; [Kobayashi, Shinya] Japan Meteorol Agcy, Climate Predict Div, Tokyo, Japan; [Kohler, J.] Norwegian Polar Res Inst, Tromso, Norway; [Korshunova, Natalia N.] All Russian Res Inst Hydrometeorol Informat, World Data Ctr, Obninsk, Russia; [Koskela, T.] Finnish Meteorol Inst, Helsinki, Finland; [Kramarova, Natalya; Nash, Eric R.] NASA, Goddard Space Flight Ctr, Sci Syst &amp; Appl Inc, Greenbelt, MD USA; [Kratz, D. P.; Stackhouse Jr., Paul W.] NASA, Langley Res Ctr, Hampton, VA 23665 USA; [Kruger, Andries] South African Weather Serv, Pretoria, South Africa; [Kruk, Michael C.; Yin, Xungang] NOAA, ERT Inc, NESDIS Nat Ctr Environm Informat, Asheville, NC USA; [Kumar, Arun; Xue, Yan] NOAA, NWS Natl Ctr Environm Predict, Climate Predict Ctr, College Pk, MD USA; [Kwok, R.; Willis, Josh K.] CALTECH, Jet Prop Lab, Pasadena, CA USA; [Lagerloef, Gary S. E.] Earth &amp; Space Res, Seattle, WA USA; [Lakkala, K.] Finnish Meteorol Inst, Arctic Res Ctr, Sodankyla, Finland; [Lander, Mark A.] Univ Guam, Mangilao, GU USA; [Landsea, Chris W.] NOAA, NWS Natl Hurricane Ctr, Miami, FL USA; [Lankhorst, Matthias; Muhle, Jens; Send, Uwe] Univ Calif San Diego, Scripps Inst Oceanog, La Jolla, CA 92093 USA; [Lantz, Kathy; Persson, P. O. G.; Shupe, M. D.; Smith, Cathy; Wahr, J.] Univ Colorado, Cooperat Inst Res Environm Sci, Boulder, CO USA; [Lantz, Kathy; Rosenlof, Karen H.; Shupe, M. D.; Smith, Cathy] NOAA, OAR Earth Syst Res Lab, Boulder, CO USA; [Lazzara, Matthew A.] Univ Wisconsin, Ctr Space Sci &amp; Engn, 1225 W Dayton St, Madison, WI 53706 USA; [Leuliette, Eric] NOAA, NWS NCWCP Lab Satellite Altimetry, College Pk, MD USA; [L'Heureux, Michelle; Schemm, Jae] NOAA, NWS Climate Predict Ctr, College Pk, MD USA; [Lieser, Jan L.] Univ Tasmania, Antarctic Climate &amp; Ecosyst Cooperat Res Ctr, Hobart, Tas, Australia; [Lin, I. I.] Natl Taiwan Univ, Taipei, Taiwan; [Liu, Hongxing] Univ Cincinnati, Dept Geol, Cincinnati, OH USA; [Liu, Yinghui] Univ Wisconsin, Cooperat Inst Meteorol Satellite Studies, Madison, WI USA; [Locarnini, Ricardo] NOAA, NESDIS Natl Ctr Environm Informat, Silver Spring, MD USA; [Loeb, Norman G.; Pitts, Michael C.; Wong, Takmeng] NASA, Langley Res Ctr, Hampton, VA 23665 USA; [Long, Craig S.] NOAA, NWS Ctr Weather &amp; Climate Predict, College Pk, MD USA; [Lorrey, Andrew M.] Natl Inst Water &amp; Atmospher Res Ltd, Auckland, New Zealand; [Loyola, Diego] DLR German Aerosp Ctr, Oberpfaffenhofen, Wessling, Germany; [Lui, Yi Y.] Univ New S Wales, ARC Ctr Excellence Climate Syst Sci, Sydney, NSW, Australia; [Lui, Yi Y.] Univ New S Wales, Climate Change Res Ctr, Sydney, NSW, Australia; [Lumpkin, Rick; Schmid, Claudia; Wang, Chunzai; Wanninkhof, Rik] NOAA, OAR Atlantic Oceanog &amp; Meteorol Lab, Miami, FL USA; [Luo, Jing-Jia; Reid, Phillip; Trewin, Blair C.] Australian Bur Meteorol, Melbourne, Vic, Australia; [Luojus, K.] Finnish Meteorol Inst, Helsinki, Finland; [Lyman, John M.; Sabine, Christopher L.] NOAA, OAR Pacific Marine Environm Lab, Seattle, WA USA; [Lyman, John M.] Univ Hawaii, Joint Inst Marine &amp; Atmospher Res, Honolulu, HI USA; [Macara, Gregor R.; Mullan, A. Brett] Natl Inst Water &amp; Atmospher Res Ltd, Wellington, New Zealand; [Maddux, Brent C.] Univ Wisconsin, AOS CIMSS, Madison, WI USA; [Malkova, G. V.] Earth Cryosphere Inst, Tyumen, Russia; [Malkova, G. V.] Tyumen State Oil &amp; Gas Univ, Tyumen, Russia; [Manney, G.] NorthWest Res Associates Inc, Socorro, NM USA; [Manney, G.] New Mexico Inst Min &amp; Technol, Socorro, NM USA; [Marcellin-Honore', Vernie] Dominica Meteorol Serv, Canefield, Dominica; [Marchenko, S. S.] Univ Alaska Fairbanks, Inst Geophys, Fairbanks, AK 99775 USA; [Marengo, Jose A.] Ctr Nacl Monitoramento &amp; Alertas Desastres Nat, Sao Paulo, Brazil; [Marra, John J.] NOAA, NESDIS Natl Ctr Environm Inform, Honolulu, HI USA; [Martinez-Guingla, Rodney; Nieto, Juan J.; Pabon, D.; Zambrano, Eduardo] CIIFEN, Guayaquil, Ecuador; [Massom, Robert A.] Univ Tasmania, Australian Antarctic Div, Hobart, Tas, Australia; [Massom, Robert A.] Univ Tasmania, Antarctic Climate &amp; Ecosyst Cooperat Res Ctr, Hobart, Tas, Australia; [Mata, Mauricio M.] Inst Oceanog FURG, Lab Estudos Oceanos &amp; Clima, Rio Grande, RS, Brazil; [Mathis, Jeremy T.] NOAA, OAR Pacific Marine Environm Lab, Seattle, WA USA; [Mazloff, Matthew] Univ Calif San Diego, Scripps Inst Oceanog, La Jolla, CA 92093 USA; [McBride, Charlotte] South African Weather Serv, Pretoria, South Africa; [McCarthy, Gerard; Smeed, David A.] Natl Oceanog Ctr, Southampton, Hants, England; [McGree, Simon] Bur Meteorol, Melbourne, Vic, Australia; [McLean, Natalie; Stephenson, Kimberly; Stephenson, Tannecia S.; Taylor, Michael A.] Univ West Indies, Dept Phys, Mona, Jamaica; [McVicar, Tim R.] CSIRO Land &amp; Water Flagship, Canberra, ACT, Australia; [McVicar, Tim R.] Australian Res Council Ctr Excellence Climate Sys, Sydney, NSW, Australia; [Mears, Carl A.] Remote Sensing Syst, Santa Rosa, CA USA; [Meier, W.; Newman, Paul A.; Werdell, P. Jeremy; Ziemke, Jerry] NASA, Goddard Space Flight Ctr, Greenbelt, MD USA; [Meinen, Christopher S.] NOAA, OAR Atlantic Oceanog &amp; Meteorol Lab, Miami, FL USA; [Mekonnen, A.] North Carolina A&amp;T State Univ, Dept Energy &amp; Environm Syst, Greensboro, NC USA; [Menendez, Melisa] Univ Cantabria, Environm Hydraul Inst, Cantabria, Spain; [Mengistu Tsidu, G.] Botswana Int Univ Sci &amp; Technol, Dept Earth &amp; Environm Sci, Palapye, Botswana; [Meredith, Michael P.] British Antarctic Survey, Cambridge, England; [Merrifield, Mark A.; Thompson, Philip] Univ Hawaii, Joint Inst Marine &amp; Atmospher Res, Honolulu, HI USA; [Mitchum, Gary T.] Univ S Florida, Coll Marine Sci, St Petersburg, FL USA; [Monteiro, Pedro] CSIR Nat Resources &amp; Environm, Stellenbosch, South Africa; [Montzka, Stephen A.] NOAA, OAR Earth Syst Res Lab, Boulder, CO USA; [Morice, Colin] Met Off Hadley Ctr, Exeter, Devon, England; [Mote, T.] Univ Georgia, Dept Geog, Athens, GA 30602 USA; [Mudryk, L.] Environm Canada, Div Climate Res, Toronto, ON, Canada; [Mueller, R.] Forschungszentrum Julich, Julich, Germany; [Naveira Garabato, Alberto C.] Univ Southampton, Natl Oceanog Ctr, Southampton, Hants, England; [Nerem, R. Steven] Univ Colorado, Colorado Ctr Astrodynam Res, Cooperat Inst Res Environm Sci, Boulder, CO USA; [Newman, Louise] Univ Tasmania, Inst Marine &amp; Antarctic Sci, SOOS Int Project Off, Hobart, Tas, Australia; [Nicolaus, M.] Alfred Wegener Inst, Bremerhaven, Germany; [Noetzli, Jeannette] Univ Zurich, Dept Geog, Zurich, Switzerland; [O'Neel, S.] USGS, Alaska Sci Ctr, Anchorage, AK USA; [Oberman, N. G.] MIRECO Min Co, Syktyvkar, Russia; [Ogallo, Laban A.] IGAD Climate Predict &amp; Applicat Ctr, Nairobi, Kenya; [Oki, Taikan] Univ Tokyo, Inst Ind Sci, Tokyo 1138654, Japan; [Oludhe, Christopher S.] Univ Nairobi, Dept Meteorol, Nairobi, Kenya; [Osborn, Tim J.] Univ E Anglia, Sch Environm Sci, Climat Res Unit, Norwich, Norfolk, England; [Overland, J.] NOAA, OAR Pacific Marine Environm Lab, Seattle, WA USA; [Oyunjargal, Lamjav] Natl Agcy Meteorol, Inst Meteorol &amp; Hydrol, Hydrol &amp; Environm Monitoring, Ulaanbaatar, Mongolia; [Parinussa, Robert M.] Univ New S Wales, Water Res Ctr, Sch Civil &amp; Environm Engn, Sydney, NSW, Australia; [Park, E-hyung; Yim, So-Young] Korea Meteorol Adm, Seoul, South Korea; [Parker, David; Willett, Kate M.] Met Off Hadley Ctr, Exeter, Devon, England; [Pasch, Richard J.] NOAA, NWS Natl Hurricane Ctr, Miami, FL USA; [Pascual-Ramirez, Reynaldo; Vazquez, J. L.] Natl Meteorol Serv Mexico, Mexico City, DF, Mexico; [Pelto, Mauri S.] Nichols Coll, Dudley, MA USA; [Peng, Liang] UCAR COSMIC, Boulder, CO USA; [Perovich, D.; Richter-Menge, Jacqueline A.] USACE Cold Reg Res &amp; Engn Lab, Hanover, NH USA; [Petropavlovskikh, Irina] NOAA, OAR Earth Syst Res Lab, Global Monitoring Div, Boulder, CO USA; [Petropavlovskikh, Irina] Univ Colorado, Boulder, CO 80309 USA; [Peuch, Vincent-Henri] European Ctr Medium Range Weather Forecasts, Reading, Berks, England; [Pezza, Alexandre B.] Greater Wellington Reg Council, Wellington, New Zealand; [Photiadou, C.; van de Wal, R. S. W.; van den Broeke, M.] Univ Utrecht, Inst Marine &amp; Atmospher Res Utrecht, Utrecht, Netherlands; [Pinty, Bernard] European Commiss, Joint Res Ctr, Inst Environm &amp; Sustainabil, Climate Risk Management Unit, Ispra, Italy; [Porter, Avalon O.] Cayman Isl Natl Weather Serv, Grand Cayman, Cayman Islands; [Proshutinsky, A.] Woods Hole Oceanog Inst, Woods Hole, MA USA; [Quegan, Shaun] Univ Sheffield, Sheffield, S Yorkshire, England; [Quintana, Juan] Direcc Meteorol Chile, Santiago, Chile; [Rahimzadeh, Fatemeh] Atmospher Sci &amp; Meteorol Res Ctr, Tehran, Iran; [Rajeevan, Madhavan; Revadekar, Jayashree V.] Indian Inst Trop Meteorol, Pune, Maharashtra, India; [Ramos, A.] Univ Lisbon, Inst Dom Luiz, Lisbon, Portugal; [Raynor, Darren] Natl Oceanog Ctr, Southampton, Hants, England; [Razuvaev, Vyacheslav N.] All Russian Res Inst Hydrometeorol Informat, Obninsk, Russia; [Reagan, James; Smith, Thomas M.] Univ Maryland, Earth Syst Sci Interdisciplinary Ctr, Cooperat Inst Climate &amp; Satellites Maryland, College Pk, MD USA; [Reid, Phillip] CAWRC, Hobart, Tas, Australia; [Remy, Samuel] Meteorol Dynam Lab, Paris, France; [Rennie, Jared; Schreck, Carl J., III; Griffin, Jessicca] N Carolina State Univ, Cooperat Inst Climate &amp; Satellites, Asheville, NC USA; [Renwick, James A.] Victoria Univ, Wellington, New Zealand; [Robinson, David A.] Rutgers State Univ, Dept Geog, Piscataway, NJ USA; [Rodell, Matthew] NASA, Goddard Space Flight Ctr, Hydrol Sci Lab, Greenbelt, MD USA; [Romanovsky, Vladimir E.] Univ Alaska Fairbanks, Inst Geophys, Fairbanks, AK USA; [Roth, Chris] Univ Saskatchewan, Saskatoon, SK, Canada; [Sallee, Jean-Bapiste] CNRS, LOCEAN IPSL, Paris, France; [Santee, Michelle L.] NASA, Jet Prop Lab, Pasadena, CA USA; [Sawaengphokhai, P.] SSAI, Hampton, VA USA; [Sayouri, Amal] Direct Meteorol Natl Maroc, Rabat, Morocco; [Scambos, Ted A.] Univ Colorado, Natl Snow &amp; Ice Data Ctr, Boulder, CO USA; [Schmidtko, Sunke] GEOMAR Helmholtz Ctr Ocean Res Kiel, Kiel, Germany; [Sensoy, Serhat] Turkish State Meteorol Serv, Ankara, Turkey; [Setzer, Alberto] Natl Inst Space Res, Sao Jose Dos Campos, SP, Brazil; [Sharp, M.; Shaw, Adrian; Spence, Jacqueline M.] Univ Alberta, Dept Earth &amp; Atmospher Sci, Edmonton, AB, Canada; [Shaw, Adrian; Spence, Jacqueline M.] Meteorol Serv, Kingston, Jamaica; [Shiklomanov, Nikolai I.; Streletskiy, D. A.] George Washington Univ, Dept Geog, Washington, DC USA; [Shu, Song] Univ Cincinnati, Dept Geog, Cincinnati, OH USA; [Siegel, David A.] Univ Calif Santa Barbara, Santa Barbara, CA USA; [Sima, Fatou] Dept Water Resources, Div Meteorol, Banjul, Gambia; [Simmons, Adrian J.] European Ctr Medium Range Weather Forecasts, Reading, Berks, England; [Smeets, C. J. P. P.] Univ Utrecht, Inst Marine &amp; Atmospher Res Utrecht, Utrecht, Netherlands; [Smith, Sharon L.] Geol Survey Canada, Nat Resources Canada, Ottawa, ON, Canada; [Smith, Thomas M.] NOAA, NESDIS Ctr Satellite Applicat &amp; Res, SCSD, College Pk, MD USA; [Srivastava, A. K.] Indian Meteorol Dept, Pune, Maharashtra, India; [Stammerjohn, Sharon] Univ Colorado, Inst Arctic &amp; Alpine Res, Boulder, CO USA; [Steinbrecht, Wolfgang] DWD German Weather Serv, Hohenpeissenberg, Germany; [Stella, Jose L.] Serv Meteorol Nacl, Buenos Aires, DF, Argentina; [Strahan, Susan] Univ Space Res Assoc, NASA, Goddard Space Flight Ctr, Greenbelt, MD USA; [Swart, Sebastiaan] CSIR Southern Ocean Carbon &amp; Climate Observ, Stellenbosch, South Africa; [Sweet, William] NOAA, NOS Ctr Operat Oceanog Prod &amp; Serv, Silver Spring, MD USA; [Tamar, Gerard] Grenada Airports Author, St Georges, Grenada; [Tedesco, M.] CUNY City Coll, New York, NY USA; [Tedesco, M.] Natl Sci Fdn, Arlington, VA USA; [Thompson, L.] Univ Ottawa, Dept Geog, Ottawa, ON, Canada; [Thorne, Peter W.] Maynooth Univ, Phys Geog Climate Sci, Maynooth, Kildare, Ireland; [Timmermans, M. -L.] Yale Univ, New Haven, CT USA; [Tjernstrom, M.] Stockholm Univ, Dept Meteorol, Stockholm, Sweden; [Tjernstrom, M.] Stockholm Univ, Bolin Ctr Climate Res, Stockholm, Sweden; [Tobin, Isabelle; Vautard, Robert] CEA, LSCE IPSL, Gif Sur Yvette, France; [Tobin, Skie] Bur Meteorol, Melbourne, Vic, Australia; [Trachte, Katja] Univ Marburg, Lab Climatol &amp; Remote Sensing, Marburg, Germany; [Trigo, Ricardo] Univ Lisbon, Inst Dom Luiz, Lisbon, Portugal; [Trotman, Adrian R.] Caribbean Inst Meteorol &amp; Hydrol, Bridgetown, Barbados; [Tschudi, M.] Univ Colorado, Aerosp Engn Sci, Boulder, CO USA; [van der A, Ronald J.; van der Schrier, Gerard] KNMI Royal Netherlands Meteorol Inst, De Bilt, Netherlands; [van der Werf, Guido R.] Vrije Univ Amsterdam, Fac Earth &amp; Life Sci, Amsterdam, Netherlands; [van Dijk, Albert I. J. M.] Australian Natl Univ, Fenner Sch Environm &amp; Soc, Canberra, ACT, Australia; [Vega, Carla] Univ Costa Rica, Ctr Geophys Res, San Jose, Costa Rica; [Verver, G.] Royal Netherlands Meteorol Inst, De Bilt, Netherlands; [Vieira, Goncalo] Univ Lisbon, Ctr Geog Studies, Lisbon, Portugal; [Vincent, Lucie A.; Whitewood, Robert] Environm Canada, Toronto, ON, Canada; [Wahlin, Anna] Univ Gothenburg, Dept Earth Sci, Gothenburg, Sweden; [Wahr, J.] Univ Colorado, Dept Phys, Boulder, CO USA; [Walker, D. A.] Univ Alaska Fairbanks, Fairbanks, AK USA; [Walsh, J.] Univ Alaska Fairbanks, Int Arctic Res Ctr, Fairbanks, AK USA; [Wang, Bin] Univ Hawaii, Dept Meteorol, SOEST, Honolulu, HI USA; [Wang, Bin] IPRC, Honolulu, HI USA; [Wang, Junhong] SUNY Albany, Albany, NY USA; [Wang, Lei] Louisiana State Univ, Dept Geog &amp; Anthropol, Baton Rouge, LA USA; [Wang, M.] Univ Washington, Joint Inst Study Atmosphere &amp; Oceans, Seattle, WA USA; [Wang, Sheng-Hung] Ohio State Univ, Byrd Polar &amp; Climate Res Ctr, Columbus, OH USA; [Wang, Shujie] Univ Cincinnati, Dept Geog, Cincinnati, OH USA; [Weber, Mark] Univ Bremen, Bremen, Germany; [Wilber, Anne C.] Sci Syst Applicat Inc, Hampton, VA USA; [Wild, Jeannette D.] NOAA, INNOVIM, Climate Predict Ctr, College Pk, MD USA; [Wolken, G.] Alaska Div Geol &amp; Geophys Surveys, Fairbanks, AK USA; [Wouters, B.] Univ Bristol, Sch Geog Sci, Bristol, Avon, England; [Yamada, Ryuji] Japan Meteorol Agcy, Climate Predict Div, Tokyo Climate Ctr, Tokyo, Japan; [Yashayaev, Igor] Fisheries &amp; Oceans Canada, Bedford Inst Oceanog, Dartmouth, NS, Canada; [Yu, Lisan] Woods Hole Oceanog Inst, Woods Hole, MA USA; [Zhang, Peiqun] Beijing Climate Ctr, Beijing, Peoples R China; [Zhou, Lin] Cold &amp; Arid Reg Environm &amp; Engn Res Inst, Lanzhou, Gansu, Peoples R China; [Sprain, Mara] NOAA, NESDIS Natl Ctr Environm Informat, LAC Grp, Asheville, NC USA; [Misch, Deborah J.] NOAA, NESDIS Natl Ctr Environm Informat, LMI Consulting Inc, Asheville, NC USA; [Young, Teresa] NOAA, NESDIS Natl Ctr Environm Informat, STG Inc, Asheville, NC USA</t>
  </si>
  <si>
    <t>University of Wisconsin System; University of Wisconsin Madison; Universidad Costa Rica; Met Office - UK; Hadley Centre; Pennsylvania Commonwealth System of Higher Education (PCSHE); Pennsylvania State University; Pennsylvania State University - University Park; Instituto Nacional de Pesquisas Espaciais (INPE); Norwegian Water Resources &amp; Energy Directorate; National Oceanic Atmospheric Admin (NOAA) - USA; National Center Atmospheric Research (NCAR) - USA; National Oceanic Atmospheric Admin (NOAA) - USA; University of Alaska System; University of Alaska Fairbanks; National Oceanic Atmospheric Admin (NOAA) - USA; Atlantic Oceanographic &amp; Meteorological Laboratory (AOML); Servicio Nacional de Meteorologia Hidrologia del Peru (SENAMHI); Oregon State University; European Centre for Medium-Range Weather Forecasts (ECMWF); European Centre for Medium-Range Weather Forecasts (ECMWF); NERC National Oceanography Centre; University of Buenos Aires; Commonwealth Scientific &amp; Industrial Research Organisation (CSIRO); National Oceanic Atmospheric Admin (NOAA) - USA; National Hurricane Center, NOAA; University of Washington; University of Washington Seattle; National Aeronautics &amp; Space Administration (NASA); NASA Goddard Space Flight Center; Geological Survey Of Denmark &amp; Greenland; University System of Ohio; Ohio State University; University of Toronto; University Toronto Mississauga; Environment &amp; Climate Change Canada; Natural Resources Canada; Lands &amp; Minerals Sector - Natural Resources Canada; Geological Survey of Canada; Universidad Costa Rica; Columbia University; University West Indies Mona Jamaica; Danish Meteorological Institute DMI; State University System of Florida; University of South Florida; Bureau of Meteorology - Australia; CEA; Centre National de la Recherche Scientifique (CNRS); Universite Paris Saclay; University Centre Svalbard (UNIS); University of Alabama System; University of Alabama Huntsville; Technische Universitat Wien; Victoria University Wellington; Instituto Nacional de Pesquisas Espaciais (INPE); Trent University; Helmholtz Association; German Aerospace Centre (DLR); UK Research &amp; Innovation (UKRI); Natural Environment Research Council (NERC); NERC British Antarctic Survey; University of Colorado System; University of Colorado Boulder; University of Ottawa; Vrije Universiteit Amsterdam; University of Saskatchewan; Ministry of Forestry &amp; Water Affairs - Turkey; Vrije Universiteit Amsterdam; University of Tasmania; University of New South Wales Sydney; Ghent University; Tyumen Scientific Center of the Russian Academy of Sciences; Tyumen Industrial University; University of Waterloo; Egyptian Meteorological Authority; University of Virginia; University of California System; University of California Irvine; National Institute of Water &amp; Atmospheric Research (NIWA) - New Zealand; University of Liege; Environment &amp; Climate Change Canada; European Centre for Medium-Range Weather Forecasts (ECMWF); Environment &amp; Climate Change Canada; University System of Ohio; Ohio University; Met Office - UK; Hadley Centre; University of Wisconsin System; University of Wisconsin Madison; National Aeronautics &amp; Space Administration (NASA); NASA Goddard Space Flight Center; Fisheries &amp; Oceans Canada; California Institute of Technology; National Aeronautics &amp; Space Administration (NASA); NASA Jet Propulsion Laboratory (JPL); Melbourne Genomics Health Alliance; Bureau of Meteorology - Australia; National Oceanic Atmospheric Admin (NOAA) - USA; Atlantic Oceanographic &amp; Meteorological Laboratory (AOML); Norwegian Polar Institute; University of Nairobi; European Commission Joint Research Centre; EC JRC ISPRA Site; National Oceanic Atmospheric Admin (NOAA) - USA; Atlantic Oceanographic &amp; Meteorological Laboratory (AOML); Japan Meteorological Agency; University of Wisconsin System; University of Wisconsin Madison; NERC National Oceanography Centre; Helmholtz Association; Research Center Julich; National Oceanic Atmospheric Admin (NOAA) - USA; United States Department of Energy (DOE); Pacific Northwest National Laboratory; University of Vienna; National Oceanic Atmospheric Admin (NOAA) - USA; National Oceanic Atmospheric Admin (NOAA) - USA; Old Dominion University; University of Sheffield; Norwegian Meteorological Institute; University of East Anglia; Finnish Meteorological Institute; Helmholtz Association; Alfred Wegener Institute, Helmholtz Centre for Polar &amp; Marine Research; Universidad Costa Rica; National Center Atmospheric Research (NCAR) - USA; University of Tasmania; National Oceanic Atmospheric Admin (NOAA) - USA; State University of New York (SUNY) System; University of Colorado System; University of Colorado Boulder; National Oceanic Atmospheric Admin (NOAA) - USA; European Centre for Medium-Range Weather Forecasts (ECMWF); Japan Meteorological Agency; Meteorological Research Institute - Japan; United States Department of Defense; United States Navy; Woods Hole Oceanographic Institution; European Organisation for the Exploitation of Meteorological Satellites; National Oceanic Atmospheric Admin (NOAA) - USA; University of Colorado System; University of Colorado Boulder; University of East Anglia; NERC National Oceanography Centre; Max Planck Society; Helmholtz Association; Alfred Wegener Institute, Helmholtz Centre for Polar &amp; Marine Research; University of Waterloo; University of Alaska System; University of Alaska Fairbanks; Technische Universitat Wien; University of Bremen; University of Tokyo; Korea Polar Research Institute (KOPRI); National Oceanic Atmospheric Admin (NOAA) - USA; National Hurricane Center, NOAA; Colorado State University; National Oceanic Atmospheric Admin (NOAA) - USA; Japan Meteorological Agency; Norwegian Polar Institute; Finnish Meteorological Institute; National Aeronautics &amp; Space Administration (NASA); NASA Goddard Space Flight Center; National Aeronautics &amp; Space Administration (NASA); NASA Langley Research Center; South African Weather Service (SAWS); National Oceanic Atmospheric Admin (NOAA) - USA; National Oceanic Atmospheric Admin (NOAA) - USA; National Aeronautics &amp; Space Administration (NASA); NASA Jet Propulsion Laboratory (JPL); California Institute of Technology; Finnish Meteorological Institute; University of Guam; National Oceanic Atmospheric Admin (NOAA) - USA; National Hurricane Center, NOAA; University of California System; University of California San Diego; Scripps Institution of Oceanography; University of Colorado System; University of Colorado Boulder; National Oceanic Atmospheric Admin (NOAA) - USA; University of Wisconsin System; University of Wisconsin Madison; National Oceanic Atmospheric Admin (NOAA) - USA; National Oceanic Atmospheric Admin (NOAA) - USA; Antarctic Climate &amp; Ecosystems Cooperative Research Centre (ACE CRC); University of Tasmania; National Taiwan University; University System of Ohio; University of Cincinnati; University of Wisconsin System; University of Wisconsin Madison; National Oceanic Atmospheric Admin (NOAA) - USA; National Aeronautics &amp; Space Administration (NASA); NASA Langley Research Center; National Oceanic Atmospheric Admin (NOAA) - USA; National Institute of Water &amp; Atmospheric Research (NIWA) - New Zealand; Helmholtz Association; German Aerospace Centre (DLR); University of New South Wales Sydney; ARC Centre of Excellence for Climate System Science; University of New South Wales Sydney; National Oceanic Atmospheric Admin (NOAA) - USA; Atlantic Oceanographic &amp; Meteorological Laboratory (AOML); Bureau of Meteorology - Australia; Finnish Meteorological Institute; National Oceanic Atmospheric Admin (NOAA) - USA; University of Hawaii System; National Institute of Water &amp; Atmospheric Research (NIWA) - New Zealand; University of Wisconsin System; University of Wisconsin Madison; Tyumen Scientific Center of the Russian Academy of Sciences; Tyumen Industrial University; NorthWest Research Associates; New Mexico Institute of Mining Technology; University of Alaska System; University of Alaska Fairbanks; National Oceanic Atmospheric Admin (NOAA) - USA; Australian Antarctic Division; University of Tasmania; Antarctic Climate &amp; Ecosystems Cooperative Research Centre (ACE CRC); University of Tasmania; Universidade Federal do Rio Grande; National Oceanic Atmospheric Admin (NOAA) - USA; University of California System; University of California San Diego; Scripps Institution of Oceanography; South African Weather Service (SAWS); NERC National Oceanography Centre; Bureau of Meteorology - Australia; University West Indies Mona Jamaica; Commonwealth Scientific &amp; Industrial Research Organisation (CSIRO); National Aeronautics &amp; Space Administration (NASA); NASA Goddard Space Flight Center; National Oceanic Atmospheric Admin (NOAA) - USA; Atlantic Oceanographic &amp; Meteorological Laboratory (AOML); University of North Carolina; North Carolina A&amp;T State University; Universidad de Cantabria; IHCantabria - Instituto de Hidraulica Ambiental de la Universidad de Cantabria; UK Research &amp; Innovation (UKRI); Natural Environment Research Council (NERC); NERC British Antarctic Survey; University of Hawaii System; State University System of Florida; University of South Florida; Council for Scientific &amp; Industrial Research (CSIR) - South Africa; National Oceanic Atmospheric Admin (NOAA) - USA; Met Office - UK; Hadley Centre; University System of Georgia; University of Georgia; Environment &amp; Climate Change Canada; Helmholtz Association; Research Center Julich; University of Southampton; NERC National Oceanography Centre; University of Colorado System; University of Colorado Boulder; University of Tasmania; Helmholtz Association; Alfred Wegener Institute, Helmholtz Centre for Polar &amp; Marine Research; University of Zurich; United States Department of the Interior; United States Geological Survey; University of Tokyo; University of Nairobi; University of East Anglia; National Oceanic Atmospheric Admin (NOAA) - USA; Ministry of Nature Environment &amp;Tourism Mongolia; University of New South Wales Sydney; Korea Meteorological Administration (KMA); Met Office - UK; Hadley Centre; National Oceanic Atmospheric Admin (NOAA) - USA; National Hurricane Center, NOAA; United States Department of Defense; United States Army; U.S. Army Corps of Engineers; U.S. Army Engineer Research &amp; Development Center (ERDC); Cold Regions Research &amp; Engineering Laboratory (CRREL); National Oceanic Atmospheric Admin (NOAA) - USA; University of Colorado System; University of Colorado Boulder; European Centre for Medium-Range Weather Forecasts (ECMWF); Utrecht University; European Commission Joint Research Centre; EC JRC ISPRA Site; Woods Hole Oceanographic Institution; University of Sheffield; Ministry of Earth Sciences (MoES) - India; Indian Institute of Tropical Meteorology (IITM); Universidade de Lisboa; NERC National Oceanography Centre; University System of Maryland; University of Maryland College Park; Sorbonne Universite; North Carolina State University; Victoria University Wellington; Rutgers University System; Rutgers University New Brunswick; National Aeronautics &amp; Space Administration (NASA); NASA Goddard Space Flight Center; University of Alaska System; University of Alaska Fairbanks; University of Saskatchewan; Sorbonne Universite; Centre National de la Recherche Scientifique (CNRS); Museum National d'Histoire Naturelle (MNHN); National Aeronautics &amp; Space Administration (NASA); NASA Jet Propulsion Laboratory (JPL); University of Colorado System; University of Colorado Boulder; Helmholtz Association; GEOMAR Helmholtz Center for Ocean Research Kiel; Ministry of Forestry &amp; Water Affairs - Turkey; Instituto Nacional de Pesquisas Espaciais (INPE); University of Alberta; George Washington University; University System of Ohio; University of Cincinnati; University of California System; University of California Santa Barbara; European Centre for Medium-Range Weather Forecasts (ECMWF); Utrecht University; Natural Resources Canada; Lands &amp; Minerals Sector - Natural Resources Canada; Geological Survey of Canada; National Oceanic Atmospheric Admin (NOAA) - USA; Ministry of Earth Sciences (MoES) - India; India Meteorological Department (IMD); University of Colorado System; University of Colorado Boulder; Universities Space Research Association (USRA); National Aeronautics &amp; Space Administration (NASA); NASA Goddard Space Flight Center; National Oceanic Atmospheric Admin (NOAA) - USA; City University of New York (CUNY) System; City College of New York (CUNY); National Science Foundation (NSF); University of Ottawa; Maynooth University; Yale University; Stockholm University; Universite Paris Saclay; CEA; Centre National de la Recherche Scientifique (CNRS); Bureau of Meteorology - Australia; Philipps University Marburg; Universidade de Lisboa; University of Colorado System; University of Colorado Boulder; Royal Netherlands Meteorological Institute; Vrije Universiteit Amsterdam; Australian National University; Universidad Costa Rica; Royal Netherlands Meteorological Institute; Universidade de Lisboa; Environment &amp; Climate Change Canada; University of Gothenburg; University of Colorado System; University of Colorado Boulder; University of Alaska System; University of Alaska Fairbanks; University of Alaska System; University of Alaska Fairbanks; University of Hawaii System; State University of New York (SUNY) System; State University of New York (SUNY) Albany; Louisiana State University System; Louisiana State University; University of Washington; University of Washington Seattle; University System of Ohio; Ohio State University; University System of Ohio; University of Cincinnati; University of Bremen; Science Systems and Applications Inc; National Oceanic Atmospheric Admin (NOAA) - USA; University of Bristol; Japan Meteorological Agency; Fisheries &amp; Oceans Canada; Bedford Institute of Oceanography; Woods Hole Oceanographic Institution; Chinese Academy of Sciences; Cold &amp; Arid Regions Environmental &amp; Engineering Research Institute, CAS; National Oceanic Atmospheric Admin (NOAA) - USA; National Oceanic Atmospheric Admin (NOAA) - USA; National Oceanic Atmospheric Admin (NOAA) - USA</t>
  </si>
  <si>
    <t>Müller, Rolf/ABA-8213-2021; Reagan/ABE-6875-2020; Peuch, Vincent-Henri/A-7308-2008; Vautard, Robert/ABF-9489-2020; Diamond, Howard/ABC-9877-2021; Kaiser, Johannes W./GOP-0832-2022; Johnson, Gregory C/I-6559-2012; sallée, jean-baptiste/A-5837-2010; Domingues, Catia M./A-2901-2015; Klotzbach, Philip J/P-1911-2014; Dutton, Geoffrey Scott/V-9977-2019; Hanna, Edward/W-5927-2019; Duguay, Claude R/G-5682-2011; Frith, Stacey/HMD-9437-2023; Heikkilä, Anu M/F-1261-2017; Bazo, Juan/AAE-6553-2020; Schreck, Carl J/B-8711-2011; Santee, MIchelle/R-5762-2019; Ho, shu-peng/E-5199-2019; Luojus, Kari/AAO-7912-2020; Vieira, Goncalo/G-5958-2010; Box, Jason/H-5770-2013; Bulygina, Olga/H-1251-2016; Hamlington, Benjamin/R-4928-2019; Camargo, Suzana J./C-6106-2009; Wagner, Wolfgang/AAC-5507-2019; Newman, Louise/Q-8592-2019; Famiglietti, James/G-7383-2017; Muhle, Jens/GPX-3244-2022; Heim, Richard R./H-9667-2017; Newman, Louise/HNI-7544-2023; Franz, Bryan A/D-6284-2012; Setzer, Alberto W/HCI-4388-2022; Smith, Thomas M./F-5626-2010; Lin, I-I/J-4695-2013; Cooper, Owen/H-4875-2013; Grooß, Jens-Uwe/N-3305-2019; Van Dijk, Albert/B-3106-2011; Trigo, Ricardo M/B-7044-2008; Arguez, Anthony/I-9375-2017; Newman, Paul A/D-6208-2012; HURST, DALE/AAC-9948-2022; McBride, Charlotte/GSI-4733-2022; Davis, Sean/HGC-5795-2022; KIM, HYUNGJUN/I-5099-2014; Sensoy, Serhat/AGI-2242-2022; Osborn, Timothy/AAK-9279-2020; Espinoza, Jhan Carlo/A-9396-2011; Folland, Chris K/I-2524-2013; Hobbs, Will/P-8094-2019; Box, Jason E/AAE-1654-2019; Lakkala, Kaisa/AAN-4342-2020; wilber, anne/F-6270-2011; Lumpkin, Rick/C-9615-2009; Tjernström, Michael/AAF-3481-2020; Trachte, Katja/M-7310-2015; Rennie, Jared J/E-2984-2015; Davis, Sean/C-9570-2011; Rosenlof, Karen H/B-5652-2008; Luo, Jing-Jia/B-2481-2008; Jeremy, Grist P/B-4517-2012; Thorne, Peter/R-6823-2017; Müller, Rolf/A-6669-2013; Knaff, John A./F-5599-2010; Wouters, Bert/AAA-4254-2019; Zhao, Lin/M-9536-2018; Rajeevan, Madhavan Nair/ABG-8604-2021; Fioletov, Vitali/AAM-1044-2020; Chevallier, Frederic/E-9608-2016; Loeb, Norman/ABC-7817-2021; Werdell, Jeremy/D-8265-2012; Hu, Zeng-Zhen/B-4373-2011; Bettolli, Maria/AAA-7570-2021; Trigo, Ricardo/Q-8391-2019; Garzoli, Silvia/JCP-1471-2023; Tsidu, Gizaw Mengistu/AAG-6048-2019; Osborn, Timothy/E-9740-2011; Wang, Muyin/K-4006-2014; Dunn, Robert/O-5910-2016; Willis, Josh/AGY-7817-2022; Ramos, Alexandre M./A-1998-2009; Timmermans, Mary-Louise/N-5983-2014; Cronin, Meghan F./M-3155-2018; Mote, Thomas/U-6681-2017; Ciais, Philippe/A-6840-2011; Barichivich, Jonathan/A-2776-2010; Garabato, Alberto Naveira/AAQ-1114-2020; Drozdov, Dmitry S/N-4264-2018; Walsh, John/GQI-2785-2022; Thompson, Philip R/H-4509-2013; Carter, Brendan/ABG-9706-2021; Meier, Walter/AAI-9583-2021; Baringer, Molly O/D-2277-2012; Wåhlin, Anna/U-3790-2017; Smeed, David/B-4726-2012; Hurst, Dale/D-1554-2016; McVicar, Tim R/D-8614-2011; Schmid, Claudia/D-5875-2013; Alfaro, Eric/AAV-3131-2021; Shu, Song/AAV-6083-2020; SALLEE, Jean baptiste/HDO-5355-2022; Garzoli, Silvia L/A-3556-2010; L'Heureux, Michelle L/C-7517-2013; Heidinger, Andrew/F-5591-2010; Bernhard, Germar H/B-4460-2018; Dong, Shenfu/I-4435-2013; Oki, Taikan/E-5778-2010; Wang, JunHong/HKE-0286-2023; Goni, Gustavo J/D-2017-2012; John, Viju/S-6989-2019; Thorne, Peter/HZL-3928-2023; Wong, Takmeng/AHD-3210-2022; Strahan, Susan E/H-1965-2012; Jones, Philip Douglas/C-8718-2009; Schmidtko, Sunke/F-3355-2011; Donat, Markus/J-8331-2012; Perkins-Kirkpatrick, Sarah E/O-5042-2015; Noetzli, Jeannette/ABA-4132-2020; Clem, Kyle/AAG-6626-2021; Vose, Russell/GSI-5687-2022; Miralles, Diego/K-8857-2013; Swart, Sebastiaan/U-5498-2017; Arndt, Derek S/J-3022-2013; Kramarova, Natalya A/D-2270-2014; Weber, Mark/F-1409-2011; Ackerman, Steven A/G-1640-2011; Harris, Ian C/O-7772-2014; Brown, Laura C/F-5932-2011; Kwok, Ronald/L-3968-2019; Key, Jeffrey R./AAB-7248-2020; Durán-Quesada, Ana María/ABG-4788-2020; Van den Broeke, Michiel R./F-7867-2011; montzka, stephen/V-6162-2019; Mazloff, Matthew/AAG-6463-2019; Blunden, Jessica/G-1309-2012; Alves, Lincoln M/G-8894-2015; Berry, David I/C-1268-2011; Frost, Gerald/K-2971-2019; van der Werf, Guido/JXY-9197-2024; Wong, Takmeng/AHD-3691-2022; Feely, Richard A./ABI-5740-2020; Bernhard, Germar/AAZ-7169-2020; Hidalgo, Hugo G./I-7170-2019; Leuliette, Eric/D-1527-2010; van de wal, roderik/D-1705-2011; Loyola, Diego/GYO-3213-2022; Steinbrecht, Wolfgang/G-6113-2010; Luo, Jing-Jia/T-9612-2019; Wang, Chunzai/C-9712-2009; Ialongo, Iolanda/E-1638-2014; Hall, Bradley/HZH-3492-2023; Hendricks, Stefan/D-5168-2011; Bhatt, Uma S/D-3674-2009; Menendez, Melisa/L-4600-2014; sweet, william/D-4310-2019; Minnis, Patrick/G-1902-2010; Rodell, Matthew/E-4946-2012; Tank, Suzanne/I-4816-2012; Schmid, Martin/C-3953-2009; SHUPE, MATTHEW/F-8754-2011; Streletskiy, Dmitry/C-3333-2017; Dorigo, Wouter/C-7794-2014; Meinen, Christopher/G-1902-2012; Derksen, Chris/S-9828-2017; Mata, Mauricio/H-4605-2011; van der Werf, Guido/M-8260-2016; Huffman, George/F-4494-2014; Fausto, Robert/K-6185-2018; Monselesan, Didier/A-2327-2012</t>
  </si>
  <si>
    <t>Müller, Rolf/0000-0002-5024-9977; Reagan/0000-0002-0021-6210; Kaiser, Johannes W./0000-0003-3696-9123; Johnson, Gregory C/0000-0002-8023-4020; Domingues, Catia M./0000-0001-5100-4595; Dutton, Geoffrey Scott/0000-0001-7777-9268; Hanna, Edward/0000-0002-8683-182X; Frith, Stacey/0000-0001-6894-0574; Bazo, Juan/0000-0001-9204-5908; Ho, shu-peng/0000-0002-3010-8544; Luojus, Kari/0000-0002-4066-6005; Vieira, Goncalo/0000-0001-7611-3464; Box, Jason/0000-0003-0052-8705; Camargo, Suzana J./0000-0002-0802-5160; Wagner, Wolfgang/0000-0001-7704-6857; Newman, Louise/0000-0001-9523-8713; Famiglietti, James/0000-0002-6053-5379; Muhle, Jens/0000-0001-9776-3642; Setzer, Alberto W/0000-0002-2466-7366; Smith, Thomas M./0000-0001-7469-7849; Lin, I-I/0000-0002-8364-8106; Cooper, Owen/0000-0001-7391-1161; Grooß, Jens-Uwe/0000-0002-9485-866X; Van Dijk, Albert/0000-0002-6508-7480; HURST, DALE/0000-0002-6315-2322; McBride, Charlotte/0000-0001-9557-7520; Davis, Sean/0000-0001-9276-6158; KIM, HYUNGJUN/0000-0003-1083-8416; Sensoy, Serhat/0000-0002-6150-6035; Osborn, Timothy/0000-0001-8425-6799; Espinoza, Jhan Carlo/0000-0001-7732-8504; Folland, Chris K/0000-0002-3143-5918; Hobbs, Will/0000-0002-2061-0899; Box, Jason E/0000-0003-0052-8705; Lakkala, Kaisa/0000-0003-2840-1132; Lumpkin, Rick/0000-0002-6690-1704; Trachte, Katja/0000-0003-4269-9668; Davis, Sean/0000-0001-9276-6158; Rosenlof, Karen H/0000-0002-0903-8270; Luo, Jing-Jia/0000-0003-2181-0638; Jeremy, Grist P/0000-0003-1068-9211; Thorne, Peter/0000-0003-0485-9798; Wouters, Bert/0000-0002-1086-2435; Zhao, Lin/0000-0003-0245-8413; Rajeevan, Madhavan Nair/0000-0002-3000-2459; Fioletov, Vitali/0000-0002-2731-5956; Chevallier, Frederic/0000-0002-4327-3813; Hu, Zeng-Zhen/0000-0002-8485-3400; Bettolli, Maria/0000-0001-7423-0544; Trigo, Ricardo/0000-0002-4183-9852; Wang, Muyin/0000-0001-5233-4588; Dunn, Robert/0000-0003-2469-5989; Ramos, Alexandre M./0000-0003-3129-7233; Cronin, Meghan F./0000-0002-4703-8132; Ciais, Philippe/0000-0001-8560-4943; Garabato, Alberto Naveira/0000-0001-6071-605X; Walsh, John/0000-0002-2510-8734; Thompson, Philip R/0000-0002-0875-4208; Wåhlin, Anna/0000-0003-1799-6476; Smeed, David/0000-0003-1740-1778; Hurst, Dale/0000-0002-6315-2322; McVicar, Tim R/0000-0002-0877-8285; Alfaro, Eric/0000-0001-9278-5017; Dong, Shenfu/0000-0001-8247-8072; Oki, Taikan/0000-0003-4067-4678; Jones, Philip Douglas/0000-0001-5032-5493; Donat, Markus/0000-0002-0608-7288; Noetzli, Jeannette/0000-0001-9188-6318; Clem, Kyle/0000-0002-1419-2758; Miralles, Diego/0000-0001-6186-5751; Arndt, Derek S/0000-0001-7698-6740; Brown, Laura C/0000-0002-3173-8433; Kwok, Ronald/0000-0003-4051-5896; Durán-Quesada, Ana María/0000-0003-0913-0154; Van den Broeke, Michiel R./0000-0003-4662-7565; montzka, stephen/0000-0002-9396-0400; Mazloff, Matthew/0000-0002-1650-5850; Bernhard, Germar/0000-0002-1264-0756; Hidalgo, Hugo G./0000-0003-4638-0742; Leuliette, Eric/0000-0002-3425-4039; van de wal, roderik/0000-0003-2543-3892; Luo, Jing-Jia/0000-0003-2181-0638; Wang, Chunzai/0000-0002-7611-0308; Ialongo, Iolanda/0000-0002-1125-0756; Hall, Bradley/0000-0002-2451-8416; Hendricks, Stefan/0000-0002-1412-3146; Menendez, Melisa/0000-0002-5168-257X; Tretiakov, Mikhail/0000-0003-3702-6362; metzl, nicolas/0000-0002-1165-1074; Harris, Ian/0000-0003-2037-9284; Dolman, A.J./0000-0003-0099-0457; sweet, william/0000-0002-0149-8336; Minnis, Patrick/0000-0002-4733-6148; Perkins-Kirkpatrick, Sarah/0000-0001-9443-4915; Rodell, Matthew/0000-0003-0106-7437; Barichivich, Jonathan/0000-0002-8223-2491; Dolgov, Andrey/0000-0002-4806-3284; McCarthy, Mark/0000-0003-2692-1417; Hanssen-Bauer, Inger/0000-0002-5122-0607; Tank, Suzanne/0000-0002-5371-6577; Cross, Jessica/0000-0002-6650-9905; van As, Dirk/0000-0002-6553-8982; Shiklomanov, NIkolay/0000-0002-8609-0240; Demircan, Mesut/0000-0002-5334-7898; Loyola R., Diego G./0000-0002-8547-9350; Lyman, John/0000-0002-7200-4663; SCAMBOS, Ted A./0000-0003-4268-6322; Talley, Lynne/0000-0003-1574-729X; Gruber, Alexander/0000-0002-3280-7023; John, Viju/0000-0002-8640-8810; Schmid, Martin/0000-0001-8699-5691; Coldewey-Egbers, Melanie/0000-0002-9275-498X; Lo Monaco, Claire/0000-0002-5653-5018; SHUPE, MATTHEW/0000-0002-0973-9982; Streletskiy, Dmitry/0000-0003-2563-2664; Meredith, Michael/0000-0002-7342-7756; Dorigo, Wouter/0000-0001-8054-7572; Walsh, John/0000-0001-9541-5927; Shiklomanov, Alexander/0000-0001-9790-3510; Wijffels, Susan/0000-0002-4717-0811; Meinen, Christopher/0000-0002-8846-6002; Dokulil, Martin/0000-0002-6369-1457; Derksen, Chris/0000-0001-6821-5479; Bardin, Michael/0000-0002-7056-2733; Meier, Walter/0000-0003-2857-0550; Mata, Mauricio/0000-0002-9028-8284; , Vera/0009-0005-9585-6753; Mengistu Tsidu, Gizaw/0000-0003-3076-4696; Siegel, David/0000-0003-1674-3055; van der Werf, Guido/0000-0001-9042-8630; Boudet Rouco, Dagne/0000-0002-9132-5999; Reagan, James/0000-0002-6409-0645; Benedetti, Angela/0000-0002-9971-9976; Massom, Robert/0000-0003-1533-5084; Van Meerbeeck, Cedric/0000-0003-0833-0664; Rusak, James/0000-0002-4939-6478; Huffman, George/0000-0003-3858-8308; Fausto, Robert/0000-0003-1317-8185; Monselesan, Didier/0000-0002-0310-8995; Fettweis, Xavier/0000-0002-4140-3813; Lazzara, Matthew/0000-0002-4343-498X; Lieser, Jan/0000-0001-6870-1311; de Eyto, Elvira/0000-0003-2281-2491</t>
  </si>
  <si>
    <t>Natural Environment Research Council [noc010012] Funding Source: researchfish; Div Atmospheric &amp; Geospace Sciences; Directorate For Geosciences [1143959] Funding Source: National Science Foundation</t>
  </si>
  <si>
    <t>Natural Environment Research Council(UK Research &amp; Innovation (UKRI)Natural Environment Research Council (NERC)); Div Atmospheric &amp; Geospace Sciences; Directorate For Geosciences(National Science Foundation (NSF)NSF - Directorate for Geosciences (GEO))</t>
  </si>
  <si>
    <t>S1</t>
  </si>
  <si>
    <t>S267</t>
  </si>
  <si>
    <t>10.1175/2015BAMSStateoftheClimate.1</t>
  </si>
  <si>
    <t>CP4MC</t>
  </si>
  <si>
    <t>Green Submitted, Green Accepted, Green Published, hybrid</t>
  </si>
  <si>
    <t>WOS:000359855100001</t>
  </si>
  <si>
    <t>Fields, LG; DeVries, AL</t>
  </si>
  <si>
    <t>Fields, Lauren G.; DeVries, Arthur L.</t>
  </si>
  <si>
    <t>Variation in blood serum antifreeze activity of Antarctic Trematomus fishes across habitat temperature and depth</t>
  </si>
  <si>
    <t>Antifreeze glycoprotein; Ecological physiology; Thermal hysteresis</t>
  </si>
  <si>
    <t>FREEZING RESISTANCE; MCMURDO SOUND; ICE; NOTOTHENIOIDEI; MITOCHONDRIAL; PHYLOGENY; SHELF</t>
  </si>
  <si>
    <t>High latitude waters in the Southern Ocean can be near their freezing point and remain ice-covered throughout the year whereas lower latitude Southern Ocean waters have seasonal ice coverage and comparatively large (6 degrees C) annual temperature changes. The genus Trematomus (suborder Notothenioidei) is regarded primarily as a high latitude group because of its abundance there, they also inhabit the warmer regions in smaller numbers. Freeze avoidance in the notothenioids is linked to the presence of two antifreeze proteins (AFPs); the antifreeze glycoproteins (AFGPs) and antifreeze potentiating protein (AFPP), both of which adsorb to internal ice crystals inhibiting growth. Both high and low latitude trematomids possess sufficient AFP to lower their blood freezing point below that of seawater (-1.9 degrees C). We investigated the contributions of AFGPs and AFPP to the blood freezing point depression to determine how they varied with depth, water temperature, and the presence of ice. High latitude trematomids had lower blood freezing points than those inhabiting lower latitude waters indicating differences in their freeze avoidance capacities. Lower freezing points were associated with higher levels of antifreeze activity due to higher levels of both AFGP and AFPP. Populations of Trematomus hansoni and Trematomus bernacchii from shallow depths appear more freeze avoidant than populations inhabiting deep, ice-free water based on their lower freezing points and higher antifreeze activities. Gel electrophoresis of the trichloroacetic acid-soluble AFGPs indicates that only high molecular weight isoforms, which contribute more to AFGP activity, vary across species as well as between individuals of a species. (C) 2015 Elsevier Inc. All rights reserved.</t>
  </si>
  <si>
    <t>[Fields, Lauren G.; DeVries, Arthur L.] Univ Illinois, Dept Anim Biol, Urbana, IL 61801 USA</t>
  </si>
  <si>
    <t>University of Illinois System; University of Illinois Urbana-Champaign</t>
  </si>
  <si>
    <t>Fields, LG (corresponding author), Univ Illinois, Dept Anim Biol, 515 Morrill Hall,505 South Goodwin Ave, Urbana, IL 61801 USA.</t>
  </si>
  <si>
    <t>lgfield2@illinois.edu; adevries@illinois.edu</t>
  </si>
  <si>
    <t>National Science Foundation [ANT 1142158]; Directorate For Geosciences; Office of Polar Programs (OPP) [1142158] Funding Source: National Science Foundation</t>
  </si>
  <si>
    <t>This research was supported by the National Science Foundation Grant ANT 1142158 to C.-H.C. Cheng and A.L. DeVries. The authors would like to thank D. Welsh, Z. Bergeron, A. Yannarell, and K. Bilyk for statistics advice on this manuscript.</t>
  </si>
  <si>
    <t>10.1016/j.cbpa.2015.03.006</t>
  </si>
  <si>
    <t>CI8QQ</t>
  </si>
  <si>
    <t>WOS:000355037200006</t>
  </si>
  <si>
    <t>Steinberg, DK; Ruck, KE; Gleiber, MR; Garzio, LM; Cope, JS; Bernard, KS; Stammerjohn, SE; Schofield, OME; Quetin, LB; Ross, RM</t>
  </si>
  <si>
    <t>Steinberg, Deborah K.; Ruck, Kate E.; Gleiber, Miram R.; Garzio, Lori M.; Cope, Joseph S.; Bernard, Kim S.; Stammerjohn, Sharon E.; Schofield, Oscar M. E.; Quetin, Langdon B.; Ross, Robin M.</t>
  </si>
  <si>
    <t>Long-term (1993-2013) changes in macrozooplankton off the Western Antarctic Peninsula</t>
  </si>
  <si>
    <t>Southern Ocean; Krill; Zooplankton; Climate; Sea ice</t>
  </si>
  <si>
    <t>KRILL EUPHAUSIA-SUPERBA; SEA-ICE; CLIMATE-CHANGE; SOUTHERN-OCEAN; POPULATION-DYNAMICS; MARINE ECOSYSTEM; ENVIRONMENTAL VARIABILITY; DISTRIBUTION PATTERNS; EUKROHNIA-HAMATA; PREDATION IMPACT</t>
  </si>
  <si>
    <t>The Western Antarctic Peninsula (WAP) is one of the most rapidly warming regions on Earth, and where a high apex predator biomass is supported in large part by macrozooplankton. We examined trends in summer (January-February) abundance of major taxa of macrozooplankton along the WAP over two decades (1993-2013) and their relationship with environmental parameters (sea ice, atmospheric climate indices, sea surface temperature, and phytoplankton biomass and productivity). Macrozooplankton were collected from the top 120 m of the water column in a mid-Peninsula study region divided into latitudinal (North, South, and Far South) and cross-shelf (coastal, shelf, slope) sub-regions. Trends for krill species included a 5-year cycle in abundance peaks (positive anomalies) for Euphausia superba, but no directional long-term trend, and an increase in Thysanoessa macrura in the North; variability in both species was strongly influenced by primary production 2-years prior. E. crystallorophias abundance was best explained by the Southern Annular Mode (SAM) and Multivariate El Nino Southern Oscillation Index (MEI), and was more abundant in higher ice conditions. The salp Salpa thompsoni and thecosome pteropod Limacina helicina cycled between negative and positive anomalies in the North, but showed increasing positive anomalies in the South over time. Variation in salp and pteropod abundance was best explained by SAM and the MEI, respectively, and both species were more abundant in lower ice conditions. There was a long-term increase in some carnivorous gelatinous zooplankton (polychaete worm Tomopteris spp.) and amphipods. Abundance of Pseudosagitta spp. chaetognaths was closely related to SAM, with higher abundance tied to lower ice conditions. Longterm changes and sub-decadal cycles of WAP macrozooplankton community composition may affect energy transfer to higher trophic levels, and alter biogeochemical cycling in this seasonally productive and sensitive polar ecosystem. (C) 2015 Elsevier Ltd. All rights reserved.</t>
  </si>
  <si>
    <t>[Steinberg, Deborah K.; Ruck, Kate E.; Gleiber, Miram R.; Garzio, Lori M.; Cope, Joseph S.] Coll William &amp; Mary, Virginia Inst Marine Sci, Gloucester Point, VA 23062 USA; [Bernard, Kim S.] Oregon State Univ, Coll Earth Ocean &amp; Atmospher Sci, Corvallis, OR 97331 USA; [Stammerjohn, Sharon E.] Univ Colorado, Inst Arctic &amp; Alpine Studies, Boulder, CO 80309 USA; [Schofield, Oscar M. E.] Rutgers State Univ, Inst Marine &amp; Coastal Sci, New Brunswick, NJ 08901 USA; [Quetin, Langdon B.; Ross, Robin M.] Univ Calif Santa Barbara, Inst Marine Sci, Santa Barbara, CA 93106 USA</t>
  </si>
  <si>
    <t>William &amp; Mary; Virginia Institute of Marine Science; Oregon State University; University of Colorado System; University of Colorado Boulder; Rutgers University System; Rutgers University New Brunswick; University of California System; University of California Santa Barbara</t>
  </si>
  <si>
    <t>Steinberg, DK (corresponding author), Coll William &amp; Mary, Virginia Inst Marine Sci, Gloucester Point, VA 23062 USA.</t>
  </si>
  <si>
    <t>debbies@vims.edu</t>
  </si>
  <si>
    <t>; Schofield, Oscar/H-4169-2018; Bernard, Kim/J-2703-2013</t>
  </si>
  <si>
    <t>Steinberg, Deborah K./0000-0001-9884-4655; Schofield, Oscar/0000-0003-2359-4131; Gleiber, Miram/0000-0003-2580-5887; STAMMERJOHN, SHARON/0000-0002-1697-8244; Bernard, Kim/0000-0003-0509-2744</t>
  </si>
  <si>
    <t>National Science Foundation Antarctic Organisms and Ecosystems Program [OPP-0823101]; Directorate For Geosciences; Office of Polar Programs (OPP) [1440435] Funding Source: National Science Foundation; Directorate For Geosciences; Office of Polar Programs (OPP) [1010688] Funding Source: National Science Foundation</t>
  </si>
  <si>
    <t>National Science Foundation Antarctic Organisms and Ecosystems Program(National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</si>
  <si>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We thank the Captain, officers, and crew of the MV Polar Duke and ARSV Laurence M. Gould, and Raytheon Polar Services and Lockheed Martin personnel for their scientific and logistical support. We are grateful to the many student volunteers that assisted during the PAL LTER cruises and in the laboratory. We thank Doug Martinson and Rich Iannuzzi for consult on sea surface temperature data, Grace Saba for advice with climate index analyses, Josh Stone for assistance with figure preparation, and Hugh Ducklow for helpful discussions and his leadership of the PAL LTER. We also thank B. Prezelin, M. Vernet and R. Smith for historical PP and Chl a data used in our analyses. This research was supported by the National Science Foundation Antarctic Organisms and Ecosystems Program (OPP-0823101). This is contribution number 3450 from the Virginia Institute of Marine Science.</t>
  </si>
  <si>
    <t>10.1016/j.dsr.2015.02.009</t>
  </si>
  <si>
    <t>CK4RE</t>
  </si>
  <si>
    <t>WOS:000356210100006</t>
  </si>
  <si>
    <t>Pnyushkov, AV; Polyakov, IV; Ivanov, VV; Aksenov, Y; Coward, AC; Janout, M; Rabe, B</t>
  </si>
  <si>
    <t>Pnyushkov, Andrey V.; Polyakov, Igor V.; Ivanov, Vladimir V.; Aksenov, Yevgeny; Coward, Andrew C.; Janout, Markus; Rabe, Benjamin</t>
  </si>
  <si>
    <t>Structure and variability of the boundary current in the Eurasian Basin of the Arctic Ocean</t>
  </si>
  <si>
    <t>Arctic Ocean; Eurasian Basin; Boundary current; Mooring observations</t>
  </si>
  <si>
    <t>ATLANTIC WATER; FRAM STRAIT; NORDIC SEAS; BARENTS SEA; NANSEN BASIN; CIRCULATION; MASS; TRANSPORTS; HALOCLINE; BRANCH</t>
  </si>
  <si>
    <t>The Arctic Circumpolar Boundary Current (ACBC) transports a vast amount of mass and heat around cyclonic gyres of the deep basins, acting as a narrow, topographically-controlled flow, confined to the continental margins. Current observations during 2002-2011 at seven moorings along the major Atlantic Water (AW) pathway, complemented by an extensive collection of measured temperatures and salinities as well as results of state-of-the-art numerical modeling, have been used to examine the spatial structure and temporal variability of the ACBC within the Eurasian Basin (EB). These observations and modeling results suggest a gradual, six-fold decrease of boundary current speed (from 24 to 4 cm/s) on the route between Fram Strait and the Lomonosov Ridge, accompanied by a transformation of the vertical flow structure from mainly barotropic in Fram Strait to baroclinic between the area north of Spitsbergen and the central Laptev Sea continental slope. The relative role of density-driven currents in maintaining AW circulation increases with the progression of the ACBC eastward from Fram Strait, so that baroclinic ACBC forcing dominates over the barotropic in the eastern EB. Mooring records have revealed that waters within the AW and the cold halocline layers circulate in roughly the same direction in the eastern EB. The seasonal signal, meanwhile, is the most powerful mode of variability in the EB, contributing up to similar to 70% of the total variability in currents (resolved by moorings records) within the eastern EB. Seasonal signal amplitudes for current speed and AW temperature both decrease with the eastward progression of AW flow from source regions, and demonstrate strong interannual modulation. In the 2000s, the state of the EB (e.g., circulation pattern, thermohaline conditions, and freshwater balance) experienced remarkable changes. Results showing anomalous circulation patterns for an extended period of 30 months in 2008-2010 for the eastern EB, and a two-core AW temperature structure that emerged in this region of the Arctic Ocean in the most recent decade, suggest a shift of the EB toward a new, more dynamic state. This also likely suggests that the EB interior will become more susceptible to future climate change. Evaluating properties of the ACBC, its temporal variability at time scales from a season to several years, and possible governing mechanisms, this study contributes to a better understanding of Arctic Ocean circulation. (C) 2015 Elsevier Ltd. All rights reserved.</t>
  </si>
  <si>
    <t>[Pnyushkov, Andrey V.; Polyakov, Igor V.; Ivanov, Vladimir V.] Univ Alaska Fairbanks, Int Arctic Res Ctr, Fairbanks, AK 99775 USA; [Polyakov, Igor V.] Univ Alaska Fairbanks, Coll Nat Sci &amp; Math, Fairbanks, AK 99775 USA; [Ivanov, Vladimir V.] Arctic &amp; Antarctic Res Inst, St Petersburg 199226, Russia; [Aksenov, Yevgeny; Coward, Andrew C.] Natl Oceanog Ctr, Southampton, Hants, England; [Janout, Markus; Rabe, Benjamin] Helmholtz Ctr Polar &amp; Marine Res, Alfred Wegener Inst, Bremerhaven, Germany</t>
  </si>
  <si>
    <t>University of Alaska System; University of Alaska Fairbanks; University of Alaska System; University of Alaska Fairbanks; Arctic &amp; Antarctic Research Institute; NERC National Oceanography Centre; Helmholtz Association; Alfred Wegener Institute, Helmholtz Centre for Polar &amp; Marine Research</t>
  </si>
  <si>
    <t>Pnyushkov, AV (corresponding author), Univ Alaska Fairbanks, Int Arctic Res Ctr, POB 757340, Fairbanks, AK 99775 USA.</t>
  </si>
  <si>
    <t>andrey@iarc.uaf.edu</t>
  </si>
  <si>
    <t>Janout, Markus/AAI-7219-2020; Rabe, Benjamin/G-2999-2011; Pnyushkov, Andrey/M-3156-2019; Ivanov, Vladimir/AAX-6830-2020; Ivanov, Vladimir/J-5979-2014</t>
  </si>
  <si>
    <t>Rabe, Benjamin/0000-0001-5794-9856; Pnyushkov, Andrey/0000-0001-9112-6458; Ivanov, Vladimir/0000-0003-2569-6027; Janout, Markus/0000-0003-4908-2855</t>
  </si>
  <si>
    <t>NSF [1249133, AON-1203473, AON-1338948]; CarbonBridge project - Polar Research Programme of the Norwegian Research Council [226415]; UK Natural Environment Research Council (NERC); UK Arctic Research Programme [NE/I028947/1]; NERC [NE/I028947/1, noc010010] Funding Source: UKRI; Natural Environment Research Council [noc010010, NE/I028947/1] Funding Source: researchfish; Office of Polar Programs (OPP); Directorate For Geosciences [1249133] Funding Source: National Science Foundation; Office of Polar Programs (OPP); Directorate For Geosciences [1249182, 1203473] Funding Source: National Science Foundation</t>
  </si>
  <si>
    <t>NSF(National Science Foundation (NSF)); CarbonBridge project - Polar Research Programme of the Norwegian Research Council; UK Natural Environment Research Council (NERC)(UK Research &amp; Innovation (UKRI)Natural Environment Research Council (NERC)); UK Arctic Research Programme;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 Office of Polar Programs (OPP); Directorate For Geosciences(National Science Foundation (NSF)NSF - Directorate for Geosciences (GEO))</t>
  </si>
  <si>
    <t>This study was supported by NSF grants nos. 1249133, AON-1203473, AON-1338948, and by the CarbonBridge project (no. 226415) funded by the Polar Research Programme of the Norwegian Research Council (AP, IP, VI). We would like to thank our colleagues Dr. David Webb, the principal developer of the OCCAM model, and Mrs. Beverly de Cuevas. The paper was made possible thanks to the National Capability funding provided by the UK Natural Environment Research Council (NERC) and represents a contribution to the TEA-COSI Project (NE/I028947/1) of the UK Arctic Research Programme. We also acknowledge the use of UK National High Performance Computing Resource. We thank three anonymous reviewers for many useful comments and suggestions, which have helped improve the manuscript.</t>
  </si>
  <si>
    <t>10.1016/j.dsr.2015.03.001</t>
  </si>
  <si>
    <t>WOS:000356210100008</t>
  </si>
  <si>
    <t>de Haas, T; Kleinhans, MG; Carbonneau, PE; Rubensdotter, L; Hauber, E</t>
  </si>
  <si>
    <t>de Haas, Tjalling; Kleinhans, Maarten G.; Carbonneau, Patrice E.; Rubensdotter, Lena; Hauber, Ernst</t>
  </si>
  <si>
    <t>Surface morphology of fans in the high-Arctic periglacial environment of Svalbard: Controls and processes</t>
  </si>
  <si>
    <t>EARTH-SCIENCE REVIEWS</t>
  </si>
  <si>
    <t>Alluvial fan; Colluvial fan; Periglacial; Snow avalanche; Debris flow; Svalbard</t>
  </si>
  <si>
    <t>SNOW AVALANCHE LANDFORMS; DEBRIS FLOW ACTIVITY; ALLUVIAL-FAN; THERMAL STATE; METEOROLOGICAL CONTROL; CONTINUOUS PERMAFROST; CLIMATIC VARIATIONS; ROCKWALL RETREAT; GROWTH-RATES; DEATH-VALLEY</t>
  </si>
  <si>
    <t>Fan-shaped landforms occur in all climatic regions on Earth. They have been extensively studied in many of these regions, but there are few studies on fans in periglacial, Arctic and Antarctic regions. Fans in such regions are exposed to many site-specific environmental conditions in addition to their geological and topographic setting: there can be continuous to discontinuous permafrost and snow avalanches and freeze-thaw cycles can be frequent. We study fans in the high-Arctic environment of Svalbard to (1) increase our fundamental knowledge on the morphology and morphometry of fans in periglacial environments, and (2) to identify the specific influence of periglacial conditions on fans in these environments. Snow avalanches have a large geomorphic effect on fans on Svalbard: the morphology of colluvial fans is mainly determined by frequent snow avalanches (e.g., flattened cross-profiles, exposed fine-grained talus on the proximal fan domain, debris horns and tails). As a result, there are only few fans with a rockfall-dominated morphology, in contrast to most other regions on Earth. Slush avalanches contribute significant amounts of sediment to the studied alluvial fans. The inactive surfaces of many alluvial fans are rapidly beveled and leveled by snow avalanches, solifluction and frost weathering. Additionally, periglacial reworking of the fan surface often modifies the original morphology of inactive fan surfaces, for example by the formation of ice-wedge polygons and hummocks. Permafrost lowers the precipitation threshold for debris-flow initiation, but limits debris-flow volumes. Global warming-induced permafrost degradation will likely increase debris-flow activity and -magnitude on fans in perigladal environments. Geomorphic activity on snow avalanche-dominated colluvial fans will probably increase due to future increases in precipitation, but depends locally on climate-induced changes in dominant wind direction. (c) 2015 Elsevier BM. All rights reserved.</t>
  </si>
  <si>
    <t>[de Haas, Tjalling; Kleinhans, Maarten G.] Univ Utrecht, Fac Geosci, NL-3508 TC Utrecht, Netherlands; [Carbonneau, Patrice E.] Univ Durham, Dept Geog, Durham DH1 3LE, England; [Rubensdotter, Lena] Univ Ctr Svalbard, Dept Arctic Geol, Longyearbyen, Norway; [Rubensdotter, Lena] Geol Survey Norway, N-7002 Trondheim, Norway; [Hauber, Ernst] German Aerosp Ctr, Inst Planetary Res, DE-12489 Berlin, Germany</t>
  </si>
  <si>
    <t>Utrecht University; Durham University; University Centre Svalbard (UNIS); Geological Survey of Norway; Helmholtz Association; German Aerospace Centre (DLR)</t>
  </si>
  <si>
    <t>de Haas, T (corresponding author), Univ Utrecht, Fac Geosci, POB 80115, NL-3508 TC Utrecht, Netherlands.</t>
  </si>
  <si>
    <t>t.dehaas@uu.nl</t>
  </si>
  <si>
    <t>Hauber, Ernst/U-2521-2018; Kleinhans, Maarten/L-6697-2016</t>
  </si>
  <si>
    <t>Hauber, Ernst/0000-0002-1375-304X; Kleinhans, Maarten/0000-0002-9484-1673</t>
  </si>
  <si>
    <t>Netherlands Organisation for Scientific Research (NWO); Netherlands Space Office (NSO) [ALW_GO_PL17_2012]</t>
  </si>
  <si>
    <t>Netherlands Organisation for Scientific Research (NWO)(Netherlands Organization for Scientific Research (NWO)); Netherlands Space Office (NSO)</t>
  </si>
  <si>
    <t>This work is part of the PhD research of TdH, supported by the Netherlands Organisation for Scientific Research (NWO) and the Netherlands Space Office (NSO) (grant ALW_GO_PL17_2012 to MGK). We gratefully acknowledge the Norwegian Polar Institute (NPI) for logistical support during fieldwork. Special thanks go to Jorn Dybdahl of NPI for help with planning and logistics, including all boat transports to and from the field sites and to other aids to our survival. We further acknowledge DLR for the use of the HRSC-AX data and Kolibri Geo Services for the high-resolution aerial images of fans in Adventdalen. Constructive comments by Christopher R. Fielding and one anonymous reviewer are gratefully acknowledged. The authors contributed in the following proportions to conception and study design, data collection, analysis and conclusions, and manuscript preparation: TdH (40, 30, 60, 60)%, MGK (30, 30, 20, 20)%, PEC (20, 30, 0, 0)%, LR (0, 0, 10, 10)%, EH (10, 10, 10, 10)%.</t>
  </si>
  <si>
    <t>0012-8252</t>
  </si>
  <si>
    <t>1872-6828</t>
  </si>
  <si>
    <t>EARTH-SCI REV</t>
  </si>
  <si>
    <t>Earth-Sci. Rev.</t>
  </si>
  <si>
    <t>10.1016/j.earscirev.2015.04.004</t>
  </si>
  <si>
    <t>CK4IB</t>
  </si>
  <si>
    <t>WOS:000356186400009</t>
  </si>
  <si>
    <t>Peck, LS; Thorne, MAS; Hoffman, JI; Morley, SA; Clark, MS</t>
  </si>
  <si>
    <t>Peck, Lloyd S.; Thorne, Michael A. S.; Hoffman, Joseph I.; Morley, Simon A.; Clark, Melody S.</t>
  </si>
  <si>
    <t>Variability among individuals is generated at the gene expression level</t>
  </si>
  <si>
    <t>AFLP; climate change; evolution; metabolism; phenotypic plasticity; resilience; resistance</t>
  </si>
  <si>
    <t>ANTARCTIC BIVALVE MOLLUSKS; LATERNULA-ELLIPTICA; THERMAL SENSITIVITY; RAPID EVOLUTION; FLOWERING TIME; CLIMATE-CHANGE; TEMPERATURE; ADAPTATION; PLASTICITY; CONSEQUENCES</t>
  </si>
  <si>
    <t>Selection acts on individuals, specifically on their differences. To understand adaptation and responses to change therefore requires knowledge of how variation is generated and distributed across traits. Variation occurs on different biological scales, from genetic through physiological to morphological, yet it is unclear which of these carries the most variability. For example, if individual variation is mainly generated by differences in gene expression, variability should decrease progressively from coding genes to morphological traits, whereas if post-translational and epigenetic effects increase variation, the opposite should occur. To test these predictions, we compared levels of variation among individuals in various measures of gene expression, physiology (including activity), and morphology in two abundant and geographically widespread Antarctic molluscs, the clam Laternula elliptica and the limpet Nacella concinna. Direct comparisons among traits as diverse as heat shock protein QPCR assays, whole transcription profiles, respiration rates, burying rate, shell length, and ash-free dry mass were made possible through the novel application of an established metric, the Wentworth Scale. In principle, this approach could be extended to analyses of populations, communities, or even entire ecosystems. We found consistently greater variation in gene expression than morphology, with physiological measures falling in between. This suggests that variability is generated at the gene expression level. These findings have important implications for refining current biological models and predictions of how biodiversity may respond to climate change.</t>
  </si>
  <si>
    <t>[Peck, Lloyd S.; Thorne, Michael A. S.; Morley, Simon A.; Clark, Melody S.] British Antarctic Survey, Cambridge CB3 0ET, England; [Hoffman, Joseph I.] Univ Bielefeld, Dept Anim Behav, D-33501 Bielefeld, Germany</t>
  </si>
  <si>
    <t>UK Research &amp; Innovation (UKRI); Natural Environment Research Council (NERC); NERC British Antarctic Survey; University of Bielefeld</t>
  </si>
  <si>
    <t>Peck, LS (corresponding author), British Antarctic Survey, High Cross,Madingley Rd, Cambridge CB3 0ET, England.</t>
  </si>
  <si>
    <t>lspe@bas.ac.uk</t>
  </si>
  <si>
    <t>Clark, Melody/D-7371-2014; Hoffman, Joseph/K-7725-2012</t>
  </si>
  <si>
    <t>Clark, Melody/0000-0002-3442-3824; Hoffman, Joseph/0000-0001-5895-8949; Raimondi, Peter/0000-0001-5235-1441; Thorne, Michael/0000-0001-7759-612X</t>
  </si>
  <si>
    <t>core Natural Environment Research Council; NERC [bas0100025, dml011000, bas0100036] Funding Source: UKRI; Natural Environment Research Council [bas0100036, bas0100025, dml011000] Funding Source: researchfish</t>
  </si>
  <si>
    <t>core Natural Environment Research Council; NERC(UK Research &amp; Innovation (UKRI)Natural Environment Research Council (NERC)); Natural Environment Research Council(UK Research &amp; Innovation (UKRI)Natural Environment Research Council (NERC))</t>
  </si>
  <si>
    <t>We thank the Diving Team at Rothera Research Station for assistance in collecting specimens. We also thank the marine biologist and assistant at Rothera Research station for technical assistance in running experiments. Support for diving was also supplied by the NERC Diving Facility at the Scottish Association for Marine Science, Oban. The science here was supported through core Natural Environment Research Council funding to the British Antarctic Survey. We are grateful to two unknown referees whose input markedly improved the final paper.</t>
  </si>
  <si>
    <t>10.1890/14-0726.1</t>
  </si>
  <si>
    <t>CM2QF</t>
  </si>
  <si>
    <t>WOS:000357525800027</t>
  </si>
  <si>
    <t>Arbel, J; King, CK; Raymond, B; Winsley, T; Mengersen, KL</t>
  </si>
  <si>
    <t>Arbel, Julyan; King, Catherine K.; Raymond, Ben; Winsley, Tristrom; Mengersen, Kerrie L.</t>
  </si>
  <si>
    <t>Application of a Bayesian nonparametric model to derive toxicity estimates based on the response of Antarctic microbial communities to fuel-contaminated soil</t>
  </si>
  <si>
    <t>ECOLOGY AND EVOLUTION</t>
  </si>
  <si>
    <t>Antarctica; dependent models; Fuel spills; Griffiths-Engen-McCloskey distribution; Shannon diversity index; soil biodiversity; species abundance</t>
  </si>
  <si>
    <t>PETROLEUM HYDROCARBON TOXICITY; POLAR SOIL; DIVERSITY; BACTERIA; BIODIVERSITY; MICROORGANISMS; RESISTANCE</t>
  </si>
  <si>
    <t>Ecotoxicology is primarily concerned with predicting the effects of toxic substances on the biological components of the ecosystem. In remote, high latitude environments such as Antarctica, where field work is logistically difficult and expensive, and where access to adequate numbers of soil invertebrates is limited and response times of biota are slow, appropriate modeling tools using microbial community responses can be valuable as an alternative to traditional single-species toxicity tests. In this study, we apply a Bayesian nonparametric model to a soil microbial data set acquired across a hydrocarbon contamination gradient at the site of a fuel spill in Antarctica. We model community change in terms of OTUs (operational taxonomic units) in response to a range of total petroleum hydrocarbon (TPH) concentrations. The Shannon diversity of the microbial community, clustering of OTUs into groups with similar behavior with respect to TPH, and effective concentration values at level x, which represent the TPH concentration that causes x% change in the community, are presented. This model is broadly applicable to other complex data sets with similar data structure and inferential requirements on the response of communities to environmental parameters and stressors.</t>
  </si>
  <si>
    <t>[Arbel, Julyan] Coll Carlo Alberto, I-10024 Moncalieri, Italy; [King, Catherine K.; Raymond, Ben; Winsley, Tristrom] Australian Antarctic Div, Kingston, Tas 7050, Australia; [Mengersen, Kerrie L.] Queensland Univ Technol, Brisbane, Qld 4001, Australia</t>
  </si>
  <si>
    <t>Collegio Carlo Alberto; Australian Antarctic Division; Queensland University of Technology (QUT)</t>
  </si>
  <si>
    <t>Arbel, J (corresponding author), Coll Carlo Alberto, Via Real Coll 30, I-10024 Moncalieri, Italy.</t>
  </si>
  <si>
    <t>julyan.arbel@carloalberto.org</t>
  </si>
  <si>
    <t>King, Catherine K/G-7059-2017; Mengersen, Kerrie/AHC-4096-2022</t>
  </si>
  <si>
    <t>King, Catherine K/0000-0003-3356-0381; Mengersen, Kerrie/0000-0001-8625-9168; Arbel, Julyan/0000-0002-2525-4416</t>
  </si>
  <si>
    <t>ANR BANDHITS; European Research Council (ERC) through StG N-BNP [306406]; Australian Research Council</t>
  </si>
  <si>
    <t>ANR BANDHITS(Agence Nationale de la Recherche (ANR)); European Research Council (ERC) through StG N-BNP(European Research Council (ERC)); Australian Research Council(Australian Research Council)</t>
  </si>
  <si>
    <t>The first author (JA) acknowledges partial support from ANR BANDHITS and from the European Research Council (ERC) through StG N-BNP 306406. The last author (KM) acknowledges support from the Australian Research Council.</t>
  </si>
  <si>
    <t>2045-7758</t>
  </si>
  <si>
    <t>ECOL EVOL</t>
  </si>
  <si>
    <t>Ecol. Evol.</t>
  </si>
  <si>
    <t>10.1002/ece3.1493</t>
  </si>
  <si>
    <t>Ecology; Evolutionary Biology</t>
  </si>
  <si>
    <t>Environmental Sciences &amp; Ecology; Evolutionary Biology</t>
  </si>
  <si>
    <t>CM8OT</t>
  </si>
  <si>
    <t>WOS:000357962200012</t>
  </si>
  <si>
    <t>Godin-Roulling, A; Schmidpeter, PAM; Schmid, FX; Feller, G</t>
  </si>
  <si>
    <t>Godin-Roulling, Amandine; Schmidpeter, Philipp A. M.; Schmid, Franz X.; Feller, Georges</t>
  </si>
  <si>
    <t>Functional adaptations of the bacterial chaperone trigger factor to extreme environmental temperatures</t>
  </si>
  <si>
    <t>ESCHERICHIA-COLI; PROLYL ISOMERASES; PROTEIN; STABILITY; ENZYMES; COOPERATION; MECHANISM; RIBOSOME; CATALYST; FKBP12</t>
  </si>
  <si>
    <t>Trigger factor (TF) is the first molecular chaperone interacting cotranslationally with virtually all nascent polypeptides synthesized by the ribosome in bacteria. Thermal adaptation of chaperone function was investigated in TFs from the Antarctic psychrophile Pseudoalteromonas haloplanktis, the mesophile Escherichia coli and the hyperthermophile Thermotoga maritima. This series covers nearly all temperatures encountered by bacteria. Although structurally homologous, these TFs display strikingly distinct properties that are related to the bacterial environmental temperature. The hyperthermophilic TF strongly binds model proteins during their folding and protects them from heat-induced misfolding and aggregation. It decreases the folding rate and counteracts the fast folding rate imposed by high temperature. It also functions as a carrier of partially folded proteins for delivery to downstream chaperones ensuring final maturation. By contrast, the psychrophilic TF displays weak chaperone activities, showing that these functions are less important in cold conditions because protein folding, misfolding and aggregation are slowed down at low temperature. It efficiently catalyses prolyl isomerization at low temperature as a result of its increased cellular concentration rather than from an improved activity. Some chaperone properties of the mesophilic TF possibly reflect its function as a cold shock protein in E.coli.</t>
  </si>
  <si>
    <t>[Godin-Roulling, Amandine; Feller, Georges] Univ Liege, Ctr Prot Engn, Biochem Lab, B-4000 Liege, Belgium; [Schmidpeter, Philipp A. M.; Schmid, Franz X.] Univ Bayreuth, Lab Biochem, Bayreuther Zentrum Mol Biowissensch, D-95447 Bayreuth, Germany</t>
  </si>
  <si>
    <t>University of Liege; University of Bayreuth</t>
  </si>
  <si>
    <t>Feller, G (corresponding author), Univ Liege, Ctr Prot Engn, Biochem Lab, B-4000 Liege, Belgium.</t>
  </si>
  <si>
    <t>gfeller@ulg.ac.be</t>
  </si>
  <si>
    <t>Schmidpeter, Philipp/Q-5540-2019</t>
  </si>
  <si>
    <t>Schmidpeter, Philipp/0000-0003-2871-9706</t>
  </si>
  <si>
    <t>F.R.S-FNRS, Belgium (Fonds de la Recherche Fondamentale et Collective) [2.4535.08, 2.4523.11, U.N009.13]; Belgian program of Interuniversity Attraction Poles [iPros P7/44]; Federal Office for Scientific, Technical and Cultural Affaires</t>
  </si>
  <si>
    <t>F.R.S-FNRS, Belgium (Fonds de la Recherche Fondamentale et Collective)(Fonds de la Recherche Scientifique - FNRS); Belgian program of Interuniversity Attraction Poles; Federal Office for Scientific, Technical and Cultural Affaires</t>
  </si>
  <si>
    <t>This work was supported by the F.R.S-FNRS, Belgium (Fonds de la Recherche Fondamentale et Collective, contract numbers 2.4535.08, 2.4523.11 and U.N009.13 to G. F.) and by the Belgian program of Interuniversity Attraction Poles (iPros P7/44) initiated by the Federal Office for Scientific, Technical and Cultural Affaires. A. G.-R. was a FRIA research fellow. The authors declare no conflict of interest.</t>
  </si>
  <si>
    <t>10.1111/1462-2920.12707</t>
  </si>
  <si>
    <t>WOS:000358114300019</t>
  </si>
  <si>
    <t>Hu, WG; Zhang, Q; Tian, T; Cheng, GD; An, LZ; Feng, HY</t>
  </si>
  <si>
    <t>Hu, Weigang; Zhang, Qi; Tian, Tian; Cheng, Guodong; An, Lizhe; Feng, Huyuan</t>
  </si>
  <si>
    <t>The microbial diversity, distribution, and ecology of permafrost in China: a review</t>
  </si>
  <si>
    <t>Permafrost; China; Microbial ecology; Biodiversity; Climate change; Qinghai-Tibet Plateau</t>
  </si>
  <si>
    <t>QINGHAI-TIBET PLATEAU; BACTERIAL COMMUNITY STRUCTURE; PHYLOGENETIC DIVERSITY; ANTARCTIC PERMAFROST; SIBERIAN PERMAFROST; TIANSHAN MOUNTAINS; FUNGAL COMMUNITIES; LOW-TEMPERATURES; ZOIGE WETLAND; CORE PROFILE</t>
  </si>
  <si>
    <t>Permafrost in China mainly located in high-altitude areas. It represents a unique and suitable ecological niche that can be colonized by abundant microbes. Permafrost microbial community varies across geographically separated locations in China, and some lineages are novel and possible endemic. Besides, Chinese permafrost is a reservoir of functional microbial groups involved in key biogeochemical cycling processes. In future, more work is necessary to determine if these phylogenetic groups detected by DNA-based methods are part of the viable microbial community, and their functional roles and how they potentially respond to climate change. This review summaries recent studies describing microbial biodiversity found in permafrost and associated environments in China, and provides a framework for better understanding the microbial ecology of permafrost.</t>
  </si>
  <si>
    <t>[Hu, Weigang; Zhang, Qi; Tian, Tian; An, Lizhe; Feng, Huyuan] Lanzhou Univ, Sch Life Sci, Minist Educ, Key Lab Cell Act &amp; Stress Adaptat, Lanzhou 730000, Peoples R China; [Cheng, Guodong] Chinese Acad Sci, Cold &amp; Arid Reg Environm &amp; Engn Res Inst, State Key Lab Frozen Soil Engn, Lanzhou 730000, Peoples R China</t>
  </si>
  <si>
    <t>Lanzhou University; Chinese Academy of Sciences; Cold &amp; Arid Regions Environmental &amp; Engineering Research Institute, CAS</t>
  </si>
  <si>
    <t>Feng, HY (corresponding author), Lanzhou Univ, Sch Life Sci, Minist Educ, Key Lab Cell Act &amp; Stress Adaptat, Lanzhou 730000, Peoples R China.</t>
  </si>
  <si>
    <t>fenghy@lzu.edu.cn</t>
  </si>
  <si>
    <t>Hu, Weigang/CAH-3530-2022; Yang, Xiaoming/GRJ-9483-2022</t>
  </si>
  <si>
    <t>Hu, Weigang/0000-0003-1422-3726; Yang, Xiaoming/0000-0002-1792-6921</t>
  </si>
  <si>
    <t>National Natural Science Foundation [31170482, 31300445, 31370450]; PhD Programs Foundation of Ministry of Education [20130211120005]; China Postdoctoral Science Foundation [2013M540780, 2014T70949]; National Basic Research Program, China [2012CB026105]; Fundamental Research Funds for the Central Universities in China [LZUJBKY-2011-119]</t>
  </si>
  <si>
    <t>National Natural Science Foundation(National Natural Science Foundation of China (NSFC)); PhD Programs Foundation of Ministry of Education; China Postdoctoral Science Foundation(China Postdoctoral Science Foundation); National Basic Research Program, China(National Basic Research Program of China); Fundamental Research Funds for the Central Universities in China</t>
  </si>
  <si>
    <t>We are grateful to Mingsen Qin, Zhongcai Jin and Yiming Meng for their help in revising the manuscript. Great thanks to the Editor and anonymous reviewers for constructive comments that improved this manuscript. This research was supported by funding from the National Natural Science Foundation (31170482, 31300445, 31370450), PhD Programs Foundation of Ministry of Education (20130211120005), the China Postdoctoral Science Foundation (2013M540780, 2014T70949), National Basic Research Program, China (2012CB026105) and Fundamental Research Funds for the Central Universities in China (LZUJBKY-2011-119).</t>
  </si>
  <si>
    <t>10.1007/s00792-015-0749-y</t>
  </si>
  <si>
    <t>WOS:000358290000001</t>
  </si>
  <si>
    <t>Goldbogen, JA; Hazen, EL; Friedlaender, AS; Calambokidis, J; DeRuiter, SL; Stimpert, AK; Southall, BL</t>
  </si>
  <si>
    <t>Goldbogen, Jeremy A.; Hazen, Elliott L.; Friedlaender, Ari S.; Calambokidis, John; DeRuiter, Stacy L.; Stimpert, Alison K.; Southall, Brandon L.</t>
  </si>
  <si>
    <t>Prey density and distribution drive the three-dimensional foraging strategies of the largest filter feeder</t>
  </si>
  <si>
    <t>baleen whales; bulk-filter feeding; foraging ecology; physiological ecology; predator-prey interactions</t>
  </si>
  <si>
    <t>ANTARCTIC KRILL; HUMPBACK WHALES; BASKING SHARKS; BODY-SIZE; BEHAVIOR; PERFORMANCE; KINEMATICS; AGGREGATION; ENERGETICS; FREQUENCY</t>
  </si>
  <si>
    <t>Despite their importance in determining the rate of both energy gain and expenditure, how the fine-scale kinematics of foraging are modified in response to changes in prey abundance and distribution remain poorly understood in many animal ecosystems. In the marine environment, bulk-filter feeders rely on dense aggregations of prey for energetically efficient foraging. Rorqual whales (Balaenopteridae) exhibit a unique form of filter feeding called lunge feeding, a process whereby discrete volumes of prey-laden water are intermittently engulfed and filtered. In many large rorqual species the size of engulfed water mass is commensurate with the whale's body size, yet is engulfed in just a few seconds. This filter-feeding mode thus requires precise coordination of the body and enlarged engulfment apparatus to maximize capture efficiency. Previous studies from whale-borne tags revealed that many rorqual species perform rolling behaviours when foraging. It has been hypothesized that such acrobatic manoeuvres may be required for efficient prey capture when prey manifest in small discrete patches, but to date there has been no comprehensive analysis of prey patch characteristics during lunge feeding events. We developed a null hypothesis that blue whale kinematics are independent of prey patch characteristics. To test this hypothesis, we investigated the foraging performance of blue whales, the largest filter-feeding predator and their functional response to variability in their sole prey source, krill using a generalized additive mixed model framework. We used a combination of animal-borne movement sensors and hydroacoustic prey mapping to simultaneously quantify the three-dimensional foraging kinematics of blue whales (Balaenoptera musculus) and the characteristics of targeted krill patches. Our analyses rejected our null hypothesis, showing that blue whales performed more acrobatic manoeuvres, including 180 degrees and 360 degrees rolling lunges, when foraging on low-density krill patches. In contrast, whales targeting high-density krill patches involved less manoeuvring during lunges and higher lunge feeding rates. These data demonstrate that blue whales exhibit a range of adaptive foraging strategies that maximize prey capture in different ecological contexts. Because first principles indicate that manoeuvres require more energy compared with straight trajectories, our data reveal a previously unrecognized level of complexity in predator-prey interactions that are not accounted for in optimal foraging and energetic efficiency models.</t>
  </si>
  <si>
    <t>[Goldbogen, Jeremy A.] Stanford Univ, Hopkins Marine Stn, Dept Biol, Pacific Grove, CA 93950 USA; [Hazen, Elliott L.] NOAA, NMFS, SWFSC, Div Environm Res, Pacific Grove, CA 93950 USA; [Friedlaender, Ari S.] Oregon State Univ, Marine Mammal Inst, Hatfield Marine Sci Ctr, Newport, OR 97365 USA; [Calambokidis, John] Cascadia Res Collect, Olympia, WA 98501 USA; [DeRuiter, Stacy L.] Univ St Andrews, CREEM, St Andrews KY16 9LZ, Fife, Scotland; [Stimpert, Alison K.] Moss Landing Marine Labs, Moss Landing, CA 95039 USA; [Southall, Brandon L.] Southall Environm Associates Inc, Aptos, CA 95003 USA; [Southall, Brandon L.] Univ Calif Santa Cruz, Inst Marine Sci, Long Marine Lab, Santa Cruz, CA 95060 USA</t>
  </si>
  <si>
    <t>Stanford University; National Oceanic Atmospheric Admin (NOAA) - USA; Oregon State University; University of St Andrews; Moss Landing Marine Laboratories; University of California System; University of California Santa Cruz</t>
  </si>
  <si>
    <t>Goldbogen, JA (corresponding author), Stanford Univ, Hopkins Marine Stn, Dept Biol, Pacific Grove, CA 93950 USA.</t>
  </si>
  <si>
    <t>jergold@stanford.edu</t>
  </si>
  <si>
    <t>Goldbogen, Jeremy A./H-4287-2019; Hazen, Elliott/G-4149-2014</t>
  </si>
  <si>
    <t>Goldbogen, Jeremy A./0000-0002-4170-7294; Hazen, Elliott/0000-0002-0412-7178; Stimpert, Alison/0000-0002-9400-0305; DeRuiter, Stacy/0000-0002-0571-0306</t>
  </si>
  <si>
    <t>Office of Naval Research Marine Mammal Program; Chief of Naval Operations, Environmental Readiness Program</t>
  </si>
  <si>
    <t>Office of Naval Research Marine Mammal Program(Office of Naval Research); Chief of Naval Operations, Environmental Readiness Program</t>
  </si>
  <si>
    <t>For logistical support and assistance in field operations, we thank the captains and crew of the R/V Truth, R/V Sproul, and Todd Pusser and all scientific personnel. The authors especially thank Douglas Nowacek for the use of prey mapping equipment. This study was conducted in accordance with US NMFS permit #14534 (issued to N. Cyr with B. Southall as chief scientist), the Channel Islands National Marine Sanctuary (permit # 2010-004, issued to B. Southall) and a federal consistency determination from the California Coastal Commission. This work was primarily supported by the Office of Naval Research Marine Mammal Program, as well as the Chief of Naval Operations, Environmental Readiness Program. The authors claim no conflicts of interest.</t>
  </si>
  <si>
    <t>10.1111/1365-2435.12395</t>
  </si>
  <si>
    <t>CM5OT</t>
  </si>
  <si>
    <t>WOS:000357738300010</t>
  </si>
  <si>
    <t>Pavlov, MS; Lira, F; Martínez, JL; Olivares, J; Marshall, SH</t>
  </si>
  <si>
    <t>Pavlov, Maria S.; Lira, Felipe; Martinez, Jose L.; Olivares, Jorge; Marshall, Sergio H.</t>
  </si>
  <si>
    <t>Draft Genome Sequence of Antarctic Pseudomonas sp. Strain KG01 with Full Potential for Biotechnological Applications</t>
  </si>
  <si>
    <t>We report here the draft genome sequence of a free-living psychrotolerant, Pseudomonas sp. strain KG01, isolated from an Antarctic soil sample and displaying interesting antimicrobial and surfactant activities. The sequence is 6.3 Mb long and includes 5,648 predicted-coding sequences.</t>
  </si>
  <si>
    <t>[Pavlov, Maria S.; Olivares, Jorge; Marshall, Sergio H.] Pontificia Univ Catolica Valparaiso, Fac Ciencias, Inst Biol, Lab Genet &amp; Inmunol Mol, Valparaiso, Chile; [Lira, Felipe; Martinez, Jose L.] CSIC, Ctr Nacl Biotecnol, Dept Biotecnol Microbiana, Madrid, Spain; [Marshall, Sergio H.] Fraunhofer Chile Res Fdn, Ctr Syst Biotechnol, Santiago, Chile</t>
  </si>
  <si>
    <t>Pontificia Universidad Catolica de Valparaiso; Consejo Superior de Investigaciones Cientificas (CSIC); CSIC - Centro Nacional de Biotecnologia (CNB)</t>
  </si>
  <si>
    <t>Marshall, SH (corresponding author), Pontificia Univ Catolica Valparaiso, Fac Ciencias, Inst Biol, Lab Genet &amp; Inmunol Mol, Valparaiso, Chile.</t>
  </si>
  <si>
    <t>smarshal@ucv.cl</t>
  </si>
  <si>
    <t>Lira, Fábio/M-9922-2014; Pacheco, Jorge Olivares/M-7714-2017; Martinez, Jose L/A-4725-2013</t>
  </si>
  <si>
    <t>Pacheco, Jorge Olivares/0000-0002-6841-7182; Martinez, Jose L/0000-0001-8813-7607; Lira Ph.D., Felipe/0000-0002-5953-554X; marshall, sergio/0000-0003-0438-8252</t>
  </si>
  <si>
    <t>CORFO-INACH grant [11IDL2-10651]; INACH grant [DT_02-13]; CONICYT; La Caixa fellowship</t>
  </si>
  <si>
    <t>CORFO-INACH grant; INACH grant; CONICYT(Comision Nacional de Investigacion Cientifica y Tecnologica (CONICYT)); La Caixa fellowship(La Caixa Foundation)</t>
  </si>
  <si>
    <t>This research was partially funded by CORFO-INACH grant 11IDL2-10651 and INACH grant DT_02-13. M.S.P. and F.L. were recipients of a CONICYT and La Caixa fellowship, respectively.</t>
  </si>
  <si>
    <t>e00906-15</t>
  </si>
  <si>
    <t>10.1128/genomeA.00906-15</t>
  </si>
  <si>
    <t>VI1DL</t>
  </si>
  <si>
    <t>WOS:000460635800170</t>
  </si>
  <si>
    <t>Castillo, P; Lacassie, JP; Augustsson, C; Hervé, F</t>
  </si>
  <si>
    <t>Castillo, Paula; Lacassie, Juan Pablo; Augustsson, Carita; Herve, Francisco</t>
  </si>
  <si>
    <t>Petrography and geochemistry of the Carboniferous-Triassic Trinity Peninsula Group, West Antarctica: implications for provenance and tectonic setting</t>
  </si>
  <si>
    <t>GEOLOGICAL MAGAZINE</t>
  </si>
  <si>
    <t>cathodoluminescence; detrital quartz; Palaeozoic; Gondwana; Antarctic Peninsula</t>
  </si>
  <si>
    <t>LATE PALEOZOIC METASEDIMENTS; U-PB; GRAHAM LAND; NEW-ZEALAND; ACCRETIONARY COMPLEXES; ZIRCON GEOCHRONOLOGY; TORLESSE TERRANE; ISOTOPE EVIDENCE; YORK COMPLEX; HF-ISOTOPE</t>
  </si>
  <si>
    <t>The Carboniferous-Triassic Trinity Peninsula Group is a metasedimentary sequence that crops out widely in the northern Antarctic Peninsula. These are some of the most extensive outcrops in the area and hold the key to evaluating the connections of the Antarctic Peninsula in Gondwana; however, they are still poorly understood. Here we present our provenance study of the Trinity Peninsula Group using petrographic and geochemical approaches in combination with cathodoluminescence of detrital quartz in order to constrain its source characteristics and tectonic setting. Using differences in modal composition and quartz cathodoluminescence characteristics, we define three petrofacies derived from the progressive uplift and erosion of a volcano-plutonic continental arc, which exposed the plutonic-metamorphic roots. As indicated by major and trace elements, the source is felsic with a composition ranging from tonalitic to granodioritic. The relatively unweathered condition of the source area points to a dry and cold climate at the time of deposition, but this does not necessarily mean that it was glaciated. Deposition of the sediments occurred within an active continental margin, relatively close to the source area, probably along the south Patagonia-Antarctic Peninsula sector of Gondwana. Strong chronological, petrological and chemical similarities with the sediments of the Duque the York Complex in Patagonia suggest that they were derived from the same source.</t>
  </si>
  <si>
    <t>[Castillo, Paula] Australian Natl Univ, Res Sch Earth Sci, Canberra, ACT 0200, Australia; [Castillo, Paula; Herve, Francisco] Univ Chile, Dept Geol, Santiago, Chile; [Lacassie, Juan Pablo] Serv Nacl Geol &amp; Mineria, Santiago, Chile; [Augustsson, Carita] Univ Munster, Inst Geol &amp; Palaontol, D-48149 Munster, Germany; [Augustsson, Carita] Univ &amp; Stavanger, Inst Petr Steknol, N-4036 Stavanger, Norway; [Herve, Francisco] Univ Andres Bello, Escuela Ciencias Tierra, Santiago, Chile</t>
  </si>
  <si>
    <t>Australian National University; Universidad de Chile; University of Munster; Universitetet i Stavanger; Universidad Andres Bello</t>
  </si>
  <si>
    <t>Castillo, P (corresponding author), Australian Natl Univ, Res Sch Earth Sci, Canberra, ACT 0200, Australia.</t>
  </si>
  <si>
    <t>paula.castillo@anu.edu.au</t>
  </si>
  <si>
    <t>Herve, Francisco/HDO-6628-2022</t>
  </si>
  <si>
    <t>Anillo Antartico project [ART-105]; Inach project [B-01-08]</t>
  </si>
  <si>
    <t>Anillo Antartico project(Comision Nacional de Investigacion Cientifica y Tecnologica (CONICYT)CONICYT PIA/ANILLOS); Inach project</t>
  </si>
  <si>
    <t>This work was supported by the Anillo Antartico ART-105 and Inach B-01-08 projects. Special thanks to the crew of the Almirante Oscar Viel, Leucoton, Lautaro and Aquiles from the Chilean Navy and Thomas Haber, Fernando Poblete, Manfred Brix, Alain Demant, Mark Fanning, Carolina Guzman and Millarca Valenzuela for participating in the field work and discussion. Stefan Kraus is acknowledged for rock samples and Matthew Callaghan for checking the English grammar. Two anonymous reviewers are acknowledged for comments that improved the paper.</t>
  </si>
  <si>
    <t>0016-7568</t>
  </si>
  <si>
    <t>1469-5081</t>
  </si>
  <si>
    <t>GEOL MAG</t>
  </si>
  <si>
    <t>Geol. Mag.</t>
  </si>
  <si>
    <t>10.1017/S0016756814000454</t>
  </si>
  <si>
    <t>CK2QX</t>
  </si>
  <si>
    <t>WOS:000356057400001</t>
  </si>
  <si>
    <t>Selkin, PA; Strömberg, CAE; Dunn, R; Kohn, MJ; Carlini, AA; Davies-Vollum, KS; Madden, RH</t>
  </si>
  <si>
    <t>Selkin, Peter A.; Stroemberg, Caroline A. E.; Dunn, Regan; Kohn, Matthew J.; Carlini, Alfredo A.; Davies-Vollum, K. Sian; Madden, Richard H.</t>
  </si>
  <si>
    <t>Climate, dust, and fire across the Eocene-Oligocene transition, Patagonia</t>
  </si>
  <si>
    <t>PHYTOLITH ASSEMBLAGES; ANTARCTIC GLACIATION; MAGNETIC-PROPERTIES; GRASSLANDS; SPREAD; COMPENSATION; EVOLUTION; RECORD; SOILS; CO2</t>
  </si>
  <si>
    <t>The Eocene-Oligocene transition (EOT) is typically interpreted as a time of drastic global cooling and drying associated with massive growth of a glacial icecap in Antarctica and the shift to an icehouse climate. The effects of this transition on the terrestrial environments, floras, and faunas of the Southern Hemisphere, however, have been unclear. Here we document simultaneous changes in fire regime and plant community in Patagonia, Argentina. Decreases in the concentration of magnetite in loessites from the Eocene-Oligocene Vera Member of the Sarmiento Formation correlate with decreases in the fraction of burnt palm phytoliths as well as more consistently palm-dominated phytolith assemblages. Association of magnetite and burnt palm phytoliths suggests intense wildfires, which appear to have been suppressed for similar to 200 k.y. shortly after the EOT. The disappearance of fire-related characteristics near the EOT is possible if changes in regional wind patterns-consistent with observed changes in sediment particle sizes-caused changes in seasonal precipitation. These results imply a more important role for fire in structuring Eocene-Oligocene landscapes than previously thought.</t>
  </si>
  <si>
    <t>[Selkin, Peter A.] Univ Washington, Sch Interdisciplinary Arts &amp; Sci, Tacoma, WA 98402 USA; [Stroemberg, Caroline A. E.; Dunn, Regan] Univ Washington, Dept Biol, Seattle, WA 98195 USA; [Kohn, Matthew J.] Burke Museum Nat Hist &amp; Culture, Seattle, WA 98195 USA; [Carlini, Alfredo A.] Boise State Univ, Dept Geosci, Boise, ID 83725 USA; [Davies-Vollum, K. Sian] Univ Nacl La Plata, Div Paleontol Vertebrados, Fac Ciencias Nat &amp; Museo, La Plata, Buenos Aires, Argentina; [Madden, Richard H.] Sheffield Hallam Univ, Dept Nat &amp; Built Environm, Sheffield S1 1WB, S Yorkshire, England; Univ Chicago, Organismal Biol &amp; Anat, Chicago, IL 60637 USA</t>
  </si>
  <si>
    <t>University of Washington; University of Washington Tacoma; University of Washington; University of Washington Seattle; Idaho; Boise State University; National University of La Plata; Museo La Plata; Sheffield Hallam University; University of Chicago</t>
  </si>
  <si>
    <t>Selkin, PA (corresponding author), Univ Washington, Sch Interdisciplinary Arts &amp; Sci, Tacoma, WA 98402 USA.</t>
  </si>
  <si>
    <t>Stromberg, Caroline A. E./0000-0003-0612-0305; Davies-Vollum, Katherine Sian/0000-0001-6902-6645; Selkin, Peter/0000-0002-4046-4956</t>
  </si>
  <si>
    <t>National Science Foundation [EAR-0819910, EAR-0819842, EAR-0819837, EAR-1349749]; UNLP [593]; PICTO-UNDAV (Carlini) [0105]; University of Washington Tacoma Interdisciplinary Arts and Sciences Research Improvement Funds (Selkin); Directorate For Geosciences; Division Of Earth Sciences [1349749] Funding Source: National Science Foundation</t>
  </si>
  <si>
    <t>National Science Foundation(National Science Foundation (NSF)); UNLP(National University of La Plata); PICTO-UNDAV (Carlini); University of Washington Tacoma Interdisciplinary Arts and Sciences Research Improvement Funds (Selkin); Directorate For Geosciences; Division Of Earth Sciences(National Science Foundation (NSF)NSF - Directorate for Geosciences (GEO))</t>
  </si>
  <si>
    <t>We thank A. Beckner, M. Friedman, S. Hopson, and J. Moore (University of Washington, Tacoma), B.A. Housen (Western Washington University), J. Tepper (University of Puget Sound), J. Boyle (Liverpool), and T. Kuykendall (University of Washington) for assistance; and reviewers E. Bellosi, D. Terry, and C. Geiss, as well as R.D. Norris for their comments. This work was supported by National Science Foundation grants EAR-0819910 (Stromberg), EAR-0819842 (Madden), and EAR-0819837 and EAR-1349749 (Kohn), by UNLP-N.593 and PICTO-UNDAV 0105 (Carlini), and by University of Washington Tacoma Interdisciplinary Arts and Sciences Research Improvement Funds (Selkin).</t>
  </si>
  <si>
    <t>10.1130/G36664.1</t>
  </si>
  <si>
    <t>CO2UZ</t>
  </si>
  <si>
    <t>WOS:000359013400003</t>
  </si>
  <si>
    <t>Levy, J</t>
  </si>
  <si>
    <t>Levy, Joseph</t>
  </si>
  <si>
    <t>A hydrological continuum in permafrost environments: The morphological signatures of melt-driven hydrology on Earth and Mars</t>
  </si>
  <si>
    <t>45th Annual Binghamton Geomorphology Symposium</t>
  </si>
  <si>
    <t>SEP 12-14, 2014</t>
  </si>
  <si>
    <t>Knoxville, TN</t>
  </si>
  <si>
    <t>Antarctica; Gully; Recurring slope lineae; Water track; Polar desert</t>
  </si>
  <si>
    <t>MCMURDO DRY VALLEYS; TAYLOR VALLEY; WRIGHT VALLEY; POLAR DESERT; DEBRIS FLOWS; ACTIVE-LAYER; GROUND ICE; ANTARCTICA; WATER; SURFACE</t>
  </si>
  <si>
    <t>This paper examines relationships between the morphology of cold desert hydrological features and the water sources, and it relates the formation of diagnostic deposits and erosion patterns to environmentally controlled patterns of discharge. In particular, three sets of landforms found in the McMurdo Dry Valleys of Antarctica are compared to similar features on Mars: Antarctic streams/rivers to Amazonian valleys, terrestrial gullies to Martian gullies, and water tracks to recurring slope lineae. Similarities in landform morphology are highlighted for each set. Hydrological characteristics are aggregated or calculated, and they are shown to scale comparably across the landforms for the terrestrial and Martian groups. Accordingly, a hydrological continuum is proposed, linking the magnitude and the persistence of water sources in cold desert environments to flow response and the formation of diagnostic landforms. This concept provides a framework for examining the relationships between climate, hydrology, and geomorphology in the cold desert environments of these two worlds. (C) 2014 Elsevier B.V. All rights reserved.</t>
  </si>
  <si>
    <t>Univ Texas Austin, Inst Geophys, Jackson Sch Geosci, Austin, TX 78758 USA</t>
  </si>
  <si>
    <t>University of Texas System; University of Texas Austin</t>
  </si>
  <si>
    <t>Levy, J (corresponding author), Univ Texas Austin, Inst Geophys, Jackson Sch Geosci, 10100 Burnet Rd, Austin, TX 78758 USA.</t>
  </si>
  <si>
    <t>joe.levy@utexas.edu</t>
  </si>
  <si>
    <t>Levy, Joseph/0000-0002-6222-139X</t>
  </si>
  <si>
    <t>Office of Polar Programs (OPP); Directorate For Geosciences [1343649] Funding Source: National Science Foundation</t>
  </si>
  <si>
    <t>Office of Polar Programs (OPP); Directorate For Geosciences(National Science Foundation (NSF)NSF - Directorate for Geosciences (GEO))</t>
  </si>
  <si>
    <t>10.1016/j.geomorph.2014.02.033</t>
  </si>
  <si>
    <t>CJ3AK</t>
  </si>
  <si>
    <t>WOS:000355355600007</t>
  </si>
  <si>
    <t>Cram, TA; Compo, GP; Yin, XG; Allan, RJ; McColl, C; Vose, RS; Whitaker, JS; Matsui, N; Ashcroft, L; Auchmann, R; Bessemoulin, P; Brandsma, T; Brohan, P; Brunet, M; Comeaux, J; Crouthamel, R; Gleason, BE; Groisman, PY; Hersbach, H; Jones, PD; Jónsson, T; Jourdain, S; Kelly, G; Knapp, KR; Kruger, A; Kubota, H; Lentini, G; Lorrey, A; Lott, N; Lubker, SJ; Luterbacher, J; Marshall, GJ; Maugeri, M; Mock, CJ; Mok, HY; Nordli, O; Rodwell, MJ; Ross, TF; Schuster, D; Srnec, L; Valente, MA; Vizi, Z; Wang, XL; Westcott, N; Woollen, JS; Worley, SJ</t>
  </si>
  <si>
    <t>Cram, Thomas A.; Compo, Gilbert P.; Yin, Xungang; Allan, Robert J.; McColl, Chesley; Vose, Russell S.; Whitaker, Jeffrey S.; Matsui, Nobuki; Ashcroft, Linden; Auchmann, Renate; Bessemoulin, Pierre; Brandsma, Theo; Brohan, Philip; Brunet, Manola; Comeaux, Joseph; Crouthamel, Richard; Gleason, Byron E., Jr.; Groisman, Pavel Y.; Hersbach, Hans; Jones, Philip D.; Jonsson, Trausti; Jourdain, Sylvie; Kelly, Gail; Knapp, Kenneth R.; Kruger, Andries; Kubota, Hisayuki; Lentini, Gianluca; Lorrey, Andrew; Lott, Neal; Lubker, Sandra J.; Luterbacher, Juerg; Marshall, Gareth J.; Maugeri, Maurizio; Mock, Cary J.; Mok, Hing Y.; Nordli, Oyvind; Rodwell, Mark J.; Ross, Thomas F.; Schuster, Douglas; Srnec, Lidija; Valente, Maria Antonia; Vizi, Zsuzsanna; Wang, Xiaolan L.; Westcott, Nancy; Woollen, John S.; Worley, Steven J.</t>
  </si>
  <si>
    <t>The International Surface Pressure Databank version 2</t>
  </si>
  <si>
    <t>GEOSCIENCE DATA JOURNAL</t>
  </si>
  <si>
    <t>surface pressure; sea level pressure; observations; stations; ships</t>
  </si>
  <si>
    <t>20TH-CENTURY REANALYSIS; CLIMATE; VARIABILITY; STORMINESS</t>
  </si>
  <si>
    <t>The International Surface Pressure Databank (ISPD) is the world's largest collection of global surface and sea-level pressure observations. It was developed by extracting observations from established international archives, through international cooperation with data recovery facilitated by the Atmospheric Circulation Reconstructions over the Earth (ACRE) initiative, and directly by contributing universities, organizations, and countries. The dataset period is currently 1768-2012 and consists of three data components: observations from land stations, marine observing systems, and tropical cyclone best track pressure reports. Version 2 of the ISPD (ISPDv2) was created to be observational input for the Twentieth Century Reanalysis Project (20CR) and contains the quality control and assimilation feedback metadata from the 20CR. Since then, it has been used for various general climate and weather studies, and an updated version 3 (ISPDv3) has been used in the ERA-20C reanalysis in connection with the European Reanalysis of Global Climate Observations project (ERA-CLIM). The focus of this paper is on the ISPDv2 and the inclusion of the 20CR feedback metadata. The Research Data Archive at the National Center for Atmospheric Research provides data collection and access for the ISPDv2, and will provide access to future versions.</t>
  </si>
  <si>
    <t>[Cram, Thomas A.; Comeaux, Joseph; Schuster, Douglas; Worley, Steven J.] Natl Ctr Atmospher Res, Boulder, CO 80307 USA; [Compo, Gilbert P.; McColl, Chesley; Matsui, Nobuki] Univ Colorado, CIRES, Boulder, CO USA; [Compo, Gilbert P.; McColl, Chesley; Whitaker, Jeffrey S.; Matsui, Nobuki; Lubker, Sandra J.] NOAA, Earth Syst Res Lab, Div Phys Sci, Boulder, CO USA; [Yin, Xungang] ERT Inc, Asheville, NC USA; [Allan, Robert J.; Kelly, Gail] Met Off Hadley Ctr, Atmospher Circulat Reconstruct Earth Initiat, Exeter, Devon, England; [Allan, Robert J.; Brohan, Philip; Rodwell, Mark J.] Met Off Hadley Ctr, Exeter, Devon, England; [Vose, Russell S.; Gleason, Byron E., Jr.; Groisman, Pavel Y.; Knapp, Kenneth R.; Lott, Neal; Ross, Thomas F.] NOAA, Natl Ctr Environm Informat, Asheville, NC USA; [Ashcroft, Linden] Univ Melbourne, Sch Earth Sci, Melbourne, Vic, Australia; [Auchmann, Renate] Univ Bern, Inst Geog, Bern, Switzerland; [Auchmann, Renate] Univ Bern, Oeschger Ctr Climate Change Res, Bern, Switzerland; [Bessemoulin, Pierre] Meteo France, Toulouse, France; [Brandsma, Theo] Royal Netherlands Meteorol Inst KNMI, De Bilt, Netherlands; [Brunet, Manola] Univ Rovira &amp; Virgili, Ctr Climate Change, E-43007 Tarragona, Spain; [Crouthamel, Richard] IEDRO, Deale, MD USA; [Groisman, Pavel Y.] Univ Corp Atmospher Res, Boulder, CO USA; [Groisman, Pavel Y.] Russian Acad Sci, PP Shirshov Inst Oceanol, Moscow, Russia; [Hersbach, Hans] European Ctr Medium Range Weather Forecasts ECMWF, Reading, Berks, England; [Brunet, Manola; Jones, Philip D.] Univ E Anglia, Climat Res Unit, Norwich NR4 7TJ, Norfolk, England; [Jones, Philip D.] King Abdulaziz Univ, Dept Meteorol, Ctr Excellence Climate Change Res, Jeddah 21413, Saudi Arabia; [Jonsson, Trausti] Icelandic Met Off, Reykjavik, Iceland; [Jourdain, Sylvie] Meteo France, Direct Climatol, Toulouse, France; [Kruger, Andries] South African Weather Serv, Pretoria, South Africa; [Kubota, Hisayuki] Japan Agcy Marine Earth Sci &amp; Technol, Dept Coupled Ocean Atmosphere Land Proc Res, Yokosuka, Kanagawa 2370061, Japan; [Lentini, Gianluca; Maugeri, Maurizio] Univ Milan, Dipartimento Fis, Milan, Italy; [Lorrey, Andrew] Natl Inst Water &amp; Atmospher Res NIWA, Auckland, New Zealand; [Luterbacher, Juerg] Univ Giessen, Dept Geog Climatol Climate Dynam &amp; Climate Change, D-35390 Giessen, Germany; [Marshall, Gareth J.] British Antarctic Survey, NERC, Cambridge CB3 0ET, England; [Mock, Cary J.] Univ S Carolina, Dept Geog, Columbia, SC 29208 USA; [Mok, Hing Y.] Hong Kong Observ, Hong Kong, Peoples R China; [Nordli, Oyvind] Norwegian Meteorol Inst, Oslo, Norway; [Srnec, Lidija] Meteorol &amp; Hydrol Serv, Zagreb, Croatia; [Valente, Maria Antonia] Univ Lisbon, Lab Associado, Inst Dom Luiz, P-1699 Lisbon, Portugal; [Vizi, Zsuzsanna] Nicholas Copernicus Univ, Torun, Poland; [Wang, Xiaolan L.] Environm Canada, Div Climate Res, Sci &amp; Technol Branch, Toronto, ON, Canada; [Westcott, Nancy] Univ Illinois, Illinois State Water Survey, Midwestern Reg Climate Ctr, Urbana, IL USA; [Woollen, John S.] IM Syst Grp Inc, Rockville, MD USA; [Woollen, John S.] NOAA, Environm Modeling Ctr, Natl Ctr Environm Predict, Camp Springs, MD USA</t>
  </si>
  <si>
    <t>National Center Atmospheric Research (NCAR) - USA; University of Colorado System; University of Colorado Boulder; National Oceanic Atmospheric Admin (NOAA) - USA; Met Office - UK; Hadley Centre; Met Office - UK; Hadley Centre; National Oceanic Atmospheric Admin (NOAA) - USA; University of Melbourne; Melbourne Bioinformatics; University of Bern; University of Bern; Royal Netherlands Meteorological Institute; Universitat Rovira i Virgili; National Center Atmospheric Research (NCAR) - USA; Russian Academy of Sciences; Shirshov Institute of Oceanology; European Centre for Medium-Range Weather Forecasts (ECMWF); University of East Anglia; King Abdulaziz University; Meteo France; South African Weather Service (SAWS); Japan Agency for Marine-Earth Science &amp; Technology (JAMSTEC); University of Milan; National Institute of Water &amp; Atmospheric Research (NIWA) - New Zealand; Justus Liebig University Giessen; UK Research &amp; Innovation (UKRI); Natural Environment Research Council (NERC); NERC British Antarctic Survey; University of South Carolina System; University of South Carolina Columbia; Norwegian Meteorological Institute; Universidade de Lisboa; Nicolaus Copernicus University; Environment &amp; Climate Change Canada; University of Illinois System; University of Illinois Urbana-Champaign; Illinois State Water Survey; I.M. Systems Group, Inc.; National Oceanic Atmospheric Admin (NOAA) - USA</t>
  </si>
  <si>
    <t>Cram, TA (corresponding author), Natl Ctr Atmospher Res, POB 3000, Boulder, CO 80307 USA.</t>
  </si>
  <si>
    <t>tcram@ucar.edu</t>
  </si>
  <si>
    <t>Vose, Russell/GSI-5687-2022; Kubota, Hisayuki/E-9945-2014; Jones, Philip Douglas/C-8718-2009; Kubota, Hisayuki/AAA-2815-2022; Schuster, Douglas/ISA-8629-2023; COMPO, GILBERT P./X-3024-2019; Groisman, Pavel Y/C-8145-2016; Brunet-India, Manola C/E-8239-2010; Maugeri, Maurizio/B-4116-2018; Ashcroft, Linden/K-5234-2016; Valente, Maria Antonia/A-5535-2013; Knapp, Kenneth/E-9817-2011</t>
  </si>
  <si>
    <t>Jones, Philip Douglas/0000-0001-5032-5493; Kubota, Hisayuki/0000-0003-0693-1618; Schuster, Douglas/0000-0003-0448-3591; COMPO, GILBERT P./0000-0001-5199-9633; Maugeri, Maurizio/0000-0002-4110-9737; Ashcroft, Linden/0000-0003-3898-6648; Cram, Thomas/0000-0002-9503-6510; Valente, Maria Antonia/0000-0001-8040-0829; Knapp, Kenneth/0000-0001-5635-8755; Luterbacher, Juerg/0000-0002-8569-0973</t>
  </si>
  <si>
    <t>U.S. Department of Energy Office of Science (Biological and Environmental Research program); NOAA Climate Program Office; Office of Science of the U.S. Department of Energy [DE-AC02-05CH11231, DE-AC05-00OR22725]; European Union [242093, 607193]; Russian Ministry of Education and Science [14.B25.31.0026]; Swiss National Science Foundation (SNF) [200021_146599/1]; Swiss National Science Foundation (SNF) [200021_146599] Funding Source: Swiss National Science Foundation (SNF); Natural Environment Research Council [bas0100032] Funding Source: researchfish; NERC [bas0100032] Funding Source: UKRI; Grants-in-Aid for Scientific Research [25282085, 26220202] Funding Source: KAKEN</t>
  </si>
  <si>
    <t>U.S. Department of Energy Office of Science (Biological and Environmental Research program)(United States Department of Energy (DOE)); NOAA Climate Program Office(National Oceanic Atmospheric Admin (NOAA) - USA); Office of Science of the U.S. Department of Energy(United States Department of Energy (DOE)); European Union(European Union (EU)); Russian Ministry of Education and Science(Ministry of Education and Science, Russian Federation); Swiss National Science Foundation (SNF)(Swiss National Science Foundation (SNSF)); Swiss National Science Foundation (SNF)(Swiss National Science Foundation (SNSF));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</si>
  <si>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Construction of the ISPD is supported by the U.S. Department of Energy Office of Science (Biological and Environmental Research program) and the NOAA Climate Program Office. The Twentieth Century Reanalysis Project and the International Surface Pressure Databank used resources of the National Energy Research Scientific Computing Center and of the Oak Ridge Leadership Computing Facility at Oak Ridge National Laboratory, which are supported by the Office of Science of the U.S. Department of Energy under Contract No. DE-AC02-05CH11231 and Contract No. DE-AC05-00OR22725, respectively. Manola Brunet and Philip D. Jones are grateful to the European Union-funded projects EUropean Reanalysis and Observations for Monitoring (EURO4M, FP7-SPACE-2009-1 Project No. 242093) and Uncertainties in Ensembles of Regional Reanalyses (UERRA, FP7-SPACE-2013-1 Project No. 607193). Pavel Groisman was partially supported by Grant 14.B25.31.0026 of the Russian Ministry of Education and Science. Renate Auchmann was supported by the Swiss National Science Foundation (SNF; Project TWIST, 200021_146599/1).</t>
  </si>
  <si>
    <t>2049-6060</t>
  </si>
  <si>
    <t>GEOSCI DATA J</t>
  </si>
  <si>
    <t>Geosci. Data J.</t>
  </si>
  <si>
    <t>10.1002/gdj3.25</t>
  </si>
  <si>
    <t>Geosciences, Multidisciplinary; Meteorology &amp; Atmospheric Sciences</t>
  </si>
  <si>
    <t>Geology; Meteorology &amp; Atmospheric Sciences</t>
  </si>
  <si>
    <t>CV4EV</t>
  </si>
  <si>
    <t>Green Submitted, Green Accepted, gold, Green Published</t>
  </si>
  <si>
    <t>WOS:000364220100004</t>
  </si>
  <si>
    <t>Tortell, PD; Bittig, HC; Körtzinger, A; Jones, EM; Hoppema, M</t>
  </si>
  <si>
    <t>Tortell, Philippe D.; Bittig, Henry C.; Koertzinger, Arne; Jones, Elizabeth M.; Hoppema, Mario</t>
  </si>
  <si>
    <t>Biological and physical controls on N2, O2, and CO2 distributions in contrasting Southern Ocean surface waters</t>
  </si>
  <si>
    <t>dissolved gases; Southern Ocean; net community production; air-sea flux</t>
  </si>
  <si>
    <t>NET COMMUNITY PRODUCTION; ANTARCTIC CIRCUMPOLAR CURRENT; SEA GAS-EXCHANGE; ROSS SEA; CARBON-DIOXIDE; AMUNDSEN SEA; PHYTOPLANKTON BLOOMS; PARTICULATE IRON; FRONTAL ZONES; OXYGEN</t>
  </si>
  <si>
    <t>We present measurements of pCO(2), O-2 concentration, biological oxygen saturation (O-2/Ar), and N-2 saturation (N-2) in Southern Ocean surface waters during austral summer, 2010-2011. Phytoplankton biomass varied strongly across distinct hydrographic zones, with high chlorophyll a (Chl a) concentrations in regions of frontal mixing and sea ice melt. pCO(2) and O-2/Ar exhibited large spatial gradients (range 90 to 450 mu atm and -10 to 60%, respectively) and covaried strongly with Chl a. However, the ratio of biological O-2 accumulation to dissolved inorganic carbon (DIC) drawdown was significantly lower than expected from photosynthetic stoichiometry, reflecting the differential time scales of O-2 and CO2 air-sea equilibration. We measured significant oceanic CO2 uptake, with a mean air-sea flux (-10mmolm(-2)d(-1)) that significantly exceeded regional climatological values. N-2 was mostly supersaturated in surface waters (mean N-2 of +2.5%), while physical processes resulted in both supersaturation and undersaturation of mixed layer O-2 (mean O-2phys=2.1%). Box model calculations were able to reproduce much of the spatial variability of N-2 and O-2phys along the cruise track, demonstrating significant effects of air-sea exchange processes (e.g., atmospheric pressure changes and bubble injection) and mixed layer entrainment on surface gas disequilibria. Net community production (NCP) derived from entrainment-corrected surface O-2/Ar data, ranged from -40 to &gt;300mmolO(2)m(-2)d(-1) and showed good coherence with independent NCP estimates based on seasonal mixed layer DIC deficits. Elevated NCP was observed in hydrographic frontal zones and stratified regions of sea ice melt, reflecting physical controls on surface water light fields and nutrient availability.</t>
  </si>
  <si>
    <t>[Tortell, Philippe D.] Univ British Columbia, Dept Earth Ocean &amp; Atmospher Sci, Vancouver, BC V5Z 1M9, Canada; [Tortell, Philippe D.] Univ British Columbia, Dept Bot, Vancouver, BC V5Z 1M9, Canada; [Bittig, Henry C.; Koertzinger, Arne] GEOMAR Helmholtz Ctr Ocean Res Kiel, Marine Biogeochem, Kiel, Germany; [Jones, Elizabeth M.; Hoppema, Mario] Helmholtz Ctr Polar &amp; Marine Res, Alfred Wegener Inst, Bremerhaven, Germany</t>
  </si>
  <si>
    <t>University of British Columbia; University of British Columbia; Helmholtz Association; GEOMAR Helmholtz Center for Ocean Research Kiel; Helmholtz Association; Alfred Wegener Institute, Helmholtz Centre for Polar &amp; Marine Research</t>
  </si>
  <si>
    <t>Tortell, PD (corresponding author), Univ British Columbia, Dept Earth Ocean &amp; Atmospher Sci, Vancouver, BC V5Z 1M9, Canada.</t>
  </si>
  <si>
    <t>ptortell@eos.ubc.ca</t>
  </si>
  <si>
    <t>Körtzinger, Arne/A-4141-2014; Hoppema, Mario/I-6286-2013</t>
  </si>
  <si>
    <t>Hoppema, Mario/0000-0002-2326-619X; Tortell, Philippe/0000-0003-0212-2151; Bittig, Henry/0000-0002-8621-3095</t>
  </si>
  <si>
    <t>Natural Sciences and Engineering Council of Canada; Von Humboldt Foundation; UBC Peter Wall Institute for Advanced Studies; OCEANET project of the WGL Leibniz Association; German Science Foundation [KO 1717/3-1]; EU project CARBOCHANGE [264879]</t>
  </si>
  <si>
    <t>Natural Sciences and Engineering Council of Canada(Natural Sciences and Engineering Research Council of Canada (NSERC)); Von Humboldt Foundation(Alexander von Humboldt Foundation); UBC Peter Wall Institute for Advanced Studies; OCEANET project of the WGL Leibniz Association; German Science Foundation(German Research Foundation (DFG)); EU project CARBOCHANGE</t>
  </si>
  <si>
    <t>Data are freely available upon request from the corresponding author (ptortell@eos.ubc.ca). Support for this work was provided from the Natural Sciences and Engineering Council of Canada (P. Tortell), the Von Humboldt Foundation (P. Tortell), the UBC Peter Wall Institute for Advanced Studies (P. Tortell), the OCEANET project of the WGL Leibniz Association (A. Kortzinger), the German Science Foundation's O2-Floats project (grant KO 1717/3-1; H. Bittig), and from the EU project CARBOCHANGE (grant 264879; M. Hoppema). We acknowledge the tremendous leadership of the late Eberhard Fahrbach (AWI) as chief scientist for our cruise, and the efforts of Gerd Rohardt (AWI) in the compilation and quality control of all hydrographic data. Christopher Payne and Constance Couture (UBC) provided shipboard technical assistance with the mass spectrometer.</t>
  </si>
  <si>
    <t>10.1002/2014GB004975</t>
  </si>
  <si>
    <t>CP3VJ</t>
  </si>
  <si>
    <t>Green Submitted, Green Published, Bronze, Green Accepted</t>
  </si>
  <si>
    <t>WOS:000359810400005</t>
  </si>
  <si>
    <t>Hinojosa, IA; Green, BS; Gardner, C; Jeffs, A</t>
  </si>
  <si>
    <t>Hinojosa, Ivan A.; Green, Bridget S.; Gardner, Caleb; Jeffs, Andrew</t>
  </si>
  <si>
    <t>Settlement and early survival of southern rock lobster, Jasus edwardsii, under climate-driven decline of kelp habitats</t>
  </si>
  <si>
    <t>climate change; early survival; Jasus edwardsii; kelp forest; Macrocystis; settlement</t>
  </si>
  <si>
    <t>SPINY LOBSTER; PANULIRUS-ARGUS; PUERULUS SETTLEMENT; RECRUITMENT; JUVENILE; BEHAVIOR; PREDATION; PATTERNS; COLLECTOR; DYNAMICS</t>
  </si>
  <si>
    <t>Kelp habitats provide food, refuge, and enhance the recruitment of commercially important marine invertebrates. The southern rock lobster, Jasus edwardsii, supports valuable fisheries in southern Australia and New Zealand. Kelp habitats once covered large areas of inshore reef around Tasmania, Australia, but coverage has reduced over the last few decades due to climate change, especially off the eastern coast of the island. We investigated whether the kelp influences the settlement of lobster post-larvae to artificial collectors and how the presence of kelp affected the overnight predation on the early benthic phase (EBP). Settlement of lobster was tracked over 6 months using crevice collectors that had either natural or artificial giant kelp, Macrocystis pyrifera attached, or nothing attached (control). Collectors with natural kelp had higher catches than those with artificial kelp or controls (p = 0.003), which suggested enhanced settlement through chemical attraction. Additionally, we measured overnight predation of the EBP in barren and kelp habitats individually tethered to artificial shelters. The kelp habitat was dominated by brown macroalgal species of Ecklonia radiata, Phyllospora comosa, and M. pyrifera, while the barren was devoid of macroalgae. Survival of the EBP was higher (similar to 40%) in the kelp habitat than in the barren habitat (similar to 10%) due to differences in predation (p = 0.016). These results suggest that the kelp habitat improves the recruitment of J. edwardsii and that decline in this habitat may affect local lobster productivity along the east coast of Tasmania.</t>
  </si>
  <si>
    <t>[Hinojosa, Ivan A.; Green, Bridget S.; Gardner, Caleb] Univ Tasmania, Inst Marine &amp; Antarctic Studies, Taroona, Tas 7053, Australia; [Jeffs, Andrew] Univ Auckland, Inst Marine Sci, Leigh Marine Lab, Warkworth, New Zealand</t>
  </si>
  <si>
    <t>University of Tasmania; University of Auckland</t>
  </si>
  <si>
    <t>Hinojosa, IA (corresponding author), Univ Tasmania, Inst Marine &amp; Antarctic Studies, Nubeena Crescent, Taroona, Tas 7053, Australia.</t>
  </si>
  <si>
    <t>ivan.hinojosa@utas.edu.au</t>
  </si>
  <si>
    <t>Hinojosa, Ivan/P-1572-2016; Jeffs, Andrew G/D-9474-2012; Hinojosa, Ivan/ABC-8915-2021; Hinojosa, Ivan Andres/AAQ-7445-2020; Green, Bridget S/G-3368-2014; Gardner, Caleb/I-7086-2013</t>
  </si>
  <si>
    <t>Hinojosa, Ivan/0000-0002-9752-4374; Hinojosa, Ivan/0000-0002-9752-4374; Hinojosa, Ivan Andres/0000-0002-9752-4374; Jeffs, Andrew/0000-0002-8504-1949; Gardner, Caleb/0000-0003-0324-4337</t>
  </si>
  <si>
    <t>PhD scholarship BECAS-Chile programme; Australian Research Council Linkage project [LP120200164]; ANZ Trustees programme Holsworth Wildlife Research Endowment; Australian Research Council's Industrial Transformation Research Hub funding scheme [IH 120100032]; Australian Research Council [LP120200164] Funding Source: Australian Research Council</t>
  </si>
  <si>
    <t>PhD scholarship BECAS-Chile programme; Australian Research Council Linkage project(Australian Research Council); ANZ Trustees programme Holsworth Wildlife Research Endowment; Australian Research Council's Industrial Transformation Research Hub funding scheme(Australian Research Council); Australian Research Council(Australian Research Council)</t>
  </si>
  <si>
    <t>We thank Ruari Colquhoun, David Fallon, Kylie Cahill, Graeme Ewing, Sarah Pyke, Hugh Jones, John Keane, Luis Henriquez and Lara Marcus for assistance in the field and collecting data. We also thank Rafael Leon who helped with the statistical analyses. Particular thanks to Stewart Frusher who contributed to the original research ideas. The settlement experiment could not have been conducted without the support of the Melbourne Aquarium which provided the plastic Macrocystis. We also thank two anonymous reviewers for their contribution. Funding for this research has been provided by the PhD scholarship BECAS-Chile programme to I.A.H., the Australian Research Council Linkage project (Project No. LP120200164) from B.S.G, the ANZ Trustees programme Holsworth Wildlife Research Endowment, as well as, the Australian Research Council's Industrial Transformation Research Hub funding scheme (Project number IH 120100032) from A.J.</t>
  </si>
  <si>
    <t>10.1093/icesjms/fsu199</t>
  </si>
  <si>
    <t>WOS:000359698700006</t>
  </si>
  <si>
    <t>Llort, J; Lévy, M; Sallée, JB; Tagliabue, A</t>
  </si>
  <si>
    <t>Llort, Joan; Levy, Marina; Sallee, Jean-Baptiste; Tagliabue, Alessandro</t>
  </si>
  <si>
    <t>Onset, intensification, and decline of phytoplankton blooms in the Southern Ocean</t>
  </si>
  <si>
    <t>bloom onset; iron; Sverdrup; Southern Ocean</t>
  </si>
  <si>
    <t>CRITICAL DEPTH HYPOTHESIS; IRON FERTILIZATION; SPRING BLOOMS; MIXING REGIME; ANNUAL CYCLES; ATLANTIC; NORTH; CHLOROPHYLL; PHENOLOGY; MODEL</t>
  </si>
  <si>
    <t>The seasonal cycle of phytoplankton biomass in the Southern Ocean (SO) is characterized by a period of rapid accumulation, known as bloom, that is typical of high-latitude regions. Recent studies have illustrated how spatial and temporal dynamics of blooms in the SO are more complex than in other oceans. This complexity is likely related to differences in vertical mixing and the iron availability. In this work, we examine the sensitivity of bloom dynamics to changes in vertical mixing and iron availability using a biogeochemical model. Under idealized physical forcing, we produce seasonal cycles of phytoplankton for an ensemble of SO scenarios and we describe the bloom dynamics in terms of the net biomass accumulation rate. Based on this metric, we define three crucial bloom phases: the onset, the climax, and the apex. For the ensemble of modelled blooms, onsets always occur in winter and can be either bottom-up (increase in productivity) or top-down (decrease in grazing) controlled. Climaxes are mostly found in spring and their magnitudes are bottom-up controlled. Apexes are always found in late spring and strongly top-down controlled. Our results show that while a strict onset definition is consistent with a winter onset, the surface spring bloom is associated with the climax of the integrated bloom. Furthermore, we demonstrate that onset phase can be distinguished from climax phase using appropriate bloom detection methods based on surface satellite-based products. The ensemble of these results suggests that Sverdrup's blooming conditions are not indicative of the bloom onset but of the climax. We conclude that the recent bloom onset debate may partly be due to a confusion between what is defined here as the bloom onset and the climax, and that the SO observed complexity is due to the factors that control the climax.</t>
  </si>
  <si>
    <t>[Llort, Joan; Levy, Marina; Sallee, Jean-Baptiste] Univ Paris 06, Sorbonne Univ, LOCEAN Lab, CNRS IRD MNHN, 4 Pl Jussieu, F-75005 Paris, France; [Sallee, Jean-Baptiste] British Antarctic Survey, Cambridge CB3 0ET, England; [Tagliabue, Alessandro] Univ Liverpool, Sch Environm Sci, Dept Earth Ocean &amp; Ecol Sci, Liverpool L69 3GP, Merseyside, England</t>
  </si>
  <si>
    <t>Sorbonne Universite; Institut de Recherche pour le Developpement (IRD); Museum National d'Histoire Naturelle (MNHN); UK Research &amp; Innovation (UKRI); Natural Environment Research Council (NERC); NERC British Antarctic Survey; University of Liverpool</t>
  </si>
  <si>
    <t>Llort, J (corresponding author), Univ Paris 06, Sorbonne Univ, LOCEAN Lab, CNRS IRD MNHN, 4 Pl Jussieu, F-75005 Paris, France.</t>
  </si>
  <si>
    <t>joan.llort@locean-ipsl.upmc.fr</t>
  </si>
  <si>
    <t>Llort, Joan/O-2162-2017; SALLEE, Jean baptiste/HDO-5355-2022; Llort, Joan/O-6182-2019; Levy, Marina/A-1315-2012; SALLEE, Jean baptiste/A-5837-2010</t>
  </si>
  <si>
    <t>Llort, Joan/0000-0003-1490-4521; Llort, Joan/0000-0003-1490-4521; Tagliabue, Alessandro/0000-0002-3572-3634; Levy, Marina/0000-0003-2961-608X; SALLEE, Jean baptiste/0000-0002-6109-5176</t>
  </si>
  <si>
    <t>NERC [bas0100028, bas0100033] Funding Source: UKRI; Natural Environment Research Council [bas0100033, bas0100028] Funding Source: researchfish</t>
  </si>
  <si>
    <t>10.1093/icesjms/fsv053</t>
  </si>
  <si>
    <t>CP2GW</t>
  </si>
  <si>
    <t>WOS:000359696500024</t>
  </si>
  <si>
    <t>Sallée, JB; Llort, J; Tagliabue, A; Lévy, M</t>
  </si>
  <si>
    <t>Sallee, Jean-Baptiste; Llort, J.; Tagliabue, A.; Levy, M.</t>
  </si>
  <si>
    <t>Characterization of distinct bloom phenology regimes in the Southern Ocean</t>
  </si>
  <si>
    <t>bloom; chlorophyll; seasonal cycle; Southern Ocean</t>
  </si>
  <si>
    <t>CRITICAL DEPTH; PHYTOPLANKTON BLOOMS; CHLOROPHYLL-A; MIXED-LAYER; TIME-SERIES; IRON; WATER; ATLANTIC; WINTER; SEASONALITY</t>
  </si>
  <si>
    <t>In this study, we document the regional variations of bloom phenology in the Southern Ocean, based on a 13-year product of ocean colour measurements co-located with observation-based estimates of the mixed-layer depth. One key aspect of our work is to discriminate between mixed-layer integrated blooms and surface blooms. By segregating blooms that occur before or after the winter solstice and blooms where integrated and surface biomass increase together or display a lag, we define three dominating Southern Ocean bloom regimes. While the regime definitions are solely based on bloom timing characteristics, the three regimes organize coherently in geographical space, and are associated with distinct dynamical regions of the Southern Ocean: the subtropics, the subantarctic, and the Antarctic Circumpolar Current region. All regimes have their mixed-layer integrated onset between autumn and winter, when the daylength is short and the mixed layer actively mixes and deepens. We discuss how these autumn-winter bloom onsets are controlled by either nutrient entrainment and/or reduction in prey-grazer encounter rate. In addition to the autumn-winter biomass increase, the subantarctic regime has a significant spring biomass growth associated with the shutdown of turbulence when air-sea heat flux switches from surface cooling to surface warming.</t>
  </si>
  <si>
    <t>[Sallee, Jean-Baptiste; Llort, J.; Levy, M.] Univ Paris 06, Sorbonne Univ, UMR 7159, LOCEAN IPSL Inst, F-75005 Paris, France; [Sallee, Jean-Baptiste] British Antarctic Survey, Cambridge CB3 0ET, England; [Tagliabue, A.] Univ Liverpool, Sch Environm Sci, Dept Earth Ocean &amp; Ecol Sci, Liverpool L69 3BX, Merseyside, England</t>
  </si>
  <si>
    <t>Sorbonne Universite; Museum National d'Histoire Naturelle (MNHN); Centre National de la Recherche Scientifique (CNRS); CNRS - National Institute for Earth Sciences &amp; Astronomy (INSU); UK Research &amp; Innovation (UKRI); Natural Environment Research Council (NERC); NERC British Antarctic Survey; University of Liverpool</t>
  </si>
  <si>
    <t>Sallée, JB (corresponding author), Univ Paris 06, Sorbonne Univ, UMR 7159, LOCEAN IPSL Inst, F-75005 Paris, France.</t>
  </si>
  <si>
    <t>jbsallee@gmail.com</t>
  </si>
  <si>
    <t>Llort, Joan/O-6182-2019; Llort, Joan/O-2162-2017; SALLEE, Jean baptiste/HDO-5355-2022; Levy, Marina/A-1315-2012; SALLEE, Jean baptiste/A-5837-2010</t>
  </si>
  <si>
    <t>Agence Nationale de la Recherche (ANR) [ANR-12-PDOC-0001]; British Antarctic Survey; Natural Environment Research Council [bas0100033] Funding Source: researchfish; NERC [bas0100033] Funding Source: UKRI; Agence Nationale de la Recherche (ANR) [ANR-12-PDOC-0001] Funding Source: Agence Nationale de la Recherche (ANR)</t>
  </si>
  <si>
    <t>Agence Nationale de la Recherche (ANR)(Agence Nationale de la Recherche (ANR)); British Antarctic Survey; Natural Environment Research Council(UK Research &amp; Innovation (UKRI)Natural Environment Research Council (NERC)); NERC(UK Research &amp; Innovation (UKRI)Natural Environment Research Council (NERC)); Agence Nationale de la Recherche (ANR)(Agence Nationale de la Recherche (ANR))</t>
  </si>
  <si>
    <t>We thank two anonymous reviewers and R. Johnson for their comments and suggestions that improved the manuscript. We thank R. Johnson for kindly providing his reprocessed ocean colour dataset, specifically treated for the Southern Ocean. R. Johnson originally used satellite data provided by NASA Goddard Space Flight Centre and the ESA GlobColour Project. We also thank J. LeSommer and L. Bopp for the interesting discussions that partly motivated this work. The Argo float data were collected and made freely available by the International Argo Program (http://www.argo.ucsd.edu). J-BS received support from Agence Nationale de la Recherche (ANR), ANR-12-PDOC-0001, as well as from the British Antarctic Survey as a BAS Fellow.</t>
  </si>
  <si>
    <t>10.1093/icesjms/fsv069</t>
  </si>
  <si>
    <t>WOS:000359696500025</t>
  </si>
  <si>
    <t>Thomalla, SJ; Racault, MF; Swart, S; Monteiro, PMS</t>
  </si>
  <si>
    <t>Thomalla, Sandy J.; Racault, Marie-Fanny; Swart, Sebastiaan; Monteiro, Pedro M. S.</t>
  </si>
  <si>
    <t>High-resolution view of the spring bloom initiation and net community production in the Subantarctic Southern Ocean using glider data</t>
  </si>
  <si>
    <t>bloom initiation; glider; net community production; primary production; respiration; Subantarctic; sverdrup critical depth model</t>
  </si>
  <si>
    <t>ATLANTIC TIME-SERIES; NORTH-ATLANTIC; CRITICAL-DEPTH; INTERANNUAL VARIABILITY; PHYTOPLANKTON BLOOM; CARBON EXPORT; CHLOROPHYLL FLUORESCENCE; ORGANIC-MATTER; CLIMATE-CHANGE; QUANTUM YIELD</t>
  </si>
  <si>
    <t>In the Southern Ocean, there is increasing evidence that seasonal to subseasonal temporal scales, and meso-to submesoscales play an important role in understanding the sensitivity of ocean primary productivity to climate change. This drives the need for a high-resolution approach to resolving biogeochemical processes. In this study, 5.5 months of continuous, high-resolution (3 h, 2 km horizontal resolution) glider data from spring to summer in the Atlantic Subantarctic Zone is used to investigate: (i) the mechanisms that drive bloom initiation and high growth rates in the region and (ii) the seasonal evolution of water column production and respiration. Bloom initiation dates were analysed in the context of upper ocean boundary layer physics highlighting sensitivities of different bloom detection methods to different environmental processes. Model results show that in early spring (September to mid-November) increased rates of net community production (NCP) are strongly affected by meso-to submesoscale features. In late spring/early summer (late-November to mid-December) seasonal shoaling of the mixed layer drives a more spatially homogenous bloom with maximum rates of NCP and chlorophyll biomass. A comparison of biomass accumulation rates with a study in the North Atlantic highlights the sensitivity of phytoplankton growth to fine-scale dynamics and emphasizes the need to sample the ocean at high resolution to accurately resolve phytoplankton phenology and improve our ability to estimate the sensitivity of the biological carbon pump to climate change.</t>
  </si>
  <si>
    <t>[Thomalla, Sandy J.; Swart, Sebastiaan] CSIR, Southern Ocean Carbon &amp; Climate Observ, ZA-7599 Stellenbosch, South Africa; [Thomalla, Sandy J.; Swart, Sebastiaan; Monteiro, Pedro M. S.] Univ Cape Town, Marine Res Inst, Dept Oceanog, ZA-7701 Rondebosch, South Africa; [Racault, Marie-Fanny] Plymouth Marine Lab, Plymouth PL1 3DH, Devon, England</t>
  </si>
  <si>
    <t>Council for Scientific &amp; Industrial Research (CSIR) - South Africa; University of Cape Town; Plymouth Marine Laboratory</t>
  </si>
  <si>
    <t>Thomalla, SJ (corresponding author), CSIR, Southern Ocean Carbon &amp; Climate Observ, POB 320, ZA-7599 Stellenbosch, South Africa.</t>
  </si>
  <si>
    <t>sthomalla@csir.co.za</t>
  </si>
  <si>
    <t>Racault, Marie-Fanny/D-7190-2016; Monteiro, Pedro M. S./D-3767-2009; Thomalla, Sandy/AAS-4133-2021; Swart, Sebastiaan/U-5498-2017</t>
  </si>
  <si>
    <t>Racault, Marie-Fanny/0000-0002-7584-2515; Swart, Sebastiaan/0000-0002-2251-8826</t>
  </si>
  <si>
    <t>Southern Ocean Carbon and Climate Observatory (SOCCO) Programme; European Commission [265294 FP7-ENV-2010]; CSIR [SNA2011112600001]; NRF-SANAP [SNA2011120800004, SNA14071475720]; NERC [pml010008, nceo020006, pml010009] Funding Source: UKRI; Natural Environment Research Council [nceo020006, pml010008, pml010009] Funding Source: researchfish</t>
  </si>
  <si>
    <t>Southern Ocean Carbon and Climate Observatory (SOCCO) Programme; European Commission(European Union (EU)European Commission Joint Research Centre); CSIR(Council of Scientific &amp; Industrial Research (CSIR) - India); NRF-SANAP; NERC(UK Research &amp; Innovation (UKRI)Natural Environment Research Council (NERC)); Natural Environment Research Council(UK Research &amp; Innovation (UKRI)Natural Environment Research Council (NERC))</t>
  </si>
  <si>
    <t>This work was undertaken and supported through the Southern Ocean Carbon and Climate Observatory (SOCCO) Programme. The authors acknowledge the ESA Ocean Colour CCI team for providing OC-CCI chlorophyll data and Stephane Saux Picart for technical support. This work was partially funded by the European Commission 7th framework programme through the GreenSeas Collaborative Project (265294 FP7-ENV-2010). This work was supported by CSIR's Parliamentary Grant funding (SNA2011112600001) and NRF-SANAP grants (SNA2011120800004 and SNA14071475720). We thank both the South African Maritime Safety Authority (SAMSA) the South African National Antarctic Programme (SANAP), the captain and officers of the MV SA Agulhas, and the RV SA Agulhas II for the successful completion of the research voyages pertaining to SOSCEx. We acknowledge the dedication and professionalism shown by oceanographic engineers, Derek Needham and Andre Hoek of Sea Technology Services, and the electronic engineering students Sinekhaya Bilana and Jean-Pierre Smit of Cape Peninsula University of Technology. Thanks is extended to the IOP team at the Applied Physics Laboratory, University of Washington, in particular to Geoff Shilling and Craig Lee.</t>
  </si>
  <si>
    <t>10.1093/icesjms/fsv105</t>
  </si>
  <si>
    <t>WOS:000359696500026</t>
  </si>
  <si>
    <t>Wang, F; Bamber, JL; Cheng, X</t>
  </si>
  <si>
    <t>Wang, Fang; Bamber, Jonathan L.; Cheng, Xiao</t>
  </si>
  <si>
    <t>Accuracy and Performance of CryoSat-2 SARIn Mode Data Over Antarctica</t>
  </si>
  <si>
    <t>IEEE GEOSCIENCE AND REMOTE SENSING LETTERS</t>
  </si>
  <si>
    <t>CryoSat-2; ice shelves; radar altimetry</t>
  </si>
  <si>
    <t>RADAR ALTIMETER; SATELLITE RADAR; ICE SHEETS; SEA-ICE; ELEVATION; THICKNESS; GREENLAND; SHELVES; LAND</t>
  </si>
  <si>
    <t>The instrument onboard CryoSat-2 has a new measurement mode to improve performance on the steeper margins of the ice sheets where conventional radar altimetry has been limited in accuracy and coverage. We assess the accuracy of CryoSat-2 synthetic aperture radar interferometric (SARIn) mode data using data from Geoscience Laser Altimeter System onboard ICESat and also compare coverage with conventional altimetry. Biases, exceeding 4 m, were ubiquitous in areas with surface slopes above about 0.9 degrees. Over the ice shelves and the interior of the ice sheet, the bias was less than 50 cm but appeared to be sensitive to snowpack density. We find that the accuracy and coverage of CryoSat-2 SARIn mode data is significantly better than for previous satellite radar altimeter missions for slopes up to 1 degrees.</t>
  </si>
  <si>
    <t>[Wang, Fang; Cheng, Xiao] Beijing Normal Univ, State Key Lab Remote Sensing Sci, Coll Global Change &amp; Earth Syst Sci, Beijing 100875, Peoples R China; [Wang, Fang; Cheng, Xiao] Joint Ctr Global Change Studies, Beijing 100875, Peoples R China; [Wang, Fang; Bamber, Jonathan L.] Univ Bristol, Sch Geog Sci, Bristol Glaciol Ctr, Bristol BS8 1SS, Avon, England</t>
  </si>
  <si>
    <t>Beijing Normal University; University of Bristol</t>
  </si>
  <si>
    <t>Wang, F (corresponding author), Beijing Normal Univ, State Key Lab Remote Sensing Sci, Coll Global Change &amp; Earth Syst Sci, Beijing 100875, Peoples R China.</t>
  </si>
  <si>
    <t>wfwgw@126.com; J.Bamber@bristol.ac.uk; xcheng@bnu.edu.cn</t>
  </si>
  <si>
    <t>Bamber, Jonathan/C-7608-2011; Wang, Fang/JMR-3423-2023</t>
  </si>
  <si>
    <t>Bamber, Jonathan/0000-0002-2280-2819; Wang, Fang/0009-0009-4557-6007</t>
  </si>
  <si>
    <t>Chinese Arctic and Antarctic Administration; Fundamental Research Funds for the Central Universities; National Basic Research Program of China [2012CB957704]; National Natural Science Foundation of China [41176163]; U.K. NERC Grant [NE/I027401/1]; Natural Environment Research Council [NE/I027401/1] Funding Source: researchfish; NERC [NE/I027401/1] Funding Source: UKRI</t>
  </si>
  <si>
    <t>Chinese Arctic and Antarctic Administration; Fundamental Research Funds for the Central Universities(Fundamental Research Funds for the Central Universities); National Basic Research Program of China(National Basic Research Program of China); National Natural Science Foundation of China(National Natural Science Foundation of China (NSFC)); U.K. NERC Grant(UK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</si>
  <si>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Chinese Arctic and Antarctic Administration, Fundamental Research Funds for the Central Universities, the National Basic Research Program of China under Grant 2012CB957704, and by the National Natural Science Foundation of China under Grant 41176163. The work of J. L. Bamber was supported by the U.K. NERC Grant NE/I027401/1.</t>
  </si>
  <si>
    <t>1545-598X</t>
  </si>
  <si>
    <t>1558-0571</t>
  </si>
  <si>
    <t>IEEE GEOSCI REMOTE S</t>
  </si>
  <si>
    <t>IEEE Geosci. Remote Sens. Lett.</t>
  </si>
  <si>
    <t>10.1109/LGRS.2015.2411434</t>
  </si>
  <si>
    <t>CK9EJ</t>
  </si>
  <si>
    <t>WOS:000356543100017</t>
  </si>
  <si>
    <t>Kernaléguen, L; Arnould, JPY; Guinet, C; Cherel, Y</t>
  </si>
  <si>
    <t>Kernaleguen, Laetitia; Arnould, John P. Y.; Guinet, Christophe; Cherel, Yves</t>
  </si>
  <si>
    <t>Determinants of individual foraging specialization in large marine vertebrates, the Antarctic and subantarctic fur seals</t>
  </si>
  <si>
    <t>competition; diet; foraging ecology; niche variation hypothesis; niche width; otariid; pinniped; stable isotopes; vibrissae; whisker</t>
  </si>
  <si>
    <t>INTRASPECIFIC COMPETITION; ARCTOCEPHALUS-TROPICALIS; STABLE-ISOTOPES; NICHE WIDTH; DIET SPECIALIZATION; SEASONAL-CHANGES; RESOURCE USE; TRADE-OFFS; POPULATION; PREDATORS</t>
  </si>
  <si>
    <t>1. The degree of individual specialization in resource use differs widely among wild populations where individuals range from fully generalized to highly specialized. This interindividual variation has profound implications in many ecological and evolutionary processes. A recent review proposed four main ecological causes of individual specialization: interspecific and intraspecific competition, ecological opportunity and predation. 2. Using the isotopic signature of subsampled whiskers, we investigated to what degree three of these factors (interspecific and intraspecific competition and ecological opportunity) affect the population niche width and the level of individual foraging specialization in two fur seal species, the Antarctic and subantarctic fur seals (Arctocephalus gazella and Arctocephalus tropicalis), over several years. 3. Population niche width was greater when the two seal species bred in allopatry (low interspecific competition) than in sympatry or when seals bred in high-density stabilized colonies (high intraspecific competition). In agreement with the niche variation hypothesis (NVH), higher population niche width was associated with higher interindividual niche variation. However, in contrast to the NVH, all Antarctic females increased their niche width during the interbreeding period when they had potential access to a wider diversity of foraging grounds and associated prey (high ecological opportunities), suggesting they all dispersed to a similar productive area. 4. The degree of individual specialization varied among populations and within the annual cycle. Highest levels of interindividual variation were found in a context of lower interspecific or higher intraspecific competition. Contrasted results were found concerning the effect of ecological opportunity. Depending on seal species, females exhibited either a greater or lower degree of individual specialization during the interbreeding period, reflecting species-specific biological constraints during that period. 5. These results suggest a significant impact of ecological interactions on the population niche width and degree of individual specialization. Such variation at the individual level may be an important factor in the species plasticity with significant consequences on how it may respond to environmental variability.</t>
  </si>
  <si>
    <t>[Kernaleguen, Laetitia; Arnould, John P. Y.] Deakin Univ, Sch Life &amp; Environm Sci, Burwood, Vic 3125, Australia; [Kernaleguen, Laetitia; Guinet, Christophe; Cherel, Yves] Univ La Rochelle, CNRS, UMR 7372, Ctr Etud Biol Chize, F-79360 Villiers En Bois, France</t>
  </si>
  <si>
    <t>Kernaléguen, L (corresponding author), Deakin Univ, Sch Life &amp; Environm Sci, 221 Burwood Highway, Burwood, Vic 3125, Australia.</t>
  </si>
  <si>
    <t>laetitia.kernaleguen@gmail.com</t>
  </si>
  <si>
    <t>Guinet, Christophe/AAR-8457-2020</t>
  </si>
  <si>
    <t>ANR-VMC IPSOS-SEAL; Institut Polaire Francais Paul Emile Victor (IPEV) [109]; Terres Australes et Antarctiques Francaises</t>
  </si>
  <si>
    <t>ANR-VMC IPSOS-SEAL(Agence Nationale de la Recherche (ANR)); Institut Polaire Francais Paul Emile Victor (IPEV); Terres Australes et Antarctiques Francaises</t>
  </si>
  <si>
    <t>The authors thank F. Bailleul, F. Pawlowski, J. Kingston, S. Luque, L. Dubroca, M. C. Martin, S. Jenouvrier and D. Pinaud for their contribution in the field, P. Richard and G. Guillou for their help in the preparation of isotopic samples and B. Cazelles for his precious help for the wavelet analyses. The present work was supported financially and logistically by the ANR-VMC IPSOS-SEAL, the Institut Polaire Francais Paul Emile Victor (IPEV, programme no. 109) and the Terres Australes et Antarctiques Francaises. The ethics committee of IPEV approved all field procedures.</t>
  </si>
  <si>
    <t>10.1111/1365-2656.12347</t>
  </si>
  <si>
    <t>CM6QK</t>
  </si>
  <si>
    <t>WOS:000357813500020</t>
  </si>
  <si>
    <t>Andersen, DT; McKay, CP; Lagun, V</t>
  </si>
  <si>
    <t>Andersen, Dale T.; McKay, Christopher P.; Lagun, Victor</t>
  </si>
  <si>
    <t>Climate Conditions at Perennially Ice-Covered Lake Untersee, East Antarctica</t>
  </si>
  <si>
    <t>JOURNAL OF APPLIED METEOROLOGY AND CLIMATOLOGY</t>
  </si>
  <si>
    <t>MCMURDO DRY VALLEYS; DRONNING MAUD LAND; FOEHN WINDS; HOARE; VARIABILITY; EVOLUTION; THICKNESS</t>
  </si>
  <si>
    <t>In November 2008 an automated meteorological station was established at Lake Untersee in East Antarctica, producing a 5-yr data record of meteorological conditions at the lake. This dataset includes five austral summer seasons composed of December, January, and February (DJF). The average solar flux at Lake Untersee for the four years with complete solar flux data is 99.2 +/- 0.6 W m(-2). The mean annual temperature at Lake Untersee was determined to be -10.6 degrees +/- 0.6 degrees C. The annual degree-days above freezing for the five years were 9.7, 37.7, 22.4, 7.0, and 48.8, respectively, with summer (DJF) accounting for virtually all of this. For these five summers the average DJF temperatures were -3.5 degrees, -1.9 degrees, -2.2 degrees, -2.6 degrees, and -2.5 degrees C. The maximum (minimum) temperatures were +5.3 degrees, +7.6 degrees, +5.7 degrees, +4.4 degrees, and +9.0 degrees C (-13.8 degrees, -12.8 degrees, -12.9 degrees, -13.5 degrees, and -12.1 degrees C). The average of the wind speed recorded was 5.4 m s(-1), the maximum was 35.7 m s(-1), and the average daily maximum was 15 m s(-1). The wind speed was higher in the winter, averaging 6.4 m s(-1). Summer winds averaged 4.7 m s(-1). The dominant wind direction for strong winds is from the south for all seasons, with a secondary source of strong winds in the summer from the east-northeast. Relative humidity averages 37%; however, high values will occur with an average period of ~10 days, providing a strong indicator of the quasi-periodic passage of storms across the site. Low summer temperatures and high wind speeds create conditions at the surface of the lake ice resulting in sublimation rather than melting as the main mass-loss process.</t>
  </si>
  <si>
    <t>[Andersen, Dale T.] Carl Sagan Ctr, SETI Inst, Mountain View, CA 94043 USA; [McKay, Christopher P.] NASA Ames Res Ctr, Moffett Field, CA USA; [Lagun, Victor] Arctic &amp; Antarctic Res Inst, St Petersburg 199226, Russia</t>
  </si>
  <si>
    <t>National Aeronautics &amp; Space Administration (NASA); NASA Ames Research Center; Arctic &amp; Antarctic Research Institute</t>
  </si>
  <si>
    <t>Andersen, DT (corresponding author), Carl Sagan Ctr, SETI Inst, 189 Bernardo Ave,Suite 100, Mountain View, CA 94043 USA.</t>
  </si>
  <si>
    <t>dandersen@carlsagancenter.org</t>
  </si>
  <si>
    <t>Andersen, Dale T/B-4816-2013</t>
  </si>
  <si>
    <t>Andersen, Dale T/0000-0001-8827-1259; McKay, Christopher/0000-0002-6243-1362</t>
  </si>
  <si>
    <t>Tawani Foundation of Chicago; Trottier Family Foundation; NASA's Exobiology and Astrobiology Programs; Arctic and Antarctic Research Institute/Russian Antarctic Expedition's Subprogram Study and Research of the Antarctic of the Federal Target Program World Ocean</t>
  </si>
  <si>
    <t>Primary support for this research was provided by the Tawani Foundation of Chicago, the Trottier Family Foundation, NASA's Exobiology and Astrobiology Programs, and the Arctic and Antarctic Research Institute/Russian Antarctic Expedition's Subprogram Study and Research of the Antarctic of the Federal Target Program World Ocean. Thanks are given to the University of Minnesota's Polar Geospatial Information Center for help with Antarctic mapping. Logistics support was provided by Antarctic Logistics Centre International (ALCI), Cape Town, South Africa, and the Von Braun Center for Science Innovation. We are grateful to Colonel (IL) J. N. Pritzker, IL ARNG (retired), of the Tawani Foundation, Lorne Trottier of the Trottier Family Foundation, Marty Kress of VCSI, Inc., and fellow field team members for their support during the expedition. We also thank John Ferreira, Tomoko Ishihara, and Harry Steel for assistance with the data analysis and graphics.</t>
  </si>
  <si>
    <t>1558-8424</t>
  </si>
  <si>
    <t>1558-8432</t>
  </si>
  <si>
    <t>J APPL METEOROL CLIM</t>
  </si>
  <si>
    <t>J. Appl. Meteorol. Climatol.</t>
  </si>
  <si>
    <t>10.1175/JAMC-D-14-0251.1</t>
  </si>
  <si>
    <t>CM9AT</t>
  </si>
  <si>
    <t>WOS:000357998100002</t>
  </si>
  <si>
    <t>Winkworth, RC; Hennion, F; Prinzing, A; Wagstaff, SJ</t>
  </si>
  <si>
    <t>Winkworth, Richard C.; Hennion, Francoise; Prinzing, Andreas; Wagstaff, Steven J.</t>
  </si>
  <si>
    <t>Explaining the disjunct distributions of austral plants: the roles of Antarctic and direct dispersal routes</t>
  </si>
  <si>
    <t>Antarctica; austral disjunctions; direct dispersal; habitat affinities; molecular divergence times; out-of-Antarctic dispersal; Southern Hemisphere; stepping-stone dispersal</t>
  </si>
  <si>
    <t>NEW-ZEALAND; PHYLOGENY; EVOLUTION; TREE; MITOCHONDRIAL; BIOGEOGRAPHY; ANGIOSPERMS; SECONDARY; NUCLEAR; ORIGIN</t>
  </si>
  <si>
    <t>AimDispersal explains the disjunct distributions of many austral plant lineages. However, the role of Antarctica is largely uncertain and the routes of dispersal have remained speculative. Based on niche conservatism we can make predictions about the timing of disjunction establishment, as well as the availability of direct transoceanic, Antarctic stepping-stone, and out-of-Antarctica dispersal routes over time. We evaluate these predictions using molecular divergence time estimates for the establishment of disjunct distributions across multiple plant lineages. LocationSouthern Hemisphere. MethodsWe estimated the timing of disjunction establishment and determined habitat affinities for 72 austral plant groups. We used Wilcoxon rank sum tests to compare the timing of disjunction establishment between cold and temperate climate lineages for the full data set, as well as within several subsets. We compared our results with those from a literature survey. ResultsAs niche conservatism predicts, the timing of disjunction establishment in cold and temperate climate austral lineages is consistent with the availability of the corresponding habitats over time. Our results also suggest that disjunction establishment has involved a combination of Antarctic and direct dispersal routes. For cold climate lineages, both out-of-Antarctica and direct dispersal routes are required to explain the observed estimates, while stepping stone routes cannot be ruled out. It appears that for these lineages the importance of the three dispersal routes differs with environmental, geographical and temporal context. Main conclusionsBoth direct and Antarctic dispersal routes are necessary to explain the establishment of contemporary austral distributions. Evidence that some taxa were, until recently, restricted to Antarctica changes how we view the evolutionary histories of austral floras and the lineages they contain. Moreover, that we detect differences in the importance of alternative dispersal routes suggests that long-distance plant dispersal processes can be explicitly incorporated into models of climate change response.</t>
  </si>
  <si>
    <t>[Winkworth, Richard C.] Unitec Inst Technol, Dept Nat Sci, Auckland 1025, New Zealand; [Winkworth, Richard C.] Massey Univ, Inst Fundamental Sci, Palmerston North 4474, New Zealand; [Winkworth, Richard C.; Hennion, Francoise; Prinzing, Andreas] Univ Rennes 1, CNRS, UMR ECOBIO 6553, F-35042 Rennes, France; [Prinzing, Andreas] Alterra, NL-6700 AA Wageningen, Netherlands; [Wagstaff, Steven J.] Landcare Res, Allan Herbarium, Lincoln 7640, New Zealand</t>
  </si>
  <si>
    <t>Unitec NZ; Massey University; Centre National de la Recherche Scientifique (CNRS); CNRS - Institute of Ecology &amp; Environment (INEE); Universite de Rennes; Wageningen University &amp; Research; Landcare Research - New Zealand</t>
  </si>
  <si>
    <t>Winkworth, RC (corresponding author), Massey Univ, Inst Fundamental Sci, Tennent Dr, Palmerston North 4474, New Zealand.</t>
  </si>
  <si>
    <t>rwinkworth@gmail.com</t>
  </si>
  <si>
    <t>Wagstaff, Steven/E-3847-2014; Hennion, Francoise/P-3356-2014</t>
  </si>
  <si>
    <t>Wagstaff, Steven/0000-0002-9066-8869; Hennion, Francoise/0000-0001-5355-5614; Winkworth, Richard/0000-0001-5394-3094</t>
  </si>
  <si>
    <t>Direction de la Recherche et de l'Innovation, Service des Affaires Internationales at Universite de Rennes 1; Institut Polaire Paul Emile Victor [136]; Centre National de la Recherche Scientifique through an ATIP grant; PICS programme ('AntarctBodiv')</t>
  </si>
  <si>
    <t>Direction de la Recherche et de l'Innovation, Service des Affaires Internationales at Universite de Rennes 1; Institut Polaire Paul Emile Victor; Centre National de la Recherche Scientifique through an ATIP grant; PICS programme ('AntarctBodiv')</t>
  </si>
  <si>
    <t>R.C.W. was partly supported by a grant from the Direction de la Recherche et de l'Innovation, Service des Affaires Internationales at Universite de Rennes 1. Institut Polaire Paul Emile Victor (Programme 136 led by M. Lebouvier) and the Centre National de la Recherche Scientifique through an ATIP grant (to A.P.) and PICS programme ('AntarctBiodiv' led by F.H.) supported the research. The authors also thank the New Zealand Plant Radiation Network and Zone-Atelier Antarctique. This research is linked to the Scientific Committee on Antarctic Research programmes AntEco and AnT-ERA.</t>
  </si>
  <si>
    <t>10.1111/jbi.12522</t>
  </si>
  <si>
    <t>CL1AL</t>
  </si>
  <si>
    <t>WOS:000356674300002</t>
  </si>
  <si>
    <t>Kimura, T; Fukuda, W; Sanada, T; Imanaka, T</t>
  </si>
  <si>
    <t>Kimura, Tomomi; Fukuda, Wakao; Sanada, Tomoe; Imanaka, Tadayuki</t>
  </si>
  <si>
    <t>Characterization of water-soluble dark-brown pigment from Antarctic bacterium, Lysobacter oligotrophicus</t>
  </si>
  <si>
    <t>JOURNAL OF BIOSCIENCE AND BIOENGINEERING</t>
  </si>
  <si>
    <t>Antarctic; Melanin; Microbial product; Macromolecular structure; UV-protection</t>
  </si>
  <si>
    <t>SP NOV.; MELANIN PIGMENT; GEN. NOV.; BIOSYNTHESIS; LAKE; MICROORGANISMS; MELANOGENESIS; PURIFICATION; RESONANCE</t>
  </si>
  <si>
    <t>Lysobacter oligotrophicus strain 107-E2(T) isolated from Antarctica produces dark-brown colored water-soluble pigment, in addition to hydrolases and lytic enzymes. The production of pigment is a common characteristic among members of the genus Lysobacter, but the identity of the pigments has been unknown. In this study, we identified the pigment from L oligotrophicus as melanin pigment (Lo-melanin) by chemical and spectroscopic analyses. Although melanin is generally insoluble in both aqueous and organic solvents, the results in this study revealed that Lo-melanin shows water-solubility by means of the added polysaccharide chain. Lo-melanin production of L. oligotrophicus was increased by ultraviolet (UV) exposure, and survival rate of Escherichia coli under UV-irradiated condition was increased by the addition of Lo-melanin to the medium. (C) 2014, The Society for Biotechnology, Japan. All rights reserved.</t>
  </si>
  <si>
    <t>[Kimura, Tomomi; Fukuda, Wakao; Imanaka, Tadayuki] Ritsumeikan Univ, Dept Biotechnol, Coll Life Sci, Kusatsu, Shiga 5258577, Japan; [Sanada, Tomoe] Ritsumeikan Univ, Dept Appl Chem, Coll Life Sci, Kusatsu, Shiga 5258577, Japan</t>
  </si>
  <si>
    <t>Ritsumeikan University; Ritsumeikan University</t>
  </si>
  <si>
    <t>Imanaka, T (corresponding author), Ritsumeikan Univ, Dept Biotechnol, Coll Life Sci, 1-1-1 Nojihigashi, Kusatsu, Shiga 5258577, Japan.</t>
  </si>
  <si>
    <t>imanaka@sk.ritsumei.ac.jp</t>
  </si>
  <si>
    <t>JSPS [19205022, 23657068]; Grants-in-Aid for Scientific Research [19205022, 23657068]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</si>
  <si>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</si>
  <si>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would like to express their sincere thanks to all members concerned to the 46th Japanese Antarctic Research Expedition. This study was supported by JSPS KAKENHI (19205022 and 23657068).</t>
  </si>
  <si>
    <t>SOC BIOSCIENCE BIOENGINEERING JAPAN</t>
  </si>
  <si>
    <t>OSAKA</t>
  </si>
  <si>
    <t>OSAKA UNIV, FACULTY ENGINEERING, 2-1 YAMADAOKA, SUITA, OSAKA, 565-0871, JAPAN</t>
  </si>
  <si>
    <t>1389-1723</t>
  </si>
  <si>
    <t>1347-4421</t>
  </si>
  <si>
    <t>J BIOSCI BIOENG</t>
  </si>
  <si>
    <t>J. Biosci. Bioeng.</t>
  </si>
  <si>
    <t>10.1016/j.jbiosc.2014.11.020</t>
  </si>
  <si>
    <t>Biotechnology &amp; Applied Microbiology; Food Science &amp; Technology</t>
  </si>
  <si>
    <t>CL2ES</t>
  </si>
  <si>
    <t>WOS:000356757000011</t>
  </si>
  <si>
    <t>Dömel, JS; Convey, P; Leese, F</t>
  </si>
  <si>
    <t>Domel, Jana Sophie; Convey, Peter; Leese, Florian</t>
  </si>
  <si>
    <t>GENETIC DATA SUPPORT INDEPENDENT GLACIAL REFUGIA AND OPEN OCEAN BARRIERS TO DISPERSAL FOR THE SOUTHERN OCEAN SEA SPIDER AUSTROPALLENE CORNIGERA (MOBIUS, 1902)</t>
  </si>
  <si>
    <t>JOURNAL OF CRUSTACEAN BIOLOGY</t>
  </si>
  <si>
    <t>Antarctic; gene flow; phylogeography; population genetics; Pycnogonida; recolonisation; speciation</t>
  </si>
  <si>
    <t>COLOSSENDEIS-MEGALONYX HOEK; MITOCHONDRIAL LINEAGES; DNA; PYCNOGONIDA; ARTHROPODA; DIVERSITY; ISOPODA; LIFE; EVOLUTIONARY; BIODIVERSITY</t>
  </si>
  <si>
    <t>The diversity and distribution of Antarctic life has been strongly influenced by climatic events, in particular by large scale extension of ice sheets onto the continental shelf during repeated glacial cycles. It has been suggested that populations of benthic marine biota in the Antarctic were limited to very few refugia because the Antarctic shelf was covered with ice. Using the broadly-distributed pycnogonid Austropallene cornigera as a model, in this study we tested different hypotheses for possible locations of glacial refugia (ex situ on the pert-Antarctic islands or in situ on the Antarctic shelf). We sampled 64 individuals of A. cornigera from pert-Antarctic islands, the Weddell Sea and East Antarctica. The phylogeographic structure was analysed using partial sequences of the nuclear ribolomal genes 18S and 28S and the mitochondrial cytochrome c oxidase subunit I gene (COI). The 18S and 28S sequences were highly conserved. Sequences of the COI were variable and revealed highest haplotype diversity for populations on the Antarctic shelf and lowest for the population from the remote island of Bouvetoya. In addition, the data showed clear genetic distances between the island and shelf populations. Our data are consistent with the hypothesis of survival in situ. The results also suggest that gene flow within A. cornigera is limited, hinting at possible speciation processes acting independently on the Antarctic continental shelf and the pert-Antarctic islands.</t>
  </si>
  <si>
    <t>[Domel, Jana Sophie; Leese, Florian] Ruhr Univ Bochum, Dept Anim Ecol Evolut &amp; Biodivers, D-44780 Bochum, Germany; [Domel, Jana Sophie; Convey, Peter] British Antarctic Survey, Nat Environm Res Council, Cambridge CB3 0ET, England</t>
  </si>
  <si>
    <t>Ruhr University Bochum; UK Research &amp; Innovation (UKRI); Natural Environment Research Council (NERC); NERC British Antarctic Survey</t>
  </si>
  <si>
    <t>Leese, F (corresponding author), Ruhr Univ Bochum, Dept Anim Ecol Evolut &amp; Biodivers, Univ Str 150, D-44780 Bochum, Germany.</t>
  </si>
  <si>
    <t>florian.leese@rub.de</t>
  </si>
  <si>
    <t>Leese, Florian/D-4277-2012; Convey, Peter/AAV-5728-2020</t>
  </si>
  <si>
    <t>Leese, Florian/0000-0002-5465-913X; Convey, Peter/0000-0001-8497-9903</t>
  </si>
  <si>
    <t>German Research foundation (DFG) [LE 2323/2]; ESF FroSpects (Frontiers of Speciation Research) programme; NERC; NERC [bas0100026] Funding Source: UKRI; Natural Environment Research Council [bas0100026] Funding Source: researchfish</t>
  </si>
  <si>
    <t>German Research foundation (DFG)(German Research Foundation (DFG)); ESF FroSpects (Frontiers of Speciation Research) programme;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</si>
  <si>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Claudia Arango for providing specimens from the CEAMARC cruise and discussing the data, and Katrin Linse (BAS) for providing additional samples. We also thank the organizers of the ICEFISH 2004, CEAMARC and BAS cruises. This work was funded by German Research foundation (DFG) grant LE 2323/2 to FL and in part by the ESF FroSpects (Frontiers of Speciation Research) programme. PC is supported by core funding from NERC to the BAS Environmental Change and Evolution programme. This paper also contributes to the SCAR 'State of the Antarctic Ecosystem' (AntEco) programme. We thank the editor and an anonymous reviewer for helpful comments.</t>
  </si>
  <si>
    <t>0278-0372</t>
  </si>
  <si>
    <t>1937-240X</t>
  </si>
  <si>
    <t>J CRUSTACEAN BIOL</t>
  </si>
  <si>
    <t>J. Crustac. Biol.</t>
  </si>
  <si>
    <t>10.1163/1937240X-00002351</t>
  </si>
  <si>
    <t>CM0ED</t>
  </si>
  <si>
    <t>WOS:000357350300003</t>
  </si>
  <si>
    <t>Paine, CET; Amissah, L; Auge, H; Baraloto, C; Baruffol, M; Bourland, N; Bruelheide, H; Daïnou, K; de Gouvenain, RC; Doucet, JL; Doust, S; Fine, PVA; Fortunel, C; Haase, J; Holl, KD; Jactel, H; Li, XF; Kitajima, K; Koricheva, J; Martínez-Garza, C; Messier, C; Paquette, A; Philipson, C; Piotto, D; Poorter, L; Posada, JM; Potvin, C; Rainio, K; Russo, SE; Ruiz-Jaen, M; Scherer-Lorenzen, M; Webb, CO; Wright, SJ; Zahawi, RA; Hector, A</t>
  </si>
  <si>
    <t>Paine, C. E. Timothy; Amissah, Lucy; Auge, Harald; Baraloto, Christopher; Baruffol, Martin; Bourland, Nils; Bruelheide, Helge; Dainou, Kasso; de Gouvenain, Roland C.; Doucet, Jean-Louis; Doust, Susan; Fine, Paul V. A.; Fortunel, Claire; Haase, Josephine; Holl, Karen D.; Jactel, Herve; Li, Xuefei; Kitajima, Kaoru; Koricheva, Julia; Martinez-Garza, Cristina; Messier, Christian; Paquette, Alain; Philipson, Christopher; Piotto, Daniel; Poorter, Lourens; Posada, Juan M.; Potvin, Catherine; Rainio, Kalle; Russo, Sabrina E.; Ruiz-Jaen, Mariacarmen; Scherer-Lorenzen, Michael; Webb, Campbell O.; Wright, S. Joseph; Zahawi, Rakan A.; Hector, Andy</t>
  </si>
  <si>
    <t>Globally, functional traits are weak predictors of juvenile tree growth, and we do not know why</t>
  </si>
  <si>
    <t>JOURNAL OF ECOLOGY</t>
  </si>
  <si>
    <t>functional ecology; FunDivEurope; growth; hierarchical models; plant population and community dynamics; relative growth rate; size-standardized growth rate; TreeDivNet</t>
  </si>
  <si>
    <t>PLANT-GROWTH; DEMOGRAPHIC RATES; COMMUNITY; LEAF; BIODIVERSITY; MODELS; SIZE; SENSITIVITY; TEMPERATE; PATTERNS</t>
  </si>
  <si>
    <t>Plant functional traits, in particular specific leaf area (SLA), wood density and seed mass, are often good predictors of individual tree growth rates within communities. Individuals and species with high SLA, low wood density and small seeds tend to have faster growth rates. If community-level relationships between traits and growth have general predictive value, then similar relationships should also be observed in analyses that integrate across taxa, biogeographic regions and environments. Such global consistency would imply that traits could serve as valuable proxies for the complex suite of factors that determine growth rate, and, therefore, could underpin a new generation of robust dynamic vegetation models. Alternatively, growth rates may depend more strongly on the local environment or growth-trait relationships may vary along environmental gradients. We tested these alternative hypotheses using data on 27352 juvenile trees, representing 278 species from 27 sites on all forested continents, and extensive functional trait data, 38% of which were obtained at the same sites at which growth was assessed. Data on potential evapotranspiration (PET), which summarizes the joint ecological effects of temperature and precipitation, were obtained from a global data base. We estimated size-standardized relative height growth rates (SGR) for all species, then related them to functional traits and PET using mixed-effect models for the fastest growing species and for all species together. Both the mean and 95th percentile SGR were more strongly associated with functional traits than with PET. PET was unrelated to SGR at the global scale. SGR increased with increasing SLA and decreased with increasing wood density and seed mass, but these traits explained only 3.1% of the variation in SGR. SGR-trait relationships were consistently weak across families and biogeographic zones, and over a range of tree statures. Thus, the most widely studied functional traits in plant ecology were poor predictors of tree growth over large scales.Synthesis. We conclude that these functional traits alone may be unsuitable for predicting growth of trees over broad scales. Determining the functional traits that predict vital rates under specific environmental conditions may generate more insight than a monolithic global relationship can offer.</t>
  </si>
  <si>
    <t>[Paine, C. E. Timothy] Univ Stirling, Biol &amp; Environm Sci, Stirling FK9 4LA, Scotland; [Amissah, Lucy; Poorter, Lourens] Wageningen Univ, Forest Ecol &amp; Forest Management Grp, NL-6700 AA Wageningen, Netherlands; [Amissah, Lucy] KNUST, Council Sci &amp; Ind Res, Forestry Res Inst Ghana, Kumasi, Ghana; [Auge, Harald] Helmholtz Ctr Environm Res, UFZ, Dept Community Ecol, D-06120 Halle, Germany; [Auge, Harald; Bruelheide, Helge] German Ctr Integrat Biodivers Res iDiv, D-04103 Leipzig, Germany; [Baraloto, Christopher; Fortunel, Claire] INRA, UMR Ecol Forets Guyane, Kourou 97387, French Guiana; [Baraloto, Christopher; Kitajima, Kaoru] Florida Int Univ, Dept Biol Sci, Int Ctr Trop Bot, Miami, FL 33199 USA; [Baruffol, Martin] Univ Zurich, Inst Evolutionary Biol &amp; Environm Studies, CH-8057 Zurich, Switzerland; [Bourland, Nils; Dainou, Kasso; Doucet, Jean-Louis] Univ Liege, Unit Forest &amp; Nat Management, Lab Trop &amp; Subtrop Forest Reg, Liege, Belgium; [Bruelheide, Helge] Univ Halle Wittenberg, Inst Biol Geobot &amp; Bot Garden, D-06108 Halle, Germany; [de Gouvenain, Roland C.] Rhode Isl Coll, Dept Biol, Providence, RI 02908 USA; [Doust, Susan] Australian Antarctic Div, Kingston, Tas 7050, Australia; [Fine, Paul V. A.] Univ Calif Berkeley, Dept Integrat Biol, Berkeley, CA 94720 USA; [Fortunel, Claire] Univ Maryland, Dept Biol, College Pk, MD 20742 USA; [Haase, Josephine; Scherer-Lorenzen, Michael] Univ Freiburg, Geobot, Fac Biol, D-79104 Freiburg, Germany; [Haase, Josephine; Philipson, Christopher] ETH, Inst Terr Ecosyst, Ecosyst Management, CH-8092 Zurich, Switzerland; [Holl, Karen D.] Univ Calif Santa Cruz, Environm Studies Dept, Santa Cruz, CA 95064 USA; [Jactel, Herve] INRA, BIOGECO, UMR1202, F-33510 Cestas, France; [Jactel, Herve] Univ Bordeaux, UMR1202, BIOGECO, F-33400 Talence, France; [Kitajima, Kaoru; Potvin, Catherine; Wright, S. Joseph] Smithsonian Trop Res Inst, Balboa 084303092, Panama; [Kitajima, Kaoru] Kyoto Univ, Forest Biomat Sci, Sakyo Ku, Kyoto, Japan; [Koricheva, Julia] Royal Holloway Univ London, Sch Biol Sci, Egham TW20 0EX, Surrey, England; [Martinez-Garza, Cristina] Univ Autonoma Estado Morelos, Ctr Invest Biodiversidad &amp; Conservac, Cuernavaca 62209, Morelos, Mexico; [Messier, Christian; Paquette, Alain] Univ Quebec, Ctr Forest Res, Montreal, PQ H3C 3P8, Canada; [Messier, Christian] Univ Quebec, ISFORT, Montreal, PQ H3C 3P8, Canada; [Messier, Christian] Univ Quebec Outaouais, Montreal, PQ H3C 3P8, Canada; [Piotto, Daniel] Univ Fed Sul Bahia, BR-45613204 Ferradas Itabuna, BA, Brazil; [Posada, Juan M.] Univ Rosario, Fac Nat Sci &amp; Math, Biol Program, Bogota 111221, Colombia; [Potvin, Catherine; Ruiz-Jaen, Mariacarmen] McGill Univ, Dept Biol, Montreal, PQ H3A 1B1, Canada; [Rainio, Kalle] Univ Turku, Dept Biol, Sect Ecol, FI-20014 Turku, Finland; [Russo, Sabrina E.] Univ Nebraska, Sch Biol Sci, Lincoln, NE 68588 USA; [Webb, Campbell O.] Arnold Arboretum Harvard Univ, Boston, MA 02131 USA; [Zahawi, Rakan A.] Org Trop Studies, Las Cruces Biol Stn, Apartado San Vito De Cot, Costa Rica; [Hector, Andy] Univ Oxford, Dept Plant Sci, Oxford OX1 3RB, England</t>
  </si>
  <si>
    <t>University of Stirling; Wageningen University &amp; Research; Kwame Nkrumah University Science &amp; Technology; Helmholtz Association; Helmholtz Center for Environmental Research (UFZ); INRAE; State University System of Florida; Florida International University; University of Zurich; University of Liege; Martin Luther University Halle Wittenberg; Australian Antarctic Division; University of California System; University of California Berkeley; University System of Maryland; University of Maryland College Park; University of Freiburg; Swiss Federal Institutes of Technology Domain; ETH Zurich; University of California System; University of California Santa Cruz; INRAE; Universite de Bordeaux; Smithsonian Institution; Smithsonian Tropical Research Institute; Kyoto University; University of London; Royal Holloway University London; Universidad Autonoma del Estado de Morelos; University of Quebec; University of Quebec Montreal; University of Quebec; University of Quebec Montreal; University of Quebec; University Quebec Outaouais; Universidade Federal do Sul da Bahia; Universidad del Rosario; McGill University; University of Turku; University of Nebraska System; University of Nebraska Lincoln; Harvard University; University of Oxford</t>
  </si>
  <si>
    <t>Paine, CET (corresponding author), Univ Stirling, Biol &amp; Environm Sci, Stirling FK9 4LA, Scotland.</t>
  </si>
  <si>
    <t>c.e.t.paine@stir.ac.uk</t>
  </si>
  <si>
    <t>Paine, C. E. Timothy/R-8108-2019; Wright, Stuart Joseph/M-3311-2013; Li, Xuefei/AAC-6421-2019; Piotto, Daniel/V-1232-2019; Rainio, Kalle/I-1495-2013; Martínez-Garza, Cristina/K-4519-2019; Auge, Harald/D-4802-2015; Baraloto, Christopher/ABG-2500-2020; Poorter, Lourens/AAL-1709-2021; Scherer-Lorenzen, Michael/AGB-4140-2022; Martínez-Garza, Cristina/H-8956-2019; Fortunel, Claire/GNO-9511-2022; Hector, Andrew/H-4199-2011; Bruelheide, Helge/G-3907-2013; Daïnou, Kasso/J-8920-2019; Piotto, Daniel/F-9956-2012; Koricheva, Julia/G-6754-2011; Zahawi, Rakan/N-1028-2014; Posada, Juan M./G-3616-2016; Baruffol, Martin/A-2406-2014; Kitajima, Kaoru/M-8521-2018; Webb, Campbell/B-1488-2009</t>
  </si>
  <si>
    <t>Paine, C. E. Timothy/0000-0001-8705-3719; Wright, Stuart Joseph/0000-0003-4260-5676; Li, Xuefei/0000-0003-3160-8089; Piotto, Daniel/0000-0002-6505-0098; Rainio, Kalle/0000-0002-5859-0037; Martínez-Garza, Cristina/0000-0002-9310-564X; Auge, Harald/0000-0001-7432-8453; Baraloto, Christopher/0000-0001-7322-8581; Scherer-Lorenzen, Michael/0000-0001-9566-590X; Martínez-Garza, Cristina/0000-0002-9310-564X; Fortunel, Claire/0000-0002-8367-1605; Daïnou, Kasso/0000-0003-2486-1895; Koricheva, Julia/0000-0002-9033-0171; Philipson, Christopher D./0000-0001-8987-7260; Poorter, Lourens/0000-0003-1391-4875; Zahawi, Rakan/0000-0002-5678-2967; Posada, Juan M./0000-0001-7794-9300; Baruffol, Martin/0000-0001-9358-5885; Kitajima, Kaoru/0000-0001-6822-8536; Webb, Campbell/0000-0003-1031-3249; Fine, Paul/0000-0002-0550-5628; Bourland, Nils/0000-0003-4960-8685</t>
  </si>
  <si>
    <t>Swiss National Science [121967]; European Union [265171, 226299]; Division Of Environmental Biology; Direct For Biological Sciences [1456520] Funding Source: National Science Foundation</t>
  </si>
  <si>
    <t>Swiss National Science(Swiss National Science Foundation (SNSF)); European Union(European Union (EU)); Division Of Environmental Biology; Direct For Biological Sciences(National Science Foundation (NSF)NSF - Directorate for Biological Sciences (BIO))</t>
  </si>
  <si>
    <t>We thank the multitudes involved in planting, measuring and maintenance of the study sites, and collecting growth and trait data. Jens Kattge, manager of the TRY global trait data base, and Kyle Dexter contributed additional trait data. Statistical advice from Marco Geraci, Sophia Ratcliffe, Nadja Ruger and Christian Wirth strengthened the analysis. This research was funded by Swiss National Science grant number 121967 to A.H. and by the European Union Seventh Framework Program (FP7/2007-2013) under grant agreements no 265171 (project FunDivEUROPE) and no 226299 (project BACCARA).</t>
  </si>
  <si>
    <t>0022-0477</t>
  </si>
  <si>
    <t>1365-2745</t>
  </si>
  <si>
    <t>J ECOL</t>
  </si>
  <si>
    <t>J. Ecol.</t>
  </si>
  <si>
    <t>10.1111/1365-2745.12401</t>
  </si>
  <si>
    <t>Plant Sciences; Ecology</t>
  </si>
  <si>
    <t>Plant Sciences; Environmental Sciences &amp; Ecology</t>
  </si>
  <si>
    <t>CL0KC</t>
  </si>
  <si>
    <t>WOS:000356630600020</t>
  </si>
  <si>
    <t>Peck, L</t>
  </si>
  <si>
    <t>Peck, Lloyd</t>
  </si>
  <si>
    <t>DeVries: the Art of not freezing fish</t>
  </si>
  <si>
    <t>GLYCOPROTEINS; RESISTANCE</t>
  </si>
  <si>
    <t>British Antarctic Survey, Cambridge, England</t>
  </si>
  <si>
    <t>Peck, L (corresponding author), British Antarctic Survey, Cambridge, England.</t>
  </si>
  <si>
    <t>l.peck@bas.ac.uk</t>
  </si>
  <si>
    <t>10.1242/jeb.109330</t>
  </si>
  <si>
    <t>CN3CL</t>
  </si>
  <si>
    <t>WOS:000358301300005</t>
  </si>
  <si>
    <t>Ramírez, F; Forero, MG; Hobson, KA; Chiaradia, A</t>
  </si>
  <si>
    <t>Ramirez, Francisco; Forero, Manuela G.; Hobson, Keith A.; Chiaradia, Andre</t>
  </si>
  <si>
    <t>Older female little penguins Eudyptula minor adjust nutrient allocations to both eggs</t>
  </si>
  <si>
    <t>Carbon-13; Nitrogen-15; Nutrient-allocation modelling; Stable isotopes; Reproduction</t>
  </si>
  <si>
    <t>ISOTOPE ANALYSIS; CHELONIA-MYDAS; SIZE VARIATION; STABLE-CARBON; REPRODUCTION; BIRDS; AGE; PATTERNS; BREEDERS; QUALITY</t>
  </si>
  <si>
    <t>How individuals allocate resources to reproduction is a fundamental concept in animal life history theory. While it is crucial to quantify the relative allocation of somatic reserves to reproduction by avian females; variation at the individual and intra-clutch level has generally been neglected. We investigated nutrient allocation to eggs of little penguins (Eudyptula minor, Forster, 1781) using automated body-mass recording and natural delta C-13 and delta N-15 values for plasma and blood cells of incubating females, and down feathers of their chicks. Further, we evaluated the role of female age (a proxy for experience or senescence) and condition as drivers of individual strategies within this population. Little penguins increased their body masses during a short period prior the onset of reproduction, suggesting that they were accumulating resources to cope with reproductive requirements. Estimated endogenous contribution to eggs was relatively low (similar to 20%), and female age was revealed as a major factor modulating individual variations in resource allocation strategies. Older females accumulated larger amounts of reserves before laying (up to 40% body mass increases) and relied more on endogenous resources (up to 45%) for clutch production than younger females. Our findings suggest that females were able to adjust their endogenous investment between their two chicks, with somatic reserve inputs to heavier siblings showing a bimodal distribution (mean +/- SD; 16.7 +/- 5.9% and 36.5 +/- 4.4%) that contrasted with the unimodal distribution observed for lighter siblings (17.8 +/- 8.7%). Here, we provide evidence pointing to age and age-related changes as major factors modulating individual decisions on the amount of somatic reserves allocated to eggs. We additionally identified two distinct allocation strategies at the intra-clutch level that may favour siblings with greater chances to fledge, revealing a novel clutch size reduction strategy in seabirds that produce two eggs of similar size but involving a differential nutrient investment in eggs. (C) 2015 Elsevier B.V. All rights reserved.</t>
  </si>
  <si>
    <t>[Ramirez, Francisco; Forero, Manuela G.] CSIC, Estn Biol Donana, Dept Conservat Biol, Seville 41092, Spain; [Hobson, Keith A.] Environm Canada, Saskatoon, SK S7N 3H5, Canada; [Chiaradia, Andre] Phillip Isl Nat Pk, Res Dept, Cowes, Vic 3922, Australia</t>
  </si>
  <si>
    <t>Consejo Superior de Investigaciones Cientificas (CSIC); CSIC - Estacion Biologica de Donana (EBD); Environment &amp; Climate Change Canada</t>
  </si>
  <si>
    <t>Ramírez, F (corresponding author), CSIC, Estn Biol Donana, Dept Conservat Biol, Avda Americo Vespucio S-N, Seville 41092, Spain.</t>
  </si>
  <si>
    <t>ramirez@ebd.csic.es</t>
  </si>
  <si>
    <t>Ramírez, Francisco/I-3553-2014; Chiaradia, Andre/AFK-6634-2022; Chiaradia, Andre/AAG-4928-2022; Hobson, Keith/Q-9306-2019</t>
  </si>
  <si>
    <t>Ramírez, Francisco/0000-0001-9670-486X; Chiaradia, Andre/0000-0002-6178-4211; Chiaradia, Andre/0000-0002-6178-4211; Gonzalez Forero, Manuela/0000-0001-9157-9705</t>
  </si>
  <si>
    <t>Penguin Foundation; Junta Andalucia; European Union Research Fund [FP7-REGPOT-2010-1]; Ministerio de Educacion y Ciencia de Espana [CGL 2006-278999-E/BOS]; Canal Sur TV</t>
  </si>
  <si>
    <t>Penguin Foundation; Junta Andalucia; European Union Research Fund(European Union (EU)); Ministerio de Educacion y Ciencia de Espana(Spanish Government); Canal Sur TV</t>
  </si>
  <si>
    <t>We are thankful for several grants received to support this collaborative research: Penguin Foundation, Junta Andalucia, European Union Research Fund, (FP7-REGPOT-2010-1) Ministerio de Educacion y Ciencia de Espana (CGL 2006-278999-E/BOS) and Canal Sur TV. We also thank the Phillip Island Nature Parks for their continued support, in particular Peter Dann, Marcus Salton, Leanne Renwick and all people who helped in the field. The Australian Antarctic Division, in particular Knowles Kerry and Kym Newbery kindly provided and supported the automated penguin monitoring system over the years. The project was approved by the Phillip Island Nature Park Animal Experimentation Ethics Committee and by the Department of Sustainability and Environment of Victoria, Australia. Thanks to Ricardo Alvarez, Susana Carrasco and Maria Dolores Rubio for their help during stable isotope analysis. The authors declare that they have no conflict of interest. [SS]</t>
  </si>
  <si>
    <t>10.1016/j.jembe.2015.03.020</t>
  </si>
  <si>
    <t>WOS:000355774300011</t>
  </si>
  <si>
    <t>Almroth, BC; Asker, N; Wassmur, B; Rosengren, M; Jutfelt, F; Gräns, A; Sundell, K; Axelsson, M; Sturve, J</t>
  </si>
  <si>
    <t>Almroth, Bethanie Carney; Asker, Noomi; Wassmur, Britt; Rosengren, Malin; Jutfelt, Fredrik; Grans, Albin; Sundell, Kristina; Axelsson, Michael; Sturve, Joachim</t>
  </si>
  <si>
    <t>Warmer water temperature results in oxidative damage in an Antarctic fish, the bald notothen</t>
  </si>
  <si>
    <t>Fish; Global warming; Oxidative stress; Oxidative damage; Polar</t>
  </si>
  <si>
    <t>GOLDFISH TISSUES; GENE-EXPRESSION; STRESS; ACCLIMATION; ANTIOXIDANT; GLUTATHIONE; SEA; TRANSFERASES; PERFORMANCE; APOPTOSIS</t>
  </si>
  <si>
    <t>Global climate change is predicted to result in increases in water temperature in the polar regions, but the full consequences of this for marine fish species are not understood, especially with regard to cellular mechanisms underlying oxidative stress. Warmer temperatures could potentially result in increased oxidative stress, and it is not known whether stenothermal fish can cope with this on a cellular and physiological level. In order to address this, we exposed bald notothen (Pagothenta borchgrevinki), a fish species endemic to Antarctica, to an increase in temperature from -1.6 degrees C to 4 degrees C and measured the effects on oxidative stress including antioxidant defenses, oxidative damage in proteins and lipids, and transcriptional regulation of involved genes. We show that the fish responds to an acute (12 h) temperature increase with increased antioxidant defenses. However, these antioxidant defenses were similar to basal levels following long-term (3 weeks) exposure to the higher temperature and moreover, these individuals also had higher levels of oxidative damage. These results indicate that this species has the ability to alter levels of endogenous antioxidants, but that this response is transient and insufficient to protect against oxidative damage. These effects may have serious consequences for these fish in a warmer future since long-term consequences of this accumulation of damaged lipids and proteins are associated with aging and known to include decreased cellular function, disease and eventually cell death. (C) 2015 Elsevier B.V. All rights reserved.</t>
  </si>
  <si>
    <t>[Almroth, Bethanie Carney; Asker, Noomi; Wassmur, Britt; Rosengren, Malin; Jutfelt, Fredrik; Sundell, Kristina; Axelsson, Michael; Sturve, Joachim] Univ Gothenburg, Dept Biol &amp; Environm Sci, S-41390 Gothenburg, Sweden; [Grans, Albin] Swedish Univ Agr Sci, Dept Anim Environm &amp; Hlth, Skara, Sweden</t>
  </si>
  <si>
    <t>University of Gothenburg; Swedish University of Agricultural Sciences</t>
  </si>
  <si>
    <t>Almroth, BC (corresponding author), Univ Gothenburg, Dept Biol &amp; Environm Sci, Box 463, S-40530 Gothenburg, Sweden.</t>
  </si>
  <si>
    <t>bethanie.carney@bioenv.gu.se</t>
  </si>
  <si>
    <t>Axelsson, Michael/D-1412-2009; Almroth, Bethanie Carney/Q-6411-2019; Jutfelt, Fredrik/B-6988-2014; Sundell, Kristina/F-8884-2016</t>
  </si>
  <si>
    <t>Almroth, Bethanie Carney/0000-0002-5037-4612; Jutfelt, Fredrik/0000-0001-9838-3991; Rosengren, Malin/0000-0002-8740-6147; Sundell, Kristina/0000-0002-7643-2083; Grans, Albin/0000-0003-0268-1199; Sturve, Joachim/0000-0001-9370-993X</t>
  </si>
  <si>
    <t>National Science Foundation; McMurdo Station; Swedish Polar Research Secretariat; Swedish Research Council Formas; Vetenskapsradet</t>
  </si>
  <si>
    <t>National Science Foundation(National Science Foundation (NSF)); McMurdo Station; Swedish Polar Research Secretariat; Swedish Research Council Formas(Swedish Research Council Formas); Vetenskapsradet(Swedish Research Council)</t>
  </si>
  <si>
    <t>We would like to thank Inger Holmkvist and Niklas Dahr for their technical assistance and the following foundations for funding: National Science Foundation, McMurdo Station, Swedish Polar Research Secretariat, The Swedish Research Council Formas and Vetenskapsradet. [SS]</t>
  </si>
  <si>
    <t>10.1016/j.jembe.2015.02.018</t>
  </si>
  <si>
    <t>WOS:000355774300015</t>
  </si>
  <si>
    <t>Arthern, RJ; Hindmarsh, RCA; Williams, CR</t>
  </si>
  <si>
    <t>Arthern, Robert J.; Hindmarsh, Richard C. A.; Williams, C. Rosie</t>
  </si>
  <si>
    <t>Flow speed within the Antarctic ice sheet and its controls inferred from satellite observations</t>
  </si>
  <si>
    <t>assimilation; inversion; ice sheet; flow; velocity; glaciology</t>
  </si>
  <si>
    <t>BASAL CONDITIONS; INVERSE METHOD; MASS-BALANCE; GLACIER; GREENLAND; STREAM; SURFACE; SHELF; RHEOLOGY; ASSIMILATION</t>
  </si>
  <si>
    <t>Accurate dynamical models of the Antarctic ice sheet with carefully specified initial conditions and well-calibrated rheological parameters are needed to forecast global sea level. By adapting an inverse method previously used in electric impedance tomography, we infer present-day flow speeds within the ice sheet. This inversion uses satellite observations of surface velocity, snow accumulation rate, and rate of change of surface elevation to estimate the basal drag coefficient and an ice stiffness parameter that influences viscosity. We represent interior ice motion using a vertically integrated approximation to incompressible Stokes flow. This model represents vertical shearing within the ice and membrane stresses caused by horizontal stretching and shearing. Combining observations and model, we recover marked geographical variations in the basal drag coefficient. Relative changes in basal shear stress are smaller. No simple sliding law adequately represents basal shear stress as a function of sliding speed. Low basal shear stress predominates in central East Antarctica, where thick insulating ice allows liquid water at the base to lubricate sliding. Higher shear stress occurs in coastal East Antarctica, where a frozen bed is more likely. Examining Thwaites glacier in more detail shows that the slowest sliding often coincides with elevated basal topography. Differences between our results and a similar adjoint-based inversion suggest that inversion or regularization methods can influence recovered parameters for slow sliding and finer scales; on broader scales we recover a similar pattern of low basal drag underneath major ice streams and extensive regions in East Antarctica that move by basal sliding.</t>
  </si>
  <si>
    <t>[Arthern, Robert J.; Hindmarsh, Richard C. A.; Williams, C. Rosie] British Antarctic Survey, NERC, Cambridge, England</t>
  </si>
  <si>
    <t>Arthern, RJ (corresponding author), British Antarctic Survey, NERC, Cambridge, England.</t>
  </si>
  <si>
    <t>rart@bas.ac.uk</t>
  </si>
  <si>
    <t>Hindmarsh, Richard/N-1195-2019</t>
  </si>
  <si>
    <t>Hindmarsh, Richard/0000-0003-1633-2416</t>
  </si>
  <si>
    <t>Natural Environment Research Council; NERC [NE/L005212/1]; ice2sea programme from the European Union Seventh Framework Programme [226375]; NERC [NE/J008095/1, NE/F015526/1, NE/L005212/1, bas0100034, NE/J008087/1, NE/J009768/1] Funding Source: UKRI; Natural Environment Research Council [bas0100034, NE/J008087/1, NE/F015526/1, NE/J008095/1, NE/L005212/1, 1246240, NE/J009768/1] Funding Source: researchfish</t>
  </si>
  <si>
    <t>Natural Environment Research Council(UK Research &amp; Innovation (UKRI)Natural Environment Research Council (NERC)); NERC(UK Research &amp; Innovation (UKRI)Natural Environment Research Council (NERC)); ice2sea programme from the European Union Seventh Framework Programme; NERC(UK Research &amp; Innovation (UKRI)Natural Environment Research Council (NERC)); Natural Environment Research Council(UK Research &amp; Innovation (UKRI)Natural Environment Research Council (NERC))</t>
  </si>
  <si>
    <t>The research was funded in part by the Natural Environment Research Council, including NERC grant NE/L005212/1, and in part by funding from the ice2sea programme from the European Union Seventh Framework Programme, grant 226375. Ice2sea contribution 119. We are extremely grateful to providers of satellite data: we used velocity data from E. Rignot, J. Mouginot, and B. Scheuchl. 2011. MEaSUREs InSAR-Based Antarctica Ice Velocity Map. Boulder, Colorado, USA: National Snow and Ice Data Center (http://dx.doi.org/10.5067/MEASURES/CRYOSPHERE/nsidc-0484.001); we used rates of elevation change from H. Pritchard's processing of NASA ICESat elevation data (ICESat elevation data are available at http://nsidc.org/data/icesat/index.html); above 2000 m in East Antarctica we used rates of elevation change from Wingham et al. [2006]. The ALBMAP data sets compiled by Anne Le Brocq are available at http://doi.pangaea.de/10.1594/PANGAEA.734145. All authors contributed to the research and preparation of the manuscript. R.J.A. and C.R.W. made revisions in response to very helpful suggestions by reviewers and editors. We also acknowledge very helpful discussions with Fabien Gillet-Chaulet, Dan Goldberg, and Hilmar Gudmundsson.</t>
  </si>
  <si>
    <t>10.1002/2014JF003239</t>
  </si>
  <si>
    <t>CP4RN</t>
  </si>
  <si>
    <t>WOS:000359870300002</t>
  </si>
  <si>
    <t>Janout, MA; Aksenov, Y; Hölemann, JA; Rabe, B; Schauer, U; Polyakov, IV; Bacon, S; Coward, AC; Karcher, M; Lenn, YD; Kassens, H; Timokhov, L</t>
  </si>
  <si>
    <t>Janout, Markus A.; Aksenov, Yevgeny; Hoelemann, Jens A.; Rabe, Benjamin; Schauer, Ursula; Polyakov, Igor V.; Bacon, Sheldon; Coward, Andrew C.; Karcher, Michael; Lenn, Yueng-Djern; Kassens, Heidemarie; Timokhov, Leonid</t>
  </si>
  <si>
    <t>Kara Sea freshwater transport through Vilkitsky Strait: Variability, forcing, and further pathways toward the western Arctic Ocean from a model and observations</t>
  </si>
  <si>
    <t>SHORE-FAST ICE; ATLANTIC WATER; BOUNDARY CURRENT; LAPTEV SEA; INTERANNUAL VARIABILITY; SEASONAL VARIABILITY; COASTAL CURRENT; LANDFAST ICE; RIVER-RUNOFF; CIRCULATION</t>
  </si>
  <si>
    <t>Siberian river water is a first-order contribution to the Arctic freshwater budget, with the Ob, Yenisey, and Lena supplying nearly half of the total surface freshwater flux. However, few details are known regarding where, when, and how the freshwater transverses the vast Siberian shelf seas. This paper investigates the mechanism, variability, and pathways of the fresh Kara Sea outflow through Vilkitsky Strait toward the Laptev Sea. We utilize a high-resolution ocean model and recent shipboard observations to characterize the freshwater-laden Vilkitsky Strait Current (VSC), and shed new light on the little-studied region between the Kara and Laptev Seas, characterized by harsh ice conditions, contrasting water masses, straits, and a large submarine canyon. The VSC is 10-20 km wide, surface intensified, and varies seasonally (maximum from August to March) and interannually. Average freshwater (volume) transport is 500 +/- 120 km(3) a(-1) (0.53 +/- 0.08 Sv), with a baroclinic flow contribution of 50-90%. Interannual transport variability is explained by a storage release mechanism, where blocking-favorable summer winds hamper the outflow and cause accumulation of freshwater in the Kara Sea. The year following a blocking event is characterized by enhanced transports driven by a baroclinic flow along the coast that is set up by increased freshwater volumes. Eventually, the VSC merges with a slope current and provides a major pathway for Eurasian river water toward the western Arctic along the Eurasian continental slope. Kara (and Laptev) Sea freshwater transport is not correlated with the Arctic Oscillation, but rather driven by regional summer pressure patterns.</t>
  </si>
  <si>
    <t>[Janout, Markus A.; Hoelemann, Jens A.; Rabe, Benjamin; Schauer, Ursula; Karcher, Michael] Helmholtz Ctr Polar &amp; Marine Res, Alfred Wegener Inst, Bremerhaven, Germany; [Aksenov, Yevgeny; Bacon, Sheldon; Coward, Andrew C.] Natl Oceanog Ctr, Southampton, Hants, England; [Polyakov, Igor V.] Int Arctic Res Ctr, Fairbanks, AK USA; [Karcher, Michael] OASys Ocean Atmosphere Syst GmbH, Hamburg, Germany; [Lenn, Yueng-Djern] Bangor Univ, Sch Ocean Sci, Bangor, Gwynedd, Wales; [Kassens, Heidemarie] GEOMAR Helmholtz Ctr Ocean Res, Kiel, Germany; [Timokhov, Leonid] Arctic &amp; Antarctic Res Ctr, St Petersburg, Russia</t>
  </si>
  <si>
    <t>Helmholtz Association; Alfred Wegener Institute, Helmholtz Centre for Polar &amp; Marine Research; NERC National Oceanography Centre; Bangor University; Helmholtz Association; GEOMAR Helmholtz Center for Ocean Research Kiel</t>
  </si>
  <si>
    <t>Janout, MA (corresponding author), Helmholtz Ctr Polar &amp; Marine Res, Alfred Wegener Inst, Bremerhaven, Germany.</t>
  </si>
  <si>
    <t>Markus.Janout@awi.de</t>
  </si>
  <si>
    <t>Rabe, Benjamin/G-2999-2011; Janout, Markus/AAI-7219-2020; Bacon, Sheldon/B-1519-2013; Hoelemann, Jens/N-3608-2016</t>
  </si>
  <si>
    <t>Rabe, Benjamin/0000-0001-5794-9856; Bacon, Sheldon/0000-0002-2471-9373; Lenn, Yueng-Djern/0000-0001-6031-523X; Hoelemann, Jens/0000-0001-5102-4086; Janout, Markus/0000-0003-4908-2855; Karcher, Michael/0000-0002-9587-811X</t>
  </si>
  <si>
    <t>German Federal Ministry of Education and Research [BMBF 03G0759B, 03G0833B]; Ministry of Education and Science of the Russian Federation; TEA-COSI Project of the UK Arctic Research Program (NERC) [NE/I028947/]; UK Natural Environment Research Council (NERC) Marine Centres' Strategic Research Program; National Science Foundation Office of Polar Programs [PLR-1313614, PLR-1203720]; NERC [noc010010, NE/H016007/1, NE/I028947/1] Funding Source: UKRI; Natural Environment Research Council [noc010012, NE/H016007/1, noc010010, NE/I028947/1] Funding Source: researchfish</t>
  </si>
  <si>
    <t>German Federal Ministry of Education and Research(Federal Ministry of Education &amp; Research (BMBF)); Ministry of Education and Science of the Russian Federation(Ministry of Education and Science, Russian Federation); TEA-COSI Project of the UK Arctic Research Program (NERC); UK Natural Environment Research Council (NERC) Marine Centres' Strategic Research Program(UK Research &amp; Innovation (UKRI)Natural Environment Research Council (NERC)); National Science Foundation Office of Polar Programs(National Science Foundation (NSF)NSF - Directorate for Geosciences (GEO)); NERC(UK Research &amp; Innovation (UKRI)Natural Environment Research Council (NERC)); Natural Environment Research Council(UK Research &amp; Innovation (UKRI)Natural Environment Research Council (NERC))</t>
  </si>
  <si>
    <t>Financial support for the Laptev Sea System project was provided by the German Federal Ministry of Education and Research (grants BMBF 03G0759B and 03G0833B) and the Ministry of Education and Science of the Russian Federation. The 2011 CTD and ADCP data are available at http://www.pangea.de. NABOS data are available at http://nabos.iarc.uaf.edu. NCEP Reanalysis data were provided by the NOAA-CIRES Climate Diagnostics Center, Boulder, CO, USA, from their Web site at http://www.cdc.noaa.gov/.Data from the 2013 CTD survey as well as the model results will be made available by the authors upon request (markus.janout@awi.de). River discharge data were downloaded from the Arctic RIMS website (http://rims.unh.edu/data.shtml).The study is also a contribution to the TEA-COSI Project of the UK Arctic Research Program (NERC grant NE/I028947/), The UK Natural Environment Research Council (NERC) Marine Centres' Strategic Research Program. We thank the Forum for Arctic Ocean Modeling and Observational Synthesis (FAMOS), funded by the National Science Foundation Office of Polar Programs (awards PLR-1313614 and PLR-1203720), for providing an opportunity to discuss the presented ideas at the FAMOS meetings. The NOCS-ORCA simulations were completed as part of the DRAKKAR collaboration [ Barnier et al., 2006]. NOC also acknowledges the use of UK National High Performance Computing Resource. We thank the crews and captains of the various research vessels involved in generating the observations. We sincerely acknowledge the thorough comments from the Editor (A. Proshutinsky) and two anonymous reviewers, which helped to improve the manuscript.</t>
  </si>
  <si>
    <t>10.1002/2014JC010635</t>
  </si>
  <si>
    <t>WOS:000359776000017</t>
  </si>
  <si>
    <t>Dmitrenko, IA; Rudels, B; Kirillov, SA; Aksenov, YO; Lien, VS; Ivanov, VV; Schauer, U; Polyakov, IV; Coward, A; Barber, DG</t>
  </si>
  <si>
    <t>Dmitrenko, Igor A.; Rudels, Bert; Kirillov, Sergey A.; Aksenov, Yevgeny O.; Lien, Vidar S.; Ivanov, Vladimir V.; Schauer, Ursula; Polyakov, Igor V.; Coward, Andrew; Barber, David G.</t>
  </si>
  <si>
    <t>Atlantic water flow into the Arctic Ocean through the St. Anna Trough in the northern Kara Sea</t>
  </si>
  <si>
    <t>BARENTS SEA; FRESH-WATER; CIRCULATION MODEL; BOUNDARY CURRENT; EURASIAN BASIN; VARIABILITY; HEAT; INTERMEDIATE; ADVECTION; FLUXES</t>
  </si>
  <si>
    <t>The Atlantic Water flow from the Barents and Kara seas to the Arctic Ocean through the St. Anna Trough (SAT) is conditioned by interaction between Fram Strait branch water circulating in the SAT and Barents Sea branch water-both of Atlantic origin. Here we present data from an oceanographic mooring deployed on the eastern flank of the SAT from September 2009 to September 2010 as well as CTD (conductivity-temperature-depth) sections across the SAT. A distinct vertical density front over the SAT eastern slope deeper than similar to 50 m is attributed to the outflow of Barents Sea branch water to the Arctic Ocean. In turn, the Barents Sea branch water flow to the Arctic Ocean is conditioned by two water masses defined by relative low and high fractions of the Atlantic Water. They are also traceable in the Nansen Basin downstream of the SAT entrance. A persistent northward current was recorded in the subsurface layer along the SAT eastern slope with a mean velocity of 18 cm s(-1) at 134-218 m and 23 cm s(-1) at 376-468 m. Observations and modeling suggest that the SAT flow has a significant density-driven component. It is therefore expected to respond to changes in the cross-trough density gradient conditioned by interaction between the Fram Strait and Barents Sea branches. Further modeling efforts are necessary to investigate hydrodynamic instability and eddy generation caused by the interaction between the SAT flow and the Arctic Ocean Fram Strait branch water boundary current.</t>
  </si>
  <si>
    <t>[Dmitrenko, Igor A.; Kirillov, Sergey A.; Barber, David G.] Univ Manitoba, Ctr Earth Observat Sci, Winnipeg, MB, Canada; [Rudels, Bert] Finnish Meteorol Inst, FIN-00101 Helsinki, Finland; [Aksenov, Yevgeny O.; Coward, Andrew] Natl Oceanog Ctr, Southampton, Hants, England; [Lien, Vidar S.] Inst Marine Res, N-5024 Bergen, Norway; [Ivanov, Vladimir V.] Arctic &amp; Antarctic Res Inst, St Petersburg 199226, Russia; [Ivanov, Vladimir V.; Polyakov, Igor V.] Univ Alaska, Int Arctic Res Ctr, Fairbanks, AK 99701 USA; [Schauer, Ursula] Alfred Wegener Inst Polar &amp; Marine Res, Bremerhaven, Germany</t>
  </si>
  <si>
    <t>University of Manitoba; Finnish Meteorological Institute; NERC National Oceanography Centre; Institute of Marine Research - Norway; Arctic &amp; Antarctic Research Institute; University of Alaska System; University of Alaska Fairbanks; Helmholtz Association; Alfred Wegener Institute, Helmholtz Centre for Polar &amp; Marine Research</t>
  </si>
  <si>
    <t>Dmitrenko, IA (corresponding author), Univ Manitoba, Ctr Earth Observat Sci, Winnipeg, MB, Canada.</t>
  </si>
  <si>
    <t>igor.dmitrenko@umanitoba.ca</t>
  </si>
  <si>
    <t>Lien, Vidar/ABC-8580-2020; Lien, Vidar S/G-6368-2010</t>
  </si>
  <si>
    <t>Barber, David/0000-0001-9466-3291; Lien, Vidar S./0000-0002-5737-8878</t>
  </si>
  <si>
    <t>Canada Excellence Research Chair (CERC) program; Canada Research Chairs (CRC) program; Natural Environment Research Council, UK [NE/I028947/1]; EU [308299]; Natural Sciences and Engineering Research Council of Canada [RGPIN-2014-03606]; German BMBF; project Arctika (AARI); NERC [NE/I028947/1, noc010010] Funding Source: UKRI; Natural Environment Research Council [noc010010, NE/I028947/1] Funding Source: researchfish; Directorate For Geosciences; Office of Polar Programs (OPP) [1203473] Funding Source: National Science Foundation</t>
  </si>
  <si>
    <t>Canada Excellence Research Chair (CERC) program(European Research Council (ERC)); Canada Research Chairs (CRC) program(Canada Research Chairs); Natural Environment Research Council, UK(UK Research &amp; Innovation (UKRI)Natural Environment Research Council (NERC)); EU(European Union (EU)); Natural Sciences and Engineering Research Council of Canada(Natural Sciences and Engineering Research Council of Canada (NSERC)CGIAR); German BMBF(Federal Ministry of Education &amp; Research (BMBF)); project Arctika (AARI);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</si>
  <si>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study was supported by the Canada Excellence Research Chair (CERC) program, Canada Research Chairs (CRC) program, Natural Environment Research Council, UK, as part of the National Capability Program and is a contribution to the Arctic Research Program TEA-COSI project (NE/I028947/1) and the EU project NACLIM, grant agreement #308299. I.D. and S.K. were also supported by the Natural Sciences and Engineering Research Council of Canada Discovery Grant Program, grant RGPIN-2014-03606. The 2008 2010 oceanographic observations in the SAT were conducted under the working frame of the NABOS project with support from NOAA and NSF, the System Laptev Sea project funded through the German BMBF, and project Arctika (AARI). The NEMO model configuration has been developed as part of the DRAKKAR Project [Barnier et al., 2006]. Yan Waddington and Torben Klagge have rendered valuable assistance in performing mooring deployment and recovery in the SAT. We appreciate Beverly A. de Cuevas for conducting numerical simulations at the NOCS computer facilities. We acknowledge the use of UK National High Performance Computing Resource. Finally, we appreciate the helpful comments of the two anonymous reviewers. The CTD data for 2008-2009 and M5 mooring records are available at http://nabos.iarc.uaf.edu/index.php. The CTD data for 2010 are available at http://www.pangaea.de. For the SAT mooring data contact ID at igor.dmitrenko@umanitoba.ca.</t>
  </si>
  <si>
    <t>10.1002/2015JC010804</t>
  </si>
  <si>
    <t>WOS:000359776000030</t>
  </si>
  <si>
    <t>Engebretson, MJ; Posch, JL; Wygant, JR; Kletzing, CA; Lessard, MR; Huang, CL; Spence, HE; Smith, CW; Singer, HJ; Omura, Y; Horne, RB; Reeves, GD; Baker, DN; Gkioulidou, M; Oksavik, K; Mann, IR; Raita, T; Shiokawa, K</t>
  </si>
  <si>
    <t>Engebretson, M. J.; Posch, J. L.; Wygant, J. R.; Kletzing, C. A.; Lessard, M. R.; Huang, C. -L.; Spence, H. E.; Smith, C. W.; Singer, H. J.; Omura, Y.; Horne, R. B.; Reeves, G. D.; Baker, D. N.; Gkioulidou, M.; Oksavik, K.; Mann, I. R.; Raita, T.; Shiokawa, K.</t>
  </si>
  <si>
    <t>Van Allen probes, NOAA, GOES, and ground observations of an intense EMIC wave event extending over 12 h in magnetic local time</t>
  </si>
  <si>
    <t>EMIC waves; radiation belts; magnetospheric compressions</t>
  </si>
  <si>
    <t>ION-CYCLOTRON WAVES; RELATIVISTIC ELECTRON-PRECIPITATION; PITCH-ANGLE SCATTERING; EQUATORIAL MAGNETOSPHERE; PROTON PRECIPITATION; ENERGETIC PARTICLE; GEOMAGNETIC STORMS; PULSATIONS; GENERATION; FREQUENCY</t>
  </si>
  <si>
    <t>Although most studies of the effects of electromagnetic ion cyclotron (EMIC) waves on Earth's outer radiation belt have focused on events in the afternoon sector in the outer plasmasphere or plume region, strong magnetospheric compressions provide an additional stimulus for EMIC wave generation across a large range of local times and L shells. We present here observations of the effects of a wave event on 23 February 2014 that extended over 8h in UT and over 12h in local time, stimulated by a gradual 4h rise and subsequent sharp increases in solar wind pressure. Large-amplitude linearly polarized hydrogen band EMIC waves (up to 25nT p-p) appeared for over 4h at both Van Allen Probes, from late morning through local noon, when these spacecraft were outside the plasmapause, with densities similar to 5-20cm(-3). Waves were also observed by ground-based induction magnetometers in Antarctica (near dawn), Finland (near local noon), Russia (in the afternoon), and in Canada (from dusk to midnight). Ten passes of NOAA-POES and METOP satellites near the northern foot point of the Van Allen Probes observed 30-80keV subauroral proton precipitation, often over extended L shell ranges; other passes identified a narrow L shell region of precipitation over Canada. Observations of relativistic electrons by the Van Allen Probes showed that the fluxes of more field-aligned and more energetic radiation belt electrons were reduced in response to both the emission over Canada and the more spatially extended emission associated with the compression, confirming the effectiveness of EMIC-induced loss processes for this event.</t>
  </si>
  <si>
    <t>[Engebretson, M. J.; Posch, J. L.] Augsburg Coll, Dept Phys, Minneapolis, MN 55454 USA; [Wygant, J. R.] Univ Minnesota, Sch Phys &amp; Astron, Minneapolis, MN 55455 USA; [Kletzing, C. A.] Univ Iowa, Dept Phys &amp; Astron, Iowa City, IA 52242 USA; [Lessard, M. R.; Huang, C. -L.; Spence, H. E.; Smith, C. W.] Univ New Hampshire, Ctr Space Sci, Durham, NH 03824 USA; [Singer, H. J.] NOAA, Boulder, CO USA; [Omura, Y.] Kyoto Univ, Res Inst Sustainable Humanosphere, Kyoto, Japan; [Horne, R. B.] British Antarctic Survey, Cambridge CB3 0ET, England; [Reeves, G. D.] Los Alamos Natl Lab, Space Sci &amp; Applicat Grp, Los Alamos, NM USA; [Baker, D. N.] Univ Colorado, Atmospher &amp; Space Phys Lab, Boulder, CO 80309 USA; [Gkioulidou, M.] Johns Hopkins Univ, Appl Phys Lab, Laurel, MD USA; [Oksavik, K.] Univ Bergen, Birkeland Ctr Space Sci, Dept Phys &amp; Technol, Bergen, Norway; [Oksavik, K.] Univ Ctr Svalbard, Longyearbyen, Norway; [Mann, I. R.] Univ Alberta, Dept Phys, Edmonton, AB, Canada; [Mann, I. R.] NASA, Goddard Space Flight Ctr, Greenbelt, MD 20771 USA; [Raita, T.] Univ Oulu, Sodankyla Geophys Observ, Sodankyla, Finland; [Shiokawa, K.] Nagoya Univ, STELAB, Toyokawa, Japan</t>
  </si>
  <si>
    <t>Augsburg University; University of Minnesota System; University of Minnesota Twin Cities; University of Iowa; University System Of New Hampshire; University of New Hampshire; National Oceanic Atmospheric Admin (NOAA) - USA; Kyoto University; UK Research &amp; Innovation (UKRI); Natural Environment Research Council (NERC); NERC British Antarctic Survey; United States Department of Energy (DOE); Los Alamos National Laboratory; University of Colorado System; University of Colorado Boulder; Johns Hopkins University; Johns Hopkins University Applied Physics Laboratory; University of Bergen; University Centre Svalbard (UNIS); University of Alberta; National Aeronautics &amp; Space Administration (NASA); NASA Goddard Space Flight Center; University of Oulu; Nagoya University</t>
  </si>
  <si>
    <t>Engebretson, MJ (corresponding author), Augsburg Coll, Dept Phys, Minneapolis, MN 55454 USA.</t>
  </si>
  <si>
    <t>engebret@augsburg.edu</t>
  </si>
  <si>
    <t>Reeves, Geoffrey/E-8101-2011; Spence, Harlan E/A-1942-2011; Oksavik, Kjellmar/GWZ-7781-2022; Gkioulidou, Matina/G-9009-2015; Omura, Yoshiharu/P-8565-2014; Horne, Richard B/U-3764-2019</t>
  </si>
  <si>
    <t>Reeves, Geoffrey/0000-0002-7985-8098; Spence, Harlan E/0000-0002-2526-2205; Oksavik, Kjellmar/0000-0003-4312-6992; Gkioulidou, Matina/0000-0001-9979-2164; Omura, Yoshiharu/0000-0002-6683-3940; Horne, Richard B/0000-0002-0412-6407; Raita, Tero/0000-0002-0455-5746; Kletzing, Craig/0000-0002-4136-3348</t>
  </si>
  <si>
    <t>NSF [ANT-1142045, PLR-1341493, ANT-1141987, PLR-1341677]; Van Allen Probes mission; NASA [NAS5-01072]; Research Council of Norway [223252, 212014]; Directorate For Geosciences; Office of Polar Programs (OPP) [1341677, 1341493] Funding Source: National Science Foundation; Office of Polar Programs (OPP); Directorate For Geosciences [1142045] Funding Source: National Science Foundation; Natural Environment Research Council [bas0100031] Funding Source: researchfish; NERC [bas0100031] Funding Source: UKRI; Grants-in-Aid for Scientific Research [26287120] Funding Source: KAKEN</t>
  </si>
  <si>
    <t>NSF(National Science Foundation (NSF)); Van Allen Probes mission; NASA(National Aeronautics &amp; Space Administration (NASA)); Research Council of Norway(Research Council of Norway); Directorate For Geosciences; Office of Polar Programs (OPP)(National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</si>
  <si>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research was supported by NSF grants ANT-1142045 and PLR-1341493 to Augsburg College and NSF grants ANT-1141987 and PLR-1341677 to the University of New Hampshire. Work performed by M.J.E. at NASA/GSFC was supported by the Van Allen Probes mission. Van Allen Probes research at the University of Minnesota, University of Iowa, University of New Hampshire, and Los Alamos National Laboratory was supported by NASA prime contract NAS5-01072 to The Johns Hopkins University Applied Physics Laboratory. Work performed by K.O. at the University of Bergen was supported by the Research Council of Norway under contracts 223252 and 212014. We thank David Sibeck, Brian Anderson, Shrikanth Kanekal, Sasha Ukhorskiy, Yuri Shprits, Viacheslav Pilipenko, Finn Soraas, and Barry Mauk for helpful comments The Halley research station in Antarctica is operated by the British Antarctic Survey. We thank R.A. Rakhmatulin for providing Mondy induction magnetometer data, we thank the referees for their helpful comments, and we gratefully acknowledge use of NASA/GSFC's Space Physics Data Facility's OMNIWeb, SSCweb, and CDAWeb data.</t>
  </si>
  <si>
    <t>10.1002/2015JA021227</t>
  </si>
  <si>
    <t>WOS:000360381400018</t>
  </si>
  <si>
    <t>Craig, SE; Thomas, H; Jones, CT; Li, WKW; Greenan, BJW; Shadwick, EH; Burt, WJ</t>
  </si>
  <si>
    <t>Craig, Susanne E.; Thomas, Helmuth; Jones, Chris T.; Li, William K. W.; Greenan, Blair J. W.; Shadwick, Elizabeth H.; Burt, William J.</t>
  </si>
  <si>
    <t>The effect of seasonality in phytoplankton community composition on CO2 uptake on the Scotian Shelf</t>
  </si>
  <si>
    <t>CO2 drawdown; Small phytoplankton; Cell abundance</t>
  </si>
  <si>
    <t>COASTAL OCEAN; SPRING BLOOM; CARBON; NUTRIENT; CHLOROPHYLL; TEMPERATURE; DYNAMICS; NITROGEN; SIZE; PHOTOACCLIMATION</t>
  </si>
  <si>
    <t>We characterise seasonal patterns in phytoplankton community composition on the Scotian Shelf, northwest Atlantic Ocean, through a study of the numerical abundance of different cell sizes - pico-, nano- and microphytoplankton. Cell abundances of each size class were converted to cellular carbon and their seasonal patterns compared with the partial pressure of carbon dioxide (pCO(2)) also measured at the study site. We observed a persistent drawdown of CO2 throughout the summer months, despite nutrient depleted conditions and apparent low biomass suggested by the chlorophyll record. This drawdown was associated with a summertime phytoplankton assemblage numerically dominated by small phytoplankton that reach their peak abundance during this period. It was found that phytoplankton carbon during this period accounted for approximately 10% of spring bloom phytoplankton carbon and pointed to the importance role that small cells play in annual CO2 uptake. (C) 2014 Elsevier B.V. All rights reserved.</t>
  </si>
  <si>
    <t>[Craig, Susanne E.; Thomas, Helmuth; Jones, Chris T.; Burt, William J.] Dalhousie Univ, Dept Oceanog, Halifax, NS B3H 4R2, Canada; [Li, William K. W.; Greenan, Blair J. W.] Bedford Inst Oceanog, Dept Fisheries &amp; Oceans, Dartmouth, NS B2Y 4A2, Canada; [Shadwick, Elizabeth H.] Univ Tasmania, Antarctic Climate &amp; Ecosyst Cooperat Res Ctr, Hobart, Tas, Australia</t>
  </si>
  <si>
    <t>Dalhousie University; Fisheries &amp; Oceans Canada; Bedford Institute of Oceanography; Antarctic Climate &amp; Ecosystems Cooperative Research Centre (ACE CRC); University of Tasmania</t>
  </si>
  <si>
    <t>Craig, SE (corresponding author), Dalhousie Univ, Dept Oceanog, 1355 Oxford St,POB 15000, Halifax, NS B3H 4R2, Canada.</t>
  </si>
  <si>
    <t>susanne.craig@dal.ca</t>
  </si>
  <si>
    <t>Greenan, Blair/JAD-0075-2023</t>
  </si>
  <si>
    <t>Craig, Susanne/0000-0002-8963-0951; Shadwick, Elizabeth/0000-0003-4008-3333</t>
  </si>
  <si>
    <t>Canadian Foundation for Climate and Atmospheric Sciences (CFCAS) [GR-C-01]</t>
  </si>
  <si>
    <t>Canadian Foundation for Climate and Atmospheric Sciences (CFCAS)</t>
  </si>
  <si>
    <t>This work was supported by the Canadian Foundation for Climate and Atmospheric Sciences (CFCAS, grant no. GR-C-01). Data from station HL2 and Bedford Basin were provided by the Department of Fisheries and Oceans (DFO) Canada Atlantic Zone Monitoring Project (AZMP) and Bedford Basin Plankton Monitoring Program respectively. We thank Tim Perry, Carla Caverhill and Heidi Maas of Bedford Institute of Oceanography (BIO) for their assistance in data assembly, and Kevin Pauley (BIO) for guidance on phytoplankton taxonomy. The paper benefitted from the constructive comments of two anonymous referees.</t>
  </si>
  <si>
    <t>10.1016/j.jmarsys.2014.07.006</t>
  </si>
  <si>
    <t>WOS:000356547200007</t>
  </si>
  <si>
    <t>Carneiro, APB; Manica, A; Trivelpiece, WZ; Phillips, RA</t>
  </si>
  <si>
    <t>Carneiro, Ana P. B.; Manica, Andrea; Trivelpiece, Wayne Z.; Phillips, Richard A.</t>
  </si>
  <si>
    <t>Flexibility in foraging strategies of Brown Skuas in response to local and seasonal dietary constraints</t>
  </si>
  <si>
    <t>Activity patterns; Antarctica; Behavior; GPS tracking; Prey availability; Reversed size dimorphism</t>
  </si>
  <si>
    <t>SUB-ANTARCTIC SKUAS; SYMPATRIC SOUTH POLAR; CATHARACTA-MACCORMICKI; ACTIVITY PATTERNS; BREEDING SUCCESS; FEEDING TERRITORIES; HABITAT USE; LONNBERGI; BEHAVIOR; ISLAND</t>
  </si>
  <si>
    <t>The Brown Skua Stercorarius antarcticus lonnbergi is an opportunistic species that displays a high degree of flexibility in foraging tactics. We deployed global positioning system (GPS) and immersion (activity) loggers on breeding Brown Skuas of known sex, body size and condition at Admiralty Bay, King George Island with the aim to examine the impacts of spatial and seasonal fluctuations in prey availability on movement and foraging behavior. We also investigated whether reversed sexual size dimorphism (females larger than males) in this species leads to differences between sexes in foraging behavior and whether this or other factors contribute to variation in breeding success. Analysis of the GPS data highlighted the high degree of plasticity in foraging behavior among individuals. Although most Brown Skuas were flexible in their feeding tactics, this was not enough to ensure a successful breeding season, as few pairs fledged chicks. During early chick rearing, Brown Skuas spent most of their time on land, feeding almost exclusively on penguin chicks. By late chick rearing, when the availability of penguins had diminished, Brown Skuas supplemented the food obtained on land by traveling to the ocean. All foraging trips to sea occurred during daylight, mostly during the early morning. Despite marked sexual size dimorphism, we failed to find any difference in foraging tactics between males and females. Furthermore, although laying date affected the number of chicks hatched (earlier pairs were more successful), no relationship was found between breeding success and male or female body size, condition or degree of dimorphism within pairs.</t>
  </si>
  <si>
    <t>[Carneiro, Ana P. B.; Manica, Andrea] Univ Cambridge, Dept Zool, Cambridge CB2 3EJ, England; [Carneiro, Ana P. B.; Phillips, Richard A.] British Antarctic Survey, Nat Environm Res Council, Cambridge CB3 0ET, England; [Trivelpiece, Wayne Z.] NOAA, Antarctic Ecosyst Res Div, Southwest Fisheries Sci Ctr, La Jolla, CA 92037 USA</t>
  </si>
  <si>
    <t>University of Cambridge; UK Research &amp; Innovation (UKRI); Natural Environment Research Council (NERC); NERC British Antarctic Survey; National Oceanic Atmospheric Admin (NOAA) - USA</t>
  </si>
  <si>
    <t>Carneiro, APB (corresponding author), Univ Cambridge, Dept Zool, Downing St, Cambridge CB2 3EJ, England.</t>
  </si>
  <si>
    <t>ana.bertoldi.carneiro@gmail.com</t>
  </si>
  <si>
    <t>Manica, Andrea/N-9013-2019</t>
  </si>
  <si>
    <t>Manica, Andrea/0000-0003-1895-450X; , Ana/0000-0003-0573-7549</t>
  </si>
  <si>
    <t>US AMLR Program; OPP from National Science Foundation [0739536]; NERC [bas0100035] Funding Source: UKRI; Natural Environment Research Council [bas0100035] Funding Source: researchfish</t>
  </si>
  <si>
    <t>US AMLR Program; OPP from National Science Foundation; NERC(UK Research &amp; Innovation (UKRI)Natural Environment Research Council (NERC)); Natural Environment Research Council(UK Research &amp; Innovation (UKRI)Natural Environment Research Council (NERC))</t>
  </si>
  <si>
    <t>We are grateful to the field team on King George Island (Matt Henschen, Brette Soucie and Caitlyn Bishop) for assisting with device deployments and recoveries, and to Sue Trivelpiece for helping with all logistical preparations. This research was supported by logistical and scientific funding from the US AMLR Program and from OPP grant #0739536 to W. and S. Trivelpiece from the National Science Foundation. This work complies with, and was completed in accordance to, an Antarctic Conservation Act permit, provided by the US National Science Foundation.</t>
  </si>
  <si>
    <t>10.1007/s10336-015-1156-y</t>
  </si>
  <si>
    <t>WOS:000356447100007</t>
  </si>
  <si>
    <t>Watanuki, Y; Yamamoto, T; Yamashita, A; Ishii, C; Ikenaka, Y; Nakayama, SMM; Ishizuka, M; Suzuki, Y; Niizuma, Y; Meathrel, CE; Phillips, RA</t>
  </si>
  <si>
    <t>Watanuki, Yutaka; Yamamoto, Takashi; Yamashita, Ai; Ishii, Chihiro; Ikenaka, Yoshinori; Nakayama, Shouta M. M.; Ishizuka, Mayumi; Suzuki, Yuya; Niizuma, Yasuaki; Meathrel, C. E.; Phillips, R. A.</t>
  </si>
  <si>
    <t>Mercury concentrations in primary feathers reflect pollutant exposure in discrete non-breeding grounds used by Short-tailed Shearwaters</t>
  </si>
  <si>
    <t>Geolocator; Trophic level; Northern North Pacific; Monitoring</t>
  </si>
  <si>
    <t>TRANS-EQUATORIAL MIGRATION; STABLE-ISOTOPE SIGNATURES; CONTAMINANTS; COLONY; SEASON</t>
  </si>
  <si>
    <t>We measured mercury concentrations ([Hg]) and nitrogen stable isotope ratios (delta N-15) in the primary feathers of Short-tailed Shearwaters (Puffinus tenuirostris) that were tracked year-round. The [Hg] were highest in 14 birds that used the Okhotsk and northern Japan Seas during the non-breeding period (2.5 +/- A 1.4 mu g/g), lowest in nine birds that used the eastern Bering Sea (0.8 +/- A 0.2 mu g/g), and intermediate in five birds that used both regions (1.0 +/- A 0.5 mu g/g), with no effects of delta N-15. The results illustrate that samples from seabirds can provide a useful means of monitoring pollution at a large spatial scale.</t>
  </si>
  <si>
    <t>[Watanuki, Yutaka; Yamamoto, Takashi; Yamashita, Ai; Suzuki, Yuya] Hokkaido Univ, Grad Sch Fisheries Sci, Hakodate, Hokkaido 0418611, Japan; [Yamamoto, Takashi] Natl Inst Polar Res, Arctic Environm Res Ctr, Tachikawa, Tokyo 1908518, Japan; [Ishii, Chihiro; Ikenaka, Yoshinori; Nakayama, Shouta M. M.; Ishizuka, Mayumi] Hokkaido Univ, Grad Sch Vet Med, Sapporo, Hokkaido 0600818, Japan; [Niizuma, Yasuaki] Meijyo Univ, Fac Agr, Tenpaku Ku, Nagoya, Aichi 4688502, Japan; [Meathrel, C. E.] La Trobe Univ, Wodonga, Vic 3086, Australia; [Phillips, R. A.] British Antarctic Survey, Nat Environm Res Council, Cambridge CB3 0ET, England</t>
  </si>
  <si>
    <t>Hokkaido University; Research Organization of Information &amp; Systems (ROIS); National Institute of Polar Research (NIPR) - Japan; Hokkaido University; Meijo University; La Trobe University; UK Research &amp; Innovation (UKRI); Natural Environment Research Council (NERC); NERC British Antarctic Survey</t>
  </si>
  <si>
    <t>Watanuki, Y (corresponding author), Hokkaido Univ, Grad Sch Fisheries Sci, Minato Cho 3-1-1, Hakodate, Hokkaido 0418611, Japan.</t>
  </si>
  <si>
    <t>ywata@fish.hokudai.ac.jp</t>
  </si>
  <si>
    <t>IKENAKA, Yoshinori/F-8529-2012</t>
  </si>
  <si>
    <t>Ikenaka, Yoshinori/0000-0002-6633-6637</t>
  </si>
  <si>
    <t>La Trobe University Animal Ethics Project AEC [10/32 (W)]; JSPS [20241001, 22405007]; GRENE; NERC [bas0100035] Funding Source: UKRI; Natural Environment Research Council [bas0100035] Funding Source: researchfish; Grants-in-Aid for Scientific Research [22405007, 26304043, 15H02825, 26550052, 24405004, 20241001] Funding Source: KAKEN</t>
  </si>
  <si>
    <t>La Trobe University Animal Ethics Project AEC; JSPS(Ministry of Education, Culture, Sports, Science and Technology, Japan (MEXT)Japan Society for the Promotion of Science); GRENE;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</si>
  <si>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thank R. Bruce, B. Nishizawa, and A. Ito for field assistance, and L. Hardy for recovering geolocator from a beached bird. Research was carried out under La Trobe University Animal Ethics Project AEC 10/32 (W) and Tasmanian Department of Primary Industries Permits to Take Wildlife for Scientific Purpose FA10161 and FA11212 held by CE Meathrel. The study was supported by JSPS (#20241001, #22405007) and the GRENE project.</t>
  </si>
  <si>
    <t>10.1007/s10336-015-1205-6</t>
  </si>
  <si>
    <t>WOS:000356447100029</t>
  </si>
  <si>
    <t>Kraft, A; Graeve, M; Janssen, D; Greenacre, M; Falk-Petersen, S</t>
  </si>
  <si>
    <t>Kraft, Angelina; Graeve, Martin; Janssen, Dieter; Greenacre, Michael; Falk-Petersen, Stig</t>
  </si>
  <si>
    <t>Arctic pelagic amphipods: lipid dynamics and life strategy</t>
  </si>
  <si>
    <t>pelagic amphipods; trophic relationships; lipids; fatty acids; polar night</t>
  </si>
  <si>
    <t>FATTY-ACID-COMPOSITION; MARGINAL ICE-ZONE; WAX ESTERS; THEMISTO-LIBELLULA; TROPHIC RELATIONSHIPS; HERBIVOROUS COPEPODS; CALANUS-GLACIALIS; ANTARCTIC KRILL; BARENTS SEA; FOOD-WEB</t>
  </si>
  <si>
    <t>Polar regions are characterized by a strong seasonality in primary production and distinct fluctuations in food supply. The storage of energy in the form of lipids is expected to follow a seasonal pattern; however, year-round observations are lacking. The seasonal variations of lipid classes and fatty acid compositions of four pelagic amphipods have been investigated. Individuals were collected at various depths during summer and winter expeditions to the Fram Strait and Svalbard archipelago (78 degrees-81 degrees N). Our results show a year-round dominance of wax esters and triacylglycerols over phospholipids for Themisto abyssorum, Themisto libellula, Themisto compressa and Cyclocaris guilelmi. High levels of the Calanus-marker fatty acids 20:1 and 22:1 (both isomers) during summer and winter indicated that all four species are part of the Calanus-based food web. Specific fatty acid trophic markers for diatoms and flagellates indicated that the lipid-based energy transfer could be traced back to the respective algal sources. We found a distinct difference between animals collected from very deep and shallow waters, which indicates that the lipid reservoir of these amphipods and their biochemical modifications seem to buffer seasonal variations in available prey and to allow an active, predatory life-style year-round in Arctic waters.</t>
  </si>
  <si>
    <t>[Kraft, Angelina; Graeve, Martin; Janssen, Dieter] Helmholtz Ctr Polar &amp; Marine Res, Alfred Wegener Inst, D-27570 Bremerhaven, Germany; [Greenacre, Michael; Falk-Petersen, Stig] Akvaplan Niva, N-9296 Tromso, Norway; [Greenacre, Michael] Univ Pompeu Fabra, Dept Econ &amp; Empresa, Barcelona 08005, Spain; [Greenacre, Michael] Barcelona Grad Sch Econ, Barcelona 08005, Spain; [Falk-Petersen, Stig] Uit Arctic Univ Norway, Fac Biosci Fisheries &amp; Econ, Dept Arctic &amp; Marine Biol, N-9037 Tromso, Norway</t>
  </si>
  <si>
    <t>Helmholtz Association; Alfred Wegener Institute, Helmholtz Centre for Polar &amp; Marine Research; Akvaplan-niva; Pompeu Fabra University; UiT The Arctic University of Tromso</t>
  </si>
  <si>
    <t>Graeve, M (corresponding author), Helmholtz Ctr Polar &amp; Marine Res, Alfred Wegener Inst, Handelshafen 12, D-27570 Bremerhaven, Germany.</t>
  </si>
  <si>
    <t>martin.graeve@awi.de</t>
  </si>
  <si>
    <t>Greenacre, Michael J/D-7401-2013; Graeve, Martin/B-5751-2017; Kraft, Angelina/E-5011-2016</t>
  </si>
  <si>
    <t>Graeve, Martin/0000-0002-2294-1915; Kraft, Angelina/0000-0002-6454-335X</t>
  </si>
  <si>
    <t>AWI, Bremerhaven; German Federal Ministry of Education and Research [03F0629A]; Norwegian Research Council [226417, 214271]; Spanish Ministry of Economy and Competitiveness [MTM2012-37195]</t>
  </si>
  <si>
    <t>AWI, Bremerhaven; German Federal Ministry of Education and Research(Federal Ministry of Education &amp; Research (BMBF)); Norwegian Research Council(Research Council of Norway); Spanish Ministry of Economy and Competitiveness(Spanish Government)</t>
  </si>
  <si>
    <t>This work was financed by institutional funds of the AWI, Bremerhaven, by the German Federal Ministry of Education and Research (project: 03F0629A) and by the Norwegian Research Council through the projects Marine Night (226417) and Circa (214271), see www.mare-incognitum.no. Michael Greenacre's research is partially supported by grant MTM2012-37195 of the Spanish Ministry of Economy and Competitiveness.</t>
  </si>
  <si>
    <t>10.1093/plankt/fbv052</t>
  </si>
  <si>
    <t>WOS:000359646700013</t>
  </si>
  <si>
    <t>Mayewski, PA; Bracegirdle, T; Goodwin, I; Schneider, D; Bertler, NAN; Birkel, S; Carleton, A; England, MH; Kang, JH; Khan, A; Russell, J; Turner, J; Velicogna, I</t>
  </si>
  <si>
    <t>Mayewski, P. A.; Bracegirdle, T.; Goodwin, I.; Schneider, D.; Bertler, N. A. N.; Birkel, S.; Carleton, A.; England, M. H.; Kang, J-H.; Khan, A.; Russell, J.; Turner, J.; Velicogna, I.</t>
  </si>
  <si>
    <t>Potential for Southern Hemisphere climate surprises</t>
  </si>
  <si>
    <t>JOURNAL OF QUATERNARY SCIENCE</t>
  </si>
  <si>
    <t>Antarctica; climate modeling; paleoclimate; Southern Hemisphere climate; westerlies</t>
  </si>
  <si>
    <t>WEST ANTARCTICA; NEW-ZEALAND; SEA-LEVEL; VARIABILITY; CIRCULATION; FREQUENCY; RETREAT; WINDS; CO2</t>
  </si>
  <si>
    <t>Climate model results suggest that future climate change in Antarctica will be accompanied by continued strengthening and poleward contraction of the Southern Ocean westerly wind belt. Paleoclimate records suggest past changes in the westerly winds can be abrupt and that healing of the Antarctic ozone hole could lead to poleward contraction of the westerlies and increased meridional atmospheric transport of warm air regionally into Antarctica. An abrupt shift to more meridional circulation could lead to notable changes in moisture availability for extra-Antarctic regions, increased Antarctic ice sheet disintegration and more rapid sea-level rise. Copyright (C) 2015 The Authors. Journal of Quaternary Science Published by John Wiley &amp; Sons, Ltd.</t>
  </si>
  <si>
    <t>[Mayewski, P. A.; Birkel, S.] Univ Maine, Climate Change Inst, Orono, ME 04469 USA; [Bracegirdle, T.; Turner, J.] British Antarctic Survey, Cambridge CB3 0ET, England; [Goodwin, I.] Macquarie Univ, Climate Futures, N Ryde, NSW 2109, Australia; [Goodwin, I.] Macquarie Univ, Dept Environm Sci, N Ryde, NSW 2109, Australia; [Schneider, D.] Natl Ctr Atmospher Res, Boulder, CO 80307 USA; [Bertler, N. A. N.] Victoria Univ Wellington, Joint Antarctic Res Inst, Wellington, New Zealand; [Bertler, N. A. N.] GNS Sci, Wellington, New Zealand; [Carleton, A.] Penn State Univ, Dept Geog, University Pk, PA 16802 USA; [Carleton, A.] Penn State Univ, Earth &amp; Environm Syst Inst, University Pk, PA 16802 USA; [England, M. H.] Univ New S Wales, Climate Change Res Ctr, Sydney, NSW 2052, Australia; [Kang, J-H.] Korea Polar Res Inst, Div Polar Climate Change Sci, Inchon, South Korea; [Khan, A.] Univ Colorado, Inst Arctic &amp; Alpine Res, Boulder, CO 80309 USA; [Russell, J.] Univ Arizona, Dept Geosci, Tucson, AZ 85721 USA; [Velicogna, I.] Univ Calif Irvine, Pasadena, CA USA; [Velicogna, I.] CALTECH, Jet Prop Lab, Pasadena, CA USA</t>
  </si>
  <si>
    <t>University of Maine System; University of Maine Orono; UK Research &amp; Innovation (UKRI); Natural Environment Research Council (NERC); NERC British Antarctic Survey; Macquarie University; Macquarie University; National Center Atmospheric Research (NCAR) - USA; Victoria University Wellington; GNS Science - New Zealand;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New South Wales Sydney; Korea Polar Research Institute (KOPRI); Korea Institute of Ocean Science &amp; Technology (KIOST); University of Colorado System; University of Colorado Boulder; University of Arizona; University of California System; University of California Irvine; California Institute of Technology; National Aeronautics &amp; Space Administration (NASA); NASA Jet Propulsion Laboratory (JPL)</t>
  </si>
  <si>
    <t>Mayewski, PA (corresponding author), Univ Maine, Climate Change Inst, Orono, ME 04469 USA.</t>
  </si>
  <si>
    <t>paul.mayewski@maine.edu</t>
  </si>
  <si>
    <t>Birkel, Sean/W-2504-2019; Bracegirdle, Tom/AAD-6060-2020; England, Matthew/A-7539-2011; Bertler, Nancy A N/F-3967-2011; Mayewski, Paul Andrew/HRD-6969-2023; Velicogna, Isabella/R-5561-2018; Schneider, David/E-2726-2010</t>
  </si>
  <si>
    <t>England, Matthew/0000-0001-9696-2930; Turner, John/0000-0002-6111-5122; Goodwin, Ian/0000-0001-8682-6409; Velicogna, Isabella/0000-0002-9020-1898; Bertler, Nancy/0000-0001-6028-4891; Schneider, David/0000-0001-5308-1834; Russell, Joellen/0000-0001-9937-6056; Bracegirdle, Thomas/0000-0002-8868-4739; Khan, Alia/0000-0002-4425-1528</t>
  </si>
  <si>
    <t>SCAR; US NSF [1042883]; NERC [bas0100032] Funding Source: UKRI; Natural Environment Research Council [bas0100032] Funding Source: researchfish; Directorate For Geosciences; Office of Polar Programs (OPP) [1042883, 1203640] Funding Source: National Science Foundation; Office of Polar Programs (OPP); Directorate For Geosciences [1107421] Funding Source: National Science Foundation</t>
  </si>
  <si>
    <t>SCAR; US NSF(National Science Foundation (NSF));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</si>
  <si>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Support for the preparation of this report came from SCAR and US NSF (1042883).</t>
  </si>
  <si>
    <t>0267-8179</t>
  </si>
  <si>
    <t>1099-1417</t>
  </si>
  <si>
    <t>J QUATERNARY SCI</t>
  </si>
  <si>
    <t>J. Quat. Sci.</t>
  </si>
  <si>
    <t>10.1002/jqs.2794</t>
  </si>
  <si>
    <t>CN0NZ</t>
  </si>
  <si>
    <t>WOS:000358111900001</t>
  </si>
  <si>
    <t>Saunders, KM; Hodgson, DA; Mcmurtrie, S; Grosjean, M</t>
  </si>
  <si>
    <t>Saunders, Krystyna M.; Hodgson, Dominic A.; Mcmurtrie, Shelley; Grosjean, Martin</t>
  </si>
  <si>
    <t>A diatom-conductivity transfer function for reconstructing past changes in the Southern Hemisphere westerly winds over the Southern Ocean</t>
  </si>
  <si>
    <t>Campbell Island; diatom transfer function; Southern Hemisphere; sub-Antarctic; westerly winds</t>
  </si>
  <si>
    <t>MACQUARIE-ISLAND LAKES; LAST GLACIAL MAXIMUM; FRESH-WATER DIATOMS; HOLOCENE VEGETATION; VESTFOLD HILLS; ENVIRONMENTAL-CHANGES; SALINE LAKES; CLIMATE; ASSEMBLAGES; COMMUNITIES</t>
  </si>
  <si>
    <t>Sub-Antarctic islands are ideally placed to reconstruct past changes in Southern Hemisphere westerly wind behaviour. They lie within their core belt (50-60 degrees S) and the strong winds deliver sea salt ions to the islands resulting in a west to east conductivity gradient in their water bodies. This means that the stronger (or weaker) the winds, the higher (or lower) the conductivity values measured in the water bodies. A survey of the water chemistry and diatom assemblages of lakes and ponds on sub-Antarctic Campbell Island (52 degrees 32'S, 169 degrees 8'E) revealed that, similar to other sub-Antarctic islands, conductivity was the most important, statistically significant ecological variable explaining turnover in diatom community structure. Based on this, a diatom-conductivity transfer function was developed (simple weighted averaging with inverse deshrinking: R-2=0.86, R-jack(2)=0.66, RMSEP=0.25 log(10) mu S cm(-1)). This transfer function will be applied to lake sediment cores from the western edge of the Campbell Island plateau to reconstruct past conductivity/sea spray and therefore directly reconstruct changes in Southern Hemisphere westerly wind strength within their core belt. Copyright (C) 2015 John Wiley &amp; Sons, Ltd.</t>
  </si>
  <si>
    <t>[Saunders, Krystyna M.; Grosjean, Martin] Univ Bern, Inst Geog, Bern, Switzerland; [Saunders, Krystyna M.; Grosjean, Martin] Univ Bern, Oeschger Ctr Climate Change Res, Bern, Switzerland; [Hodgson, Dominic A.] British Antarctic Survey, Cambridge CB3 0ET, England; [Mcmurtrie, Shelley] EOS Ecol, Christchurch, New Zealand</t>
  </si>
  <si>
    <t>University of Bern; University of Bern; UK Research &amp; Innovation (UKRI); Natural Environment Research Council (NERC); NERC British Antarctic Survey</t>
  </si>
  <si>
    <t>Saunders, KM (corresponding author), Univ Bern, Inst Geog, Bern, Switzerland.</t>
  </si>
  <si>
    <t>krystyna.saunders@giub.unibe.ch</t>
  </si>
  <si>
    <t>Saunders, Krystyna/G-1368-2019</t>
  </si>
  <si>
    <t>Saunders, Krystyna/0000-0002-6800-2630</t>
  </si>
  <si>
    <t>Swiss National Science Foundation Ambizione post-doctoral research fellowship [PZ00P2_136835]; 50degrees South Trust; Natural Environment Research Council [bas0100030, NE/K004514/1] Funding Source: researchfish; Swiss National Science Foundation (SNF) [PZ00P2_136835] Funding Source: Swiss National Science Foundation (SNF); NERC [bas0100030, NE/K004514/1] Funding Source: UKRI</t>
  </si>
  <si>
    <t>Swiss National Science Foundation Ambizione post-doctoral research fellowship; 50degrees South Trust; Natural Environment Research Council(UK Research &amp; Innovation (UKRI)Natural Environment Research Council (NERC)); Swiss National Science Foundation (SNF)(Swiss National Science Foundation (SNSF)); NERC(UK Research &amp; Innovation (UKRI)Natural Environment Research Council (NERC))</t>
  </si>
  <si>
    <t>This study was funded by a Swiss National Science Foundation Ambizione post-doctoral research fellowship (PZ00P2_136835), awarded to K.M.S. The field programme formed part of the 2010-2011 Campbell Island Bicentennial Expedition (CIBE) (www.campbellisland.org.nz), funded by the 50 degrees South Trust (www.50south.org.nz). Special thanks are extended to the members of the CIBE for their field assistance, in particular jo Hiscock and Carla Meurck, and Kirsty Brennan (EOS Ecology) for creating the map of Campbell Island (Fig. 1) and calculating the altitudes and distances from the west coast to the sites. We thank E. Verleyen and an anonymous reviewer for their valuable comments and suggestions on a previous version of the manuscript. We also thank the Department of Conservation, New Zealand, for permits to undertake the fieldwork, and Hill Laboratories (New Zealand) for undertaking the extensive water chemistry tests. This paper contributes to the Southern Hemisphere Assessment of PalaeoEnvironments (SHAPE) working group, and PAGES AUS 2k.</t>
  </si>
  <si>
    <t>10.1002/jqs.2788</t>
  </si>
  <si>
    <t>WOS:000358111900006</t>
  </si>
  <si>
    <t>Zell, P; Crame, JA; Stinnesbeck, W; Beckmann, S</t>
  </si>
  <si>
    <t>Zell, Patrick; Crame, J. Alistair; Stinnesbeck, Wolfgang; Beckmann, Seija</t>
  </si>
  <si>
    <t>The bivalve Anopaea (Inoceramidae) from the Upper Jurassic-lowermost Cretaceous of Mexico</t>
  </si>
  <si>
    <t>JOURNAL OF SOUTH AMERICAN EARTH SCIENCES</t>
  </si>
  <si>
    <t>Anopaea; Late Jurassic; earliest Cretaceous; La Caja/La Pimienta formations; Palaeobiogeography</t>
  </si>
  <si>
    <t>PALEOGEOGRAPHIC EVOLUTION; NORTHEASTERN MEXICO; PENINSULA; BOUNDARY; COAHUILA; MEMBER; SIERRA; BASIN</t>
  </si>
  <si>
    <t>In Mexico, the Upper Jurassic to lowermost Cretaceous La Casita and coeval La Caja and La Pimienta formations are well-known for their abundant and well-preserved marine vertebrates and invertebrates. The latter include conspicuous inoceramid bivalves of the genus Anopaea not formally described previously from Mexico. Anopaea bassei (Lecolle de Cantu, 1967), Anopaea cf. stoliczkai (Holdhaus, 1913), Anopaea cf. callistoensis Crame and Kelly, 1995 and Anopaea sp. are rare constituents in distinctive Tithonian-lower Berriasian levels of the La Caja Formation and one Tithonian horizon of the La Pimienta Formation. Anopaea bassei was previously documented from the Tithonian of central Mexico and Cuba, while most other members of Anopaea described here are only known from southern high latitudes. The Mexican assemblage also includes taxa which closely resemble Anopaea stoliczkai from the Tithonian of India, Indonesia and the Antarctic Peninsula, and Anopaea callistoensis from the late Tithonian to ?early Berriasian of the Antarctic Peninsula. Our new data expand the palaeogeographical distribution of the high latitude Anopaea to the Gulf of Mexico region and substantiate faunal exchange, in the late Jurassic-earliest Cretaceous, between Mexico and the Antarctic Realm. (C) 2015 Elsevier Ltd. All rights reserved.</t>
  </si>
  <si>
    <t>[Zell, Patrick; Stinnesbeck, Wolfgang; Beckmann, Seija] Heidelberg Univ, Inst Earth Sci, D-69120 Heidelberg, Germany; [Crame, J. Alistair] British Antarctic Survey, Cambridge CB3 0ET, England</t>
  </si>
  <si>
    <t>Ruprecht Karls University Heidelberg; UK Research &amp; Innovation (UKRI); Natural Environment Research Council (NERC); NERC British Antarctic Survey</t>
  </si>
  <si>
    <t>Zell, P (corresponding author), Heidelberg Univ, Inst Earth Sci, Neuenheimer Feld 234, D-69120 Heidelberg, Germany.</t>
  </si>
  <si>
    <t>Patrick.Zell@geow.uni-heidelberg.de</t>
  </si>
  <si>
    <t>Deutsche Forschungsgemeinschaft [DFG STI 128-17]; NERC Polar Science for Planet Earth Programme; Heidelberg University Graduate Academy [LGFG 2012-9]; NERC [bas0100026] Funding Source: UKRI; Natural Environment Research Council [bas0100026] Funding Source: researchfish</t>
  </si>
  <si>
    <t>Deutsche Forschungsgemeinschaft(German Research Foundation (DFG)); NERC Polar Science for Planet Earth Programme; Heidelberg University Graduate Academy; NERC(UK Research &amp; Innovation (UKRI)Natural Environment Research Council (NERC)); Natural Environment Research Council(UK Research &amp; Innovation (UKRI)Natural Environment Research Council (NERC))</t>
  </si>
  <si>
    <t>We gratefully acknowledge careful evaluations of this manuscript by two anonymous reviewers. Financial support for this research was provided by the Deutsche Forschungsgemeinschaft (DFG STI 128-17; to W.S.), by the NERC Polar Science for Planet Earth Programme (to J.A.C.), and by the Heidelberg University Graduate Academy (LGFG 2012-9; to P.Z.).</t>
  </si>
  <si>
    <t>0895-9811</t>
  </si>
  <si>
    <t>J S AM EARTH SCI</t>
  </si>
  <si>
    <t>J. South Am. Earth Sci.</t>
  </si>
  <si>
    <t>10.1016/j.jsames.2015.03.004</t>
  </si>
  <si>
    <t>CJ3BN</t>
  </si>
  <si>
    <t>WOS:000355358500008</t>
  </si>
  <si>
    <t>Nelson, M; Gray, K; Allen, JP</t>
  </si>
  <si>
    <t>Nelson, Mark; Gray, Kathelin; Allen, John P.</t>
  </si>
  <si>
    <t>Group dynamics challenges: Insights from Biosphere2 experiments</t>
  </si>
  <si>
    <t>LIFE SCIENCES IN SPACE RESEARCH</t>
  </si>
  <si>
    <t>Group dynamics; Biosphere2; Isolated confined extreme environment; (ICE); W.R. Bion; Us-them; Stress; Adaptation; Space life support; Closed ecological system; CELSS; Space psychology</t>
  </si>
  <si>
    <t>Successfully managing group dynamics of small, physically isolated groups is vital for long duration space exploration/ habitation and for terrestrial CELSS (Controlled Environmental Life Support System) facilities with human participants. Biosphere2 had important differences and shares some key commonalities with both Antarctic and space environments. There were a multitude of stress factors during the first two year closure experiment as well as mitigating factors. A helpful tool used at Biosphere2 was the work of W.R. Bion who identified two competing modalities of behavior in small groups. Task-oriented groups are governed by conscious acceptance of goals, reality-thinking in relation to time and resources, and intelligent management of challenges. The opposing unconscious mode, the basic-assumption (group animal) group, manifests through Dependency/Kill the Leader, Fight/Flight and Pairing. These unconscious dynamics undermine and can defeat the task group's goal. The biospherians experienced some dynamics seen in other isolated teams: factions developing reflecting personal chemistry and disagreements on overall mission procedures. These conflicts were exacerbated by external power struggles which enlisted support of those inside. Nevertheless, the crew evolved a coherent, creative life style to deal with some of the deprivations of isolation. The experience of the first two year closure of Biosphere2 vividly illustrates both vicissitudes and management of group dynamics. The crew overrode inevitable frictions to creatively manage both operational and research demands and opportunities of the facility, thus staying 'on task' in Bion's group dynamics terminology. The understanding that Biosphere2 was their life support system may also have helped the mission to succeed. Insights from the Biosphere2 experience can help space and remote missions cope successfully with the inherent challenges of small, isolated crews. (C) 2015 The Committee on Space Research (COSPAR). Published by Elsevier Ltd. All rights reserved.</t>
  </si>
  <si>
    <t>[Nelson, Mark; Gray, Kathelin; Allen, John P.] Inst Ecotech, London, England; [Nelson, Mark; Gray, Kathelin; Allen, John P.] Inst Ecotech, Santa Fe, NM 87508 USA; [Nelson, Mark; Gray, Kathelin; Allen, John P.] Global Ecotech Corp, Biospher Design Div, Santa Fe, NM USA</t>
  </si>
  <si>
    <t>Nelson, M (corresponding author), Inst Ecotech, Santa Fe, NM 87508 USA.</t>
  </si>
  <si>
    <t>nelson@biospheres.com</t>
  </si>
  <si>
    <t>Nelson, Mark/AAJ-4837-2020</t>
  </si>
  <si>
    <t>2214-5524</t>
  </si>
  <si>
    <t>2214-5532</t>
  </si>
  <si>
    <t>LIFE SCI SPACE RES</t>
  </si>
  <si>
    <t>Life Sci. Space Res.</t>
  </si>
  <si>
    <t>10.1016/j.lssr.2015.07.003</t>
  </si>
  <si>
    <t>Astronomy &amp; Astrophysics; Biology; Multidisciplinary Sciences</t>
  </si>
  <si>
    <t>Astronomy &amp; Astrophysics; Life Sciences &amp; Biomedicine - Other Topics; Science &amp; Technology - Other Topics</t>
  </si>
  <si>
    <t>V3U0E</t>
  </si>
  <si>
    <t>WOS:000218585900012</t>
  </si>
  <si>
    <t>Berlincourt, M; Arnould, JPY</t>
  </si>
  <si>
    <t>Berlincourt, Maud; Arnould, John P. Y.</t>
  </si>
  <si>
    <t>Influence of environmental conditions on foraging behaviour and its consequences on reproductive performance in little penguins</t>
  </si>
  <si>
    <t>SEA-SURFACE TEMPERATURES; SOUTH-EASTERN AUSTRALIA; ANTARCTIC FUR SEALS; EUDYPTULA-MINOR; BASS STRAIT; SPATIAL-DISTRIBUTION; ADELIE PENGUINS; DIVING BEHAVIOR; PHILLIP-ISLAND; CLIMATE-CHANGE</t>
  </si>
  <si>
    <t>During the breeding season, seabirds are central place foragers and have to adapt their foraging behaviour in response to environmental variation to maximize efficiency and reproductive output. Due to its small size and swimming mode of transport, the little penguin (Eudyptula minor) is expected to be greatly susceptible to such fluctuations. The links between local-, meso- and macro-scale environmental conditions and inter-annual variation in foraging behaviour and reproductive performance of little penguins were investigated during three consecutive breeding seasons at two colonies in south-eastern Australia marked by contrasting oceanographic conditions. At a local scale, foraging effort was correlated positively with wind direction and negatively with wave height. At a regional scale, foraging effort of individuals from both colonies was negatively correlated with higher sea surface temperature (SST) off the Bonney Coast in the previous Austral summer, suggesting a weaker Bonney Upwelling event and a cascade of effects throughout the Bass Strait region. At a larger scale, the El Nio Southern Oscillation was also found to correlate with foraging behaviour, with lower foraging effort being observed during La Nia event. Although individuals increased their foraging effort during years with poorer conditions, they were not able to maintain high breeding success. In addition, peak egg-laying was found to coincide with a decrease in local SST and a peak of sea surface chlorophyll-a concentration. In conclusion, these results highlight how different environmental conditions could influence foraging behaviour and ultimately reproductive success of little penguins. It also showed that under certain circumstances, these individual strategies were not sufficient to cope with environmental variability.</t>
  </si>
  <si>
    <t>[Berlincourt, Maud; Arnould, John P. Y.] Deakin Univ, Sch Life &amp; Environm Sci, Burwood, Vic 3125, Australia</t>
  </si>
  <si>
    <t>Deakin University</t>
  </si>
  <si>
    <t>Berlincourt, M (corresponding author), Deakin Univ, Sch Life &amp; Environm Sci, Burwood, Vic 3125, Australia.</t>
  </si>
  <si>
    <t>mberlinc@deakin.edu.au</t>
  </si>
  <si>
    <t>Holsworth Wildlife Research Endowment; Birds Australia; M.A. Ingram Trust</t>
  </si>
  <si>
    <t>The study was conducted under Deakin University Animal Ethics Committee approval and Department of Sustainability and Environment (Victoria) Permit No. 10005531. We are grateful for the assistance of the many fieldworkers (E.C.M. Camprasse in particular) involved in the study and warmly thank Parks Victoria for the logistical support provided at both Port Campbell National Park and Gabo Island Lighthouse Reserve (especially Leo Op Den Brouw and Geoff Sharpe). This project was supported financially by research grants from the Holsworth Wildlife Research Endowment, Birds Australia and M.A. Ingram Trust. We acknowledge A.M. Dujon for his valuable comments and suggestions on data analysis.</t>
  </si>
  <si>
    <t>10.1007/s00227-015-2685-x</t>
  </si>
  <si>
    <t>CM0BU</t>
  </si>
  <si>
    <t>WOS:000357344000009</t>
  </si>
  <si>
    <t>McKie-Krisberg, ZM; Gast, RJ; Sanders, RW</t>
  </si>
  <si>
    <t>McKie-Krisberg, Zaid M.; Gast, Rebecca J.; Sanders, Robert W.</t>
  </si>
  <si>
    <t>Physiological Responses of Three Species of Antarctic Mixotrophic Phytoflagellates to Changes in Light and Dissolved Nutrients</t>
  </si>
  <si>
    <t>Geminigera; Pyramimonas; Mantoniella; Cryptophytes; Prasinophytes; Bacterivory</t>
  </si>
  <si>
    <t>ROSS SEA; PHYTOPLANKTON; PROTISTS; PHOTOSYNTHESIS; CRYPTOMONAS; PHAGOTROPHY; BACTERIVORY; BACTERIOPLANKTON; CRYPTOPHYTES; NANOPLANKTON</t>
  </si>
  <si>
    <t>Antarctic phototrophs are challenged by extreme temperatures, ice cover, nutrient limitation, and prolonged periods of darkness. Yet this environment may also provide niche opportunities for phytoplankton utilizing alternative nutritional modes. Mixotrophy, the combination of photosynthesis and particle ingestion, has been proposed as a mechanism for some phytoplankton to contend with the adverse conditions of the Antarctic. We conducted feeding experiments using fluorescent bacteria-sized tracers to compare the effects of light and nutrients on bacterivory rates in three Antarctic marine photosynthetic nanoflagellates representing two evolutionary lineages: Cryptophyceae (Geminigera cryophila) and Prasinophyceae (Pyramimonas tychotreta and Mantoniella antarctica). Only G. cryophila had previously been identified as mixotrophic. We also measured photoautotrophic abilities over a range of light intensities (P vs. I) and used dark survival experiments to assess cell population dynamics in the absence of light. Feeding behavior in these three nanoflagellates was affected by either light, nutrient levels, or a combination of both factors in a species-specific manner that was not conserved by evolutionary lineage. The different responses to environmental factors by these mixotrophs supported the idea of tradeoffs in the use of phagotrophy and phototrophy for growth.</t>
  </si>
  <si>
    <t>[McKie-Krisberg, Zaid M.; Sanders, Robert W.] Temple Univ, Dept Biol, Philadelphia, PA 19122 USA; [Gast, Rebecca J.] Woods Hole Oceanog Inst, Woods Hole, MA 02543 USA</t>
  </si>
  <si>
    <t>Pennsylvania Commonwealth System of Higher Education (PCSHE); Temple University; Woods Hole Oceanographic Institution</t>
  </si>
  <si>
    <t>McKie-Krisberg, ZM (corresponding author), Temple Univ, Dept Biol, 1900 N 12th St, Philadelphia, PA 19122 USA.</t>
  </si>
  <si>
    <t>zaid.krisberg@temple.edu</t>
  </si>
  <si>
    <t>Sanders, Robert W./C-1116-2011</t>
  </si>
  <si>
    <t>Sanders, Robert W./0000-0001-7264-1059; Gast, Rebecca J/0000-0003-3875-3975; McKie-Krisberg, Zaid/0000-0002-8437-0011</t>
  </si>
  <si>
    <t>National Science Foundation [OPP-0838847, OPP-0838955]</t>
  </si>
  <si>
    <t>This work was supported by the National Science Foundation Grants OPP-0838847 (RWS) and OPP-0838955 (RJG). Any opinions, findings, and conclusions or recommendations expressed in this material are those of the authors and do not necessarily reflect the views of the National Science Foundation.</t>
  </si>
  <si>
    <t>10.1007/s00248-014-0543-x</t>
  </si>
  <si>
    <t>CJ7RC</t>
  </si>
  <si>
    <t>WOS:000355694900003</t>
  </si>
  <si>
    <t>Conway, TM; Wolff, EW; Röthlisberger, R; Mulvaney, R; Elderfield, HE</t>
  </si>
  <si>
    <t>Conway, T. M.; Wolff, E. W.; Roethlisberger, R.; Mulvaney, R.; Elderfield, H. E.</t>
  </si>
  <si>
    <t>Constraints on soluble aerosol iron flux to the Southern Ocean at the Last Glacial Maximum</t>
  </si>
  <si>
    <t>ICE-CORE; DOME-C; ATMOSPHERIC CO2; ANTARCTICA ICE; POLAR ICE; DUST; CLIMATE; EPICA; SEA; TRANSITION</t>
  </si>
  <si>
    <t>Relief of iron (Fe) limitation in the Southern Ocean during ice ages, with potentially increased carbon storage in the ocean, has been invoked as one driver of glacial-interglacial atmospheric CO2 cycles. Ice and marine sediment records demonstrate that atmospheric dust supply to the oceans increased by up to an order of magnitude during glacial intervals. However, poor constraints on soluble atmospheric Fe fluxes to the oceans limit assessment of the role of Fe in glacial-interglacial change. Here, using novel techniques, we present estimates of water-and seawater-soluble Fe solubility in Last Glacial Maximum (LGM) atmospheric dust from the European Project for Ice Coring in Antarctica (EPICA) Dome C and Berkner Island ice cores. Fe solubility was very variable (1-42%) during the interval, and frequently higher than typically assumed by models. Soluble aerosol Fe fluxes to Dome C at the LGM (0.01-0.84 mg m(-2) per year) suggest that soluble Fe deposition to the Southern Ocean would have been &gt;= 10 x modern deposition, rivalling upwelling supply.</t>
  </si>
  <si>
    <t>[Conway, T. M.; Wolff, E. W.; Elderfield, H. E.] Univ Cambridge, Dept Earth Sci, Cambridge CB2 3EQ, England; [Conway, T. M.; Wolff, E. W.; Roethlisberger, R.; Mulvaney, R.] British Antarctic Survey, Cambridge CB3 0ET, England</t>
  </si>
  <si>
    <t>University of Cambridge; UK Research &amp; Innovation (UKRI); Natural Environment Research Council (NERC); NERC British Antarctic Survey</t>
  </si>
  <si>
    <t>Conway, TM (corresponding author), ETH, Dept Earth Sci, Inst Geochem &amp; Petrol, CH-8092 Zurich, Switzerland.</t>
  </si>
  <si>
    <t>conway.tm@gmail.com</t>
  </si>
  <si>
    <t>Wolff, Eric W/D-7925-2014; Mulvaney, Robert/K-3929-2012</t>
  </si>
  <si>
    <t>Wolff, Eric W/0000-0002-5914-8531; Conway, Tim/0000-0002-3069-9786; Mulvaney, Robert/0000-0002-5372-8148</t>
  </si>
  <si>
    <t>Natural Environment Research Council (NERC) studentship; Royal Society professorship; NERC [bas0100034] Funding Source: UKRI; Natural Environment Research Council [bas0100034] Funding Source: researchfish</t>
  </si>
  <si>
    <t>Natural Environment Research Council (NERC) studentship(UK Research &amp; Innovation (UKRI)Natural Environment Research Council (NERC)); Royal Society professorship(Royal Society); NERC(UK Research &amp; Innovation (UKRI)Natural Environment Research Council (NERC)); Natural Environment Research Council(UK Research &amp; Innovation (UKRI)Natural Environment Research Council (NERC))</t>
  </si>
  <si>
    <t>We thank Mervyn Greaves, Jason Day, Susan Foord (deceased), Hazel Chapman, Paul Geissler and Jack Triest for their technical assistance with sampling and analysis, and Peter Sedwick for providing Ross Sea seawater and facilities for analysis of dissolved Fe in seawater samples. This work is a contribution to the European Project for Ice Coring in Antarctica (EPICA), a joint European Science Foundation/European Commission (EC) scientific programme. This study was funded by a Natural Environment Research Council (NERC) studentship to T.M.C., and E.W.W. is funded by a Royal Society professorship.</t>
  </si>
  <si>
    <t>10.1038/ncomms8850</t>
  </si>
  <si>
    <t>CO0SB</t>
  </si>
  <si>
    <t>gold, Green Published, Green Accepted</t>
  </si>
  <si>
    <t>WOS:000358861500002</t>
  </si>
  <si>
    <t>Hoppe, CJM; Holtz, LM; Trimborn, S; Rost, B</t>
  </si>
  <si>
    <t>Hoppe, Clara J. M.; Holtz, Lena-Maria; Trimborn, Scarlett; Rost, Bjoern</t>
  </si>
  <si>
    <t>Ocean acidification decreases the light-use efficiency in an Antarctic diatom under dynamic but not constant light</t>
  </si>
  <si>
    <t>Chaetoceros debilis; CO; (2); multiple stressors; photophysiology; phytoplankton; primary production; Southern Ocean</t>
  </si>
  <si>
    <t>FRAGILARIOPSIS-CYLINDRUS BACILLARIOPHYCEAE; INORGANIC-CARBON ACQUISITION; SOUTHERN-OCEAN; MARINE DIATOM; PHAEOCYSTIS-ANTARCTICA; EMILIANIA-HUXLEYI; PHOTOPHYSIOLOGICAL RESPONSES; PHOTOSYNTHETIC RESPONSES; CONCENTRATING MECHANISMS; ELECTRON-TRANSPORT</t>
  </si>
  <si>
    <t>There is increasing evidence that different light intensities strongly modulate the effects of ocean acidification (OA) on marine phytoplankton. The aim of the present study was to investigate interactive effects of OA and dynamic light, mimicking natural mixing regimes. The Antarctic diatom Chaetoceros debilis was grown under two pCO(2) (390 and 1000atm) and light conditions (constant and dynamic), the latter yielding the same integrated irradiance over the day. To characterize interactive effects between treatments, growth, elemental composition, primary production and photophysiology were investigated. Dynamic light reduced growth and strongly altered the effects of OA on primary production, being unaffected by elevated pCO(2) under constant light, yet significantly reduced under dynamic light. Interactive effects between OA and light were also observed for Chl production and particulate organic carbon quotas. Response patterns can be explained by changes in the cellular energetic balance. While the energy transfer efficiency from photochemistry to biomass production (phi(e,C)) was not affected by OA under constant light, it was drastically reduced under dynamic light. Contrasting responses under different light conditions need to be considered when making predictions regarding a more stratified and acidified future ocean.</t>
  </si>
  <si>
    <t>[Hoppe, Clara J. M.; Holtz, Lena-Maria; Trimborn, Scarlett; Rost, Bjoern] Helmholtz Ctr Polar &amp; Marine Res, Alfred Wegener Inst, D-27570 Bremerhaven, Germany; [Trimborn, Scarlett] Univ Bremen, D-28359 Bremen, Germany</t>
  </si>
  <si>
    <t>Hoppe, CJM (corresponding author), Helmholtz Ctr Polar &amp; Marine Res, Alfred Wegener Inst, Handelshafen 12, D-27570 Bremerhaven, Germany.</t>
  </si>
  <si>
    <t>Clara.Hoppe@awi.de</t>
  </si>
  <si>
    <t>Hoppe, Clara Jule Marie/AFT-1558-2022; Trimborn, Scarlett/AAM-1061-2021; Rost, Bjoern/B-4447-2015</t>
  </si>
  <si>
    <t>Hoppe, Clara Jule Marie/0000-0002-2509-0546; Trimborn, Scarlett/0000-0003-1434-9927; Rost, Bjoern/0000-0001-5452-5505</t>
  </si>
  <si>
    <t>European Research Council (ERC) under the European Community [205150]; German Federal Ministry of Education and Research [31P7279]; Helmholtz Impulse Fond (HGF Young Investigator Group EcoTrace)</t>
  </si>
  <si>
    <t>European Research Council (ERC) under the European Community(European Research Council (ERC)); German Federal Ministry of Education and Research(Federal Ministry of Education &amp; Research (BMBF)); Helmholtz Impulse Fond (HGF Young Investigator Group EcoTrace)</t>
  </si>
  <si>
    <t>We would like to thank D. Campbell, N. Schuback and two anonymous reviewers for very helpful comments of this manuscript. We also would like to thank T. Brenneis, J. Holscher, U. Richter, N. Schuback and S. Beszteri for laboratory assistance. C.J.M.H. and B.R. were funded by the European Research Council (ERC) under the European Community's Seventh Framework Programme (FP7/2007-2013), ERC grant agreement no. 205150. L-M.H. was funded by the German Federal Ministry of Education and Research, project ZeBiCa2 (31P7279). S.T. was funded by the Helmholtz Impulse Fond (HGF Young Investigator Group EcoTrace).</t>
  </si>
  <si>
    <t>10.1111/nph.13334</t>
  </si>
  <si>
    <t>CJ1ZX</t>
  </si>
  <si>
    <t>WOS:000355284900016</t>
  </si>
  <si>
    <t>Stanley, JA; Hesse, J; Hinojosa, IA; Jeffs, AG</t>
  </si>
  <si>
    <t>Stanley, Jenni A.; Hesse, Jan; Hinojosa, Ivan A.; Jeffs, Andrew G.</t>
  </si>
  <si>
    <t>Inducers of settlement and moulting in post-larval spiny lobster</t>
  </si>
  <si>
    <t>OECOLOGIA</t>
  </si>
  <si>
    <t>Underwater sound; Spiny lobster; Settlement cues; Moulting; Puerulus</t>
  </si>
  <si>
    <t>RED ROCK LOBSTER; JASUS-EDWARDSII; PANULIRUS-ARGUS; DELAYED METAMORPHOSIS; MARINE-INVERTEBRATES; CONTINENTAL-SHELF; PELAGIC LARVAE; REEF FISHES; KELP BEDS; HABITAT</t>
  </si>
  <si>
    <t>The rapid and often remote location of suitable habitats used by migrating organisms is often critical to their subsequent recruitment, fitness and survival, and this includes in the marine environment. However, for the non-feeding post-larval stage of spiny lobsters, effective settlement cues for habitat selection are critical to their success but are poorly described. Therefore, the current study examined whether acoustic and substrate cues have the potential to shorten the time to moulting and affect their subsequent nutritional condition in the pueruli of the southern spiny lobster, Jasus edwardsii. Individuals moulted to first instar juveniles up to 38 % faster when exposed to the underwater sound from two types of typical settlement habitat (coastal kelp- and urchin-dominated reefs) compared to those with no underwater sound. The settlement delay in the post-larvae without underwater sound also resulted in juveniles in poorer survival and nutritional condition as measured by their protein and lipid contents. In a separate experiment, post-larvae presented with seaweed and rock substrates were found to complete settlement and moult to juvenile by as much as 20 % faster compared to those on the sand and control treatments. Overall, the results are the first to demonstrate that the pueruli of J. edwardsii have the ability to detect and respond to underwater sound, as well as determining that both acoustic and substrate cues play a role in modulating physiological development during settlement.</t>
  </si>
  <si>
    <t>[Stanley, Jenni A.; Hesse, Jan; Jeffs, Andrew G.] Univ Auckland, Inst Marine Sci, Leigh Marine Lab, Warkworth 0941, New Zealand; [Hinojosa, Ivan A.] Univ Tasmania, Inst Marine &amp; Antarctic Studies, Taroona, Australia</t>
  </si>
  <si>
    <t>University of Auckland; University of Tasmania</t>
  </si>
  <si>
    <t>Stanley, JA (corresponding author), Univ Auckland, Inst Marine Sci, Leigh Marine Lab, POB 349, Warkworth 0941, New Zealand.</t>
  </si>
  <si>
    <t>ja.stanley@auckland.ac.nz</t>
  </si>
  <si>
    <t>Hinojosa, Ivan/ABC-8915-2021; Hinojosa, Ivan Andres/AAQ-7445-2020; Hinojosa, Ivan/P-1572-2016; Jeffs, Andrew G/D-9474-2012</t>
  </si>
  <si>
    <t>Hinojosa, Ivan/0000-0002-9752-4374; Hinojosa, Ivan Andres/0000-0002-9752-4374; Hinojosa, Ivan/0000-0002-9752-4374; Jeffs, Andrew/0000-0002-8504-1949</t>
  </si>
  <si>
    <t>University of Auckland's Faculty of Science's Research and Development Fund; Glenn Family Foundation</t>
  </si>
  <si>
    <t>We thank staff and students, especially Miao Wang and Leo Zamora, for their assistance with logistics, and Jeff Forman for the supply of pueruli used in the winter experiments. This research was funded by the University of Auckland's Faculty of Science's Research and Development Fund and the Glenn Family Foundation. The work was conducted under University of Auckland Animal Ethics Committee approval number R930.</t>
  </si>
  <si>
    <t>0029-8549</t>
  </si>
  <si>
    <t>1432-1939</t>
  </si>
  <si>
    <t>Oecologia</t>
  </si>
  <si>
    <t>10.1007/s00442-015-3251-4</t>
  </si>
  <si>
    <t>CK9BH</t>
  </si>
  <si>
    <t>WOS:000356534400005</t>
  </si>
  <si>
    <t>Dudgeon, CL; Pollock, KH; Braccini, JM; Semmens, JM; Barnett, A</t>
  </si>
  <si>
    <t>Dudgeon, Christine L.; Pollock, Kenneth H.; Braccini, J. Matias; Semmens, Jayson M.; Barnett, Adam</t>
  </si>
  <si>
    <t>Integrating acoustic telemetry into mark-recapture models to improve the precision of apparent survival and abundance estimates</t>
  </si>
  <si>
    <t>CJS; JS; POPAN; Broadnose sevengill sharks; Capture-recapture; Population estimation</t>
  </si>
  <si>
    <t>ESTIMATING DEMOGRAPHIC PARAMETERS; CAPTURE-RECAPTURE; POPULATION-DYNAMICS; MORTALITY-RATES; APEX PREDATOR; MIGRATION; BROADNOSE; MOVEMENT; RECOVERY; BEHAVIOR</t>
  </si>
  <si>
    <t>Capture-mark-recapture models are useful tools for estimating demographic parameters but often result in low precision when recapture rates are low. Low recapture rates are typical in many study systems including fishing-based studies. Incorporating auxiliary data into the models can improve precision and in some cases enable parameter estimation. Here, we present a novel application of acoustic telemetry for the estimation of apparent survival and abundance within capture-mark-recapture analysis using open population models. Our case study is based on simultaneously collecting longline fishing and acoustic telemetry data for a large mobile apex predator, the broadnose sevengill shark (Notorhynchus cepedianus), at a coastal site in Tasmania, Australia. Cormack-Jolly-Seber models showed that longline data alone had very low recapture rates while acoustic telemetry data for the same time period resulted in at least tenfold higher recapture rates. The apparent survival estimates were similar for the two datasets but the acoustic telemetry data showed much greater precision and enabled apparent survival parameter estimation for one dataset, which was inestimable using fishing data alone. Combined acoustic telemetry and longline data were incorporated into Jolly-Seber models using a Monte Carlo simulation approach. Abundance estimates were comparable to those with longline data only; however, the inclusion of acoustic telemetry data increased precision in the estimates. We conclude that acoustic telemetry is a useful tool for incorporating in capture-mark-recapture studies in the marine environment. Future studies should consider the application of acoustic telemetry within this framework when setting up the study design and sampling program.</t>
  </si>
  <si>
    <t>[Dudgeon, Christine L.] Univ Queensland, Sch Vet Sci, Gatton, Qld 4343, Australia; [Pollock, Kenneth H.] N Carolina State Univ, Dept Appl Ecol, Raleigh, NC 27695 USA; [Braccini, J. Matias] Western Australian Fisheries &amp; Marine Res Labs, North Beach, WA 6920, Australia; [Semmens, Jayson M.] Univ Tasmania, Inst Marine &amp; Antarctic Studies, Fisheries &amp; Aquaculture Ctr, Hobart, Tas 7000, Australia; [Barnett, Adam] Deakin Univ, Sch Life &amp; Environm Sci, Melbourne, Vic, Australia; [Barnett, Adam] James Cook Univ, Sch Marine &amp; Trop Biol, Estuary &amp; Tidal Wetland Ecosyst Res Grp, Ctr Trop Water &amp; Aquat Ecosyst Res TropWATER, Townsville, Qld 4811, Australia</t>
  </si>
  <si>
    <t>University of Queensland; North Carolina State University; Western Australian Fisheries &amp; Marine Research Laboratories; University of Tasmania; Deakin University; James Cook University</t>
  </si>
  <si>
    <t>Dudgeon, CL (corresponding author), Univ Queensland, Sch Vet Sci, Gatton, Qld 4343, Australia.</t>
  </si>
  <si>
    <t>c.dudgeon@uq.edu.au</t>
  </si>
  <si>
    <t>Dudgeon, Christine/A-1633-2017</t>
  </si>
  <si>
    <t>Dudgeon, Christine/0000-0001-5059-7886; Semmens, Jayson/0000-0003-1742-6692; , Adam/0000-0001-7430-8428</t>
  </si>
  <si>
    <t>Save Our Seas Foundation; Winifred Violet Scott Foundation; Holsworth Wildlife Research Endowment</t>
  </si>
  <si>
    <t>We thank Simon Blomberg for advice on mark-recapture models, E. Forbes, J. Yick and D. Jones for field assistance, and the Australian Animal Tagging and Monitoring System (AATAMS) for the loan of 12 receivers. This study was supported by grants to A.B. from the Save Our Seas Foundation, Winifred Violet Scott Foundation and the Holsworth Wildlife Research Endowment. All research was conducted with approval from the University of Tasmania Animal Ethics Committee (#A0009120), under Permit #8028 from the Department of Primary Industries and Water.</t>
  </si>
  <si>
    <t>10.1007/s00442-015-3280-z</t>
  </si>
  <si>
    <t>WOS:000356534400012</t>
  </si>
  <si>
    <t>Xiong, ZF; Li, TG; Algeo, T; Doering, K; Frank, M; Brzezinski, MA; Chang, FM; Opfergelt, S; Crosta, X; Jiang, FQ; Wan, SM; Zhai, B</t>
  </si>
  <si>
    <t>Xiong, Zhifang; Li, Tiegang; Algeo, Thomas; Doering, Kristin; Frank, Martin; Brzezinski, Mark A.; Chang, Fengming; Opfergelt, Sophie; Crosta, Xavier; Jiang, Fuqing; Wan, Shiming; Zhai, Bin</t>
  </si>
  <si>
    <t>The silicon isotope composition of Ethmodiscus rex laminated diatom mats from the tropical West Pacific: Implications for silicate cycling during the Last Glacial Maximum</t>
  </si>
  <si>
    <t>EASTERN EQUATORIAL ATLANTIC; SOUTHERN-OCEAN; NORTH PACIFIC; BIOGENIC SILICA; SI ISOTOPE; ASIAN DUST; NUTRIENT UTILIZATION; INTERMEDIATE WATER; MARINE DIATOMS; PHILIPPINE SEA</t>
  </si>
  <si>
    <t>The cause of massive blooms of Ethmodiscus rex laminated diatom mats (LDMs) in the eastern Philippine Sea (EPS) during the Last Glacial Maximum (LGM) remains uncertain. In order to better understand the mechanism of formation of E. rex LDMs from the perspective of dissolved silicon (DSi) utilization, we determined the silicon isotopic composition of single E. rex diatom frustules (delta Si-30(E.rex)) from two sediment cores in the Parece Vela Basin of the EPS. In the study cores, delta Si-30(E.rex) varies from -1.23 parts per thousand to -0.83 parts per thousand (average -1.04 parts per thousand), a range that is atypical of marine diatom delta Si-30 and that corresponds to the lower limit of reported diatom delta Si-30 values of any age. A binary mixing model (upwelled silicon versus eolian silicon) accounting for silicon isotopic fractionation during DSi uptake by diatoms was constructed. The binary mixing model demonstrates that E. rex dominantly utilized DSi from eolian sources (i.e., Asian dust) with only minor contributions from upwelled seawater sources (i.e., advected from Subantarctic Mode Water, Antarctic Intermediate Water, or North Pacific Intermediate Water). E. rex utilized only similar to 24% of available DSi, indicating that surface waters of the EPS were eutrophic with respect to silicon during the LGM. Our results suggest that giant diatoms did not always use a buoyancy strategy to obtain nutrients from the deep nutrient pool, thus revising previously proposed models for the formation of E. rex LDMs.</t>
  </si>
  <si>
    <t>[Xiong, Zhifang; Li, Tiegang; Chang, Fengming; Jiang, Fuqing; Wan, Shiming] Chinese Acad Sci, Key Lab Marine Geol &amp; Environm, Inst Oceanol, Qingdao, Peoples R China; [Algeo, Thomas] Univ Cincinnati, Dept Geol, Cincinnati, OH USA; [Algeo, Thomas] China Univ Geosci, State Key Lab Biogeol &amp; Environm Geol, Wuhan 430074, Peoples R China; [Algeo, Thomas] China Univ Geosci, State Key Lab Geol Proc &amp; Mineral Resource, Wuhan 430074, Peoples R China; [Doering, Kristin] Univ Kiel, Inst Geosci, Kiel, Germany; [Doering, Kristin; Frank, Martin] GEOMAR Helmholtz Ctr Ocean Res Kiel, Kiel, Germany; [Brzezinski, Mark A.] Univ Calif Santa Barbara, Marine Sci Inst, Santa Barbara, CA 93106 USA; [Brzezinski, Mark A.] Univ Calif Santa Barbara, Dept Ecol Evolut &amp; Marine Biol, Santa Barbara, CA 93106 USA; [Opfergelt, Sophie] Catholic Univ Louvain, Earth &amp; Life Inst, Louvain La Neuve, Belgium; [Crosta, Xavier] Univ Bordeaux, UMR CNRS EPOC 5805, Pessac, France; [Zhai, Bin] Minist Land &amp; Resources, Qingdao Inst Marine Geol, Key Lab Marine Hydrocarbon Resource &amp; Geol, Qingdao, Peoples R China</t>
  </si>
  <si>
    <t>Chinese Academy of Sciences; Institute of Oceanology, CAS; University System of Ohio; University of Cincinnati; China University of Geosciences; China University of Geosciences; University of Kiel; Helmholtz Association; GEOMAR Helmholtz Center for Ocean Research Kiel; University of California System; University of California Santa Barbara; University of California System; University of California Santa Barbara; Universite Catholique Louvain; Centre National de la Recherche Scientifique (CNRS); CNRS - National Institute for Earth Sciences &amp; Astronomy (INSU); Universite de Bordeaux; Ministry of Natural Resources of the People's Republic of China; China Geological Survey; Qingdao Institute of Marine Geology (QIMG)</t>
  </si>
  <si>
    <t>Li, TG (corresponding author), Chinese Acad Sci, Key Lab Marine Geol &amp; Environm, Inst Oceanol, Qingdao, Peoples R China.</t>
  </si>
  <si>
    <t>tgli@qdio.ac.cn</t>
  </si>
  <si>
    <t>Xiong, Zhifang/HMP-3975-2023; Doering, Kristin/AAH-2255-2021; Wan, Shiming/B-4735-2011; Doering, Kristin/ABD-4916-2020; Opfergelt, Sophie/L-2107-2015</t>
  </si>
  <si>
    <t>Xiong, Zhifang/0000-0001-9370-0089; Wan, Shiming/0000-0001-9335-2248; Doering, Kristin/0000-0002-7900-2169; Frank, Martin/0000-0002-8606-4421; Opfergelt, Sophie/0000-0002-1773-4823</t>
  </si>
  <si>
    <t>Strategic Priority Research Program of the Chinese Academy of Sciences [XDA11030104]; National Program on Global Change and Air-Sea Interaction [GASI-04-01-02]; National Natural Science Foundation of China (NSFC) [41230959, 40776031, 41106042, 41006032]; Key Laboratory of Marine Geology and Environment, China Academy of Sciences [MGE2011KG03]; Sedimentary Geology and Paleobiology program of the U.S. National Science Foundation; NASA Exobiology program; China University of Geosciences-Wuhan (from the State Key Laboratory of GPMR) [GPMR201301, BGL21407]; German Science Foundation [SFB 754]; FNRS, Belgium; China University of Geosciences-Wuhan (from the State Key Laboratory of BGEG) [GPMR201301, BGL21407]</t>
  </si>
  <si>
    <t>Strategic Priority Research Program of the Chinese Academy of Sciences(Chinese Academy of Sciences); National Program on Global Change and Air-Sea Interaction; National Natural Science Foundation of China (NSFC)(National Natural Science Foundation of China (NSFC)); Key Laboratory of Marine Geology and Environment, China Academy of Sciences; Sedimentary Geology and Paleobiology program of the U.S. National Science Foundation(National Science Foundation (NSF)NSF - Directorate for Geosciences (GEO)); NASA Exobiology program(National Aeronautics &amp; Space Administration (NASA)); China University of Geosciences-Wuhan (from the State Key Laboratory of GPMR); German Science Foundation(German Research Foundation (DFG)); FNRS, Belgium(Fonds de la Recherche Scientifique - FNRS); China University of Geosciences-Wuhan (from the State Key Laboratory of BGEG)</t>
  </si>
  <si>
    <t>The data for this paper are available on request from the first author (Z. Xiong, zhfxiong@qdio.ac.cn). Research by T.L. is supported by the Strategic Priority Research Program of the Chinese Academy of Sciences (grant XDA11030104), National Program on Global Change and Air-Sea Interaction (grant GASI-04-01-02), and National Natural Science Foundation of China (NSFC) (grants 41230959 and 40776031). Research by Z.X. is supported by NSFC (grant 41106042) and Open Fund of the Key Laboratory of Marine Geology and Environment, China Academy of Sciences (grant MGE2011KG03). Research by T.J.A. is supported by the Sedimentary Geology and Paleobiology program of the U.S. National Science Foundation, the NASA Exobiology program, and the China University of Geosciences-Wuhan (programs GPMR201301 and BGL21407 from the State Key Laboratories of GPMR and BGEG). Research by K.D. is supported through SFB 754 funded by the German Science Foundation, to which this paper is a contribution. Research by S.O. is supported by the FNRS, Belgium. Research by B.Z. is supported by NSFC (grant 41006032). Many thanks to Janice Jones for her help with diatom silicon isotope analysis at the UCSB. We also appreciate the constructive comments from the Editor Christopher Charles, Kate Hendry, and an anonymous reviewer.</t>
  </si>
  <si>
    <t>10.1002/2015PA002793</t>
  </si>
  <si>
    <t>WOS:000360058100001</t>
  </si>
  <si>
    <t>Burke, A; Stewart, AL; Adkins, JF; Ferrari, R; Jansen, MF; Thompson, AF</t>
  </si>
  <si>
    <t>Burke, Andrea; Stewart, Andrew L.; Adkins, Jess F.; Ferrari, Raffaele; Jansen, Malte F.; Thompson, Andrew F.</t>
  </si>
  <si>
    <t>The glacial mid-depth radiocarbon bulge and its implications for the overturning circulation</t>
  </si>
  <si>
    <t>WESTERN NORTH-ATLANTIC; SOUTHERN-OCEAN; LAST DEGLACIATION; SEA-ICE; ATMOSPHERIC CO2; CLIMATE-CHANGE; ABYSSAL OCEAN; MARGINAL SEAS; WIND CHANGES; EDDY FLUXES</t>
  </si>
  <si>
    <t>Published reconstructions of radiocarbon in the Atlantic sector of the Southern Ocean indicate that there is amid-depth maximum in radiocarbon age during the Last Glacial Maximum (LGM). This is in contrast to the modern ocean where intense mixing between water masses results in a relatively homogenous radiocarbon profile. Ferrari et al. (2014) suggested that the extended Antarctic sea ice cover during the LGM necessitated a shallower boundary between the upper and lower branches of the meridional overturning circulation. This shoaled boundary lay above major topographic features associated with strong diapycnal mixing, isolating dense southern sourced water in the lower branch of the overturning circulation. This isolation would have allowed radiocarbon to decay and thus provides a possible explanation for the mid-depth radiocarbon age bulge. We test this hypothesis using an idealized, 2-D, residual-mean dynamicalmodel of the global overturning circulation. Concentration distributions of a decaying tracer that is advected by the simulated overturning are compared to published radiocarbon data. We find that a 600 km (similar to 5 degrees of latitude) increase in sea ice extent shoals the boundary between the upper and lower branches of the overturning circulation at 45 degrees S by 600 m and shoals the depth of North Atlantic Deep Water convection at 50 degrees N by 2500m. This change in circulation configuration alone decreases the radiocarbon content in the mid-depth South Atlantic at 45 degrees S by 40%, even without an increase in surface radiocarbon age in the source region of deep waters during the LGM.</t>
  </si>
  <si>
    <t>[Burke, Andrea] Univ St Andrews, Dept Earth &amp; Environm Sci, St Andrews, Fife, Scotland; [Burke, Andrea; Stewart, Andrew L.; Adkins, Jess F.; Thompson, Andrew F.] CALTECH, Div Geol &amp; Planetary Sci, Pasadena, CA 91125 USA; [Stewart, Andrew L.] Univ Calif Los Angeles, Dept Atmospher &amp; Ocean Sci, Los Angeles, CA USA; [Ferrari, Raffaele] MIT, Dept Earth Atmospher &amp; Planetary Sci, Cambridge, MA 02139 USA; [Jansen, Malte F.] Univ Chicago, Dept Geophys Sci, Chicago, IL 60637 USA</t>
  </si>
  <si>
    <t>University of St Andrews; California Institute of Technology; University of California System; University of California Los Angeles; Massachusetts Institute of Technology (MIT); University of Chicago</t>
  </si>
  <si>
    <t>Burke, A (corresponding author), Univ St Andrews, Dept Earth &amp; Environm Sci, St Andrews, Fife, Scotland.</t>
  </si>
  <si>
    <t>ab276@st-andrews.ac.uk</t>
  </si>
  <si>
    <t>Adkins, Jess/GYI-8778-2022; Jansen, Malte/ABB-4451-2020</t>
  </si>
  <si>
    <t>Jansen, Malte/0000-0003-3894-1124; Burke, Andrea/0000-0002-3754-1498; Stewart, Andrew/0000-0001-5861-4070</t>
  </si>
  <si>
    <t>Foster and Coco Stanback Postdoctoral Fellowship; Marie Curie Career Integration grant [CIG14-631752]; NSF [OPP-1246460]; Directorate For Geosciences; Division Of Ocean Sciences [1503129, 1204211] Funding Source: National Science Foundation; Natural Environment Research Council [NE/M004619/1] Funding Source: researchfish; NERC [NE/M004619/1] Funding Source: UKRI</t>
  </si>
  <si>
    <t>Foster and Coco Stanback Postdoctoral Fellowship; Marie Curie Career Integration grant(Marie Curie Actions); NSF(National Science Foundation (NSF));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</si>
  <si>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This work was supported by a Foster and Coco Stanback Postdoctoral Fellowship and a Marie Curie Career Integration grant (CIG14-631752) awarded to A.B., and an NSF grant awarded to A.F.T. (OPP-1246460). All radiocarbon data presented in this paper can be found in supplemental tables from previous publications (http://www.sciencemag.org/content/335/6068/557, http://www.sciencemag.org/cgi/doi/10.1126/science.1183627, and http://www.nature.com/ngeo/journal/v3/n8/full/ngeo921.html) or from the GLODAP database(http://cdiac.ornl.gov/oceans/glodap/GlopDV.html) [Key et al., 2004]. Model results are available by request to ALS (astewart@atmos.ucla.edu).</t>
  </si>
  <si>
    <t>10.1002/2015PA002778</t>
  </si>
  <si>
    <t>WOS:000360058100015</t>
  </si>
  <si>
    <t>Hong, JW; Jo, SW; Cho, HW; Nam, SW; Shin, W; Park, KM; Lee, KI; Yoon, HS</t>
  </si>
  <si>
    <t>Hong, Ji Won; Jo, Seung-Woo; Cho, Hyung-Woo; Nam, Seung Won; Shin, Woongghi; Park, Kyung Mok; Lee, Kyoung In; Yoon, Ho-Sung</t>
  </si>
  <si>
    <t>Phylogeny, morphology, and physiology of Micractinium strains isolated from shallow ephemeral freshwater in Antarctica</t>
  </si>
  <si>
    <t>PHYCOLOGICAL RESEARCH</t>
  </si>
  <si>
    <t>Ardley Island; cryotolerant microalgae; King George Island; polyunsaturated fatty acids</t>
  </si>
  <si>
    <t>SEA-ICE; ALGAE; MICROORGANISMS; PURIFICATION; CHLOROPHYTA; ADAPTATION; MICROALGA; DIVERSITY; CHLORELLA; REISSERI</t>
  </si>
  <si>
    <t>Cryotolerant eukaryotic microalgae were isolated from meltwater streams on Ardley Island and King George Island in Antarctica, and their morphological, molecular, and physiological characteristics were investigated. Owing to their simple morphology, distinctive characters were not observed with neither light microscopy nor transmission electron microscopy. However, molecular phylogenetic inferences drawn from the concatenated small subunit rRNA and internal transcribed spacer sequence data indicated that these microalgal strains belonged to the genus Micractinium. All the Micractinium strains showed cryotolerant properties, while their optimum growth temperature was around 20 degrees C. Similar to other cryotolerant organisms, these Antarctic microalgae also contained a higher ratio of polyunsaturated fatty acids to saturated fatty acids. In this study, new Antarctic Micractinium spp. were discovered and added to the culture collection. These cryotolerant strains may serve as a promising source of nutritionally important linoleic (C-18:2 6) and -linolenic (C-18:3 3) acids.</t>
  </si>
  <si>
    <t>[Hong, Ji Won; Yoon, Ho-Sung] Kyungpook Natl Univ, Adv Bioresource Res Ctr, Kyungpook, South Korea; [Jo, Seung-Woo; Yoon, Ho-Sung] Kyungpook Natl Univ, Dept Energy Sci, Kyungpook, South Korea; [Cho, Hyung-Woo; Yoon, Ho-Sung] Kyungpook Natl Univ, Sch Life Sci, Plus KNU Creat BioRes Grp BK21, Kyungpook, South Korea; [Nam, Seung Won; Shin, Woongghi] Chungnam Natl Univ, Dept Biol, Taejon, South Korea; [Park, Kyung Mok] Dongshin Univ, Dept Pharmaceut Engn, Naju, Jeonnam, South Korea; [Lee, Kyoung In] Dongshin Univ, Biotechnol Industrializat Ctr, Naju, Jeonnam, South Korea</t>
  </si>
  <si>
    <t>Kyungpook National University; Kyungpook National University; Kyungpook National University; Chungnam National University; Dongshin University; Dongshin University</t>
  </si>
  <si>
    <t>Yoon, HS (corresponding author), Kyungpook Natl Univ, Adv Bioresource Res Ctr, Kyungpook, South Korea.</t>
  </si>
  <si>
    <t>hsy@knu.ac.kr</t>
  </si>
  <si>
    <t>Shin, Woongghi/D-5677-2013</t>
  </si>
  <si>
    <t>Nam, Seung Won/0000-0002-8722-5223; Hong, Ji Won/0000-0002-1460-5217; Shin, Woongghi/0000-0001-7926-732X</t>
  </si>
  <si>
    <t>Advanced Biomass R&amp;D Center (ABC) of the Global Frontier Project - Ministry of Science, ICT and Future Planning, South Korea [2011-0031341]; Kyungpook National University; Freshwater Microalgae-based Bioenergy Research and Development Project from Chilgok-gun, Gyeongsangbuk-do, South Korea</t>
  </si>
  <si>
    <t>Advanced Biomass R&amp;D Center (ABC) of the Global Frontier Project - Ministry of Science, ICT and Future Planning, South Korea; Kyungpook National University; Freshwater Microalgae-based Bioenergy Research and Development Project from Chilgok-gun, Gyeongsangbuk-do, South Korea</t>
  </si>
  <si>
    <t>This work was supported by the Advanced Biomass R&amp;D Center (ABC) of the Global Frontier Project funded by the Ministry of Science, ICT and Future Planning (2011-0031341), South Korea. This project was also supported by Kyungpook National University Research Fund, 2012 and the Freshwater Microalgae-based Bioenergy Research and Development Project from Chilgok-gun, Gyeongsangbuk-do, South Korea.</t>
  </si>
  <si>
    <t>1322-0829</t>
  </si>
  <si>
    <t>1440-1835</t>
  </si>
  <si>
    <t>PHYCOL RES</t>
  </si>
  <si>
    <t>Phycol. Res.</t>
  </si>
  <si>
    <t>10.1111/pre.12097</t>
  </si>
  <si>
    <t>CL9VP</t>
  </si>
  <si>
    <t>WOS:000357326500007</t>
  </si>
  <si>
    <t>Jones, TC; Hogg, ID; Wilkins, RJ; Green, TGA</t>
  </si>
  <si>
    <t>Jones, T. C.; Hogg, I. D.; Wilkins, R. J.; Green, T. G. A.</t>
  </si>
  <si>
    <t>Microsatellite analyses of the Antarctic endemic lichen Buellia frigida Darb. (Physciaceae) suggest limited dispersal and the presence of glacial refugia in the Ross Sea region</t>
  </si>
  <si>
    <t>Buellia frigida; Dispersal; Refugia; Antarctica; Microsatellites</t>
  </si>
  <si>
    <t>NORTHERN VICTORIA LAND; ICE-SHEET; POPULATION-STRUCTURE; GENETIC DIVERSITY; EPIPHYTIC LICHEN; ALLELIC RICHNESS; RANGE; DISTANCE; RETREAT; HISTORY</t>
  </si>
  <si>
    <t>In order to assess the origins of Antarctic lichens (local or long distance), we examined the population genetic structure of the endemic Antarctic lichen Buellia frigida across a latitudinal gradient of roughly 10A degrees along the Transantarctic Mountains, Western Antarctica, using four microsatellite loci. All loci were highly polymorphic. Data were analysed as both biallelic (dikaryotic) and as haploid in order to determine whether different life-cycle phases could influence our interpretation of population structure. For biallelic data, allelic richness (A) ranged from 5.25 to 7.99 and measures of diversity suggested low levels of gene flow among most sites (e.g. F (ST) = G (ST) = 0.09-0.31; D (EST) = 0.03-0.7). For haploid data, allelic richness (A) ranged from 3.5 to 5.46, private allelic richness (A (r)) ranged from 0.81 to 2.05, Nei's unbiased genetic distance ranged from 0.15 to 1.42 and Nei's unbiased genetic identity ranged from 0.24 to 0.86 among locations. Two locations, the McMurdo Dry Valleys and Queen Maud Mountains, stand out as possible glacial refugia, with both having a high number of private alleles. Despite the high potential for wind-dispersed spores, it appears likely that successful colonisation in different areas is restricted. One possible explanation is that the combination of ice-free conditions and water availability occurs only during the short summer period when the prevailing wind patterns may influence dispersal pathways. Dispersal from the southernmost site (Queen Maud Mountains) appears particularly restricted and may be the result of dispersal barriers such as glaciers. We conclude that a combination of prevailing wind patterns and physical barriers restrict spore settlement and therefore dispersal and recruitment among regions.</t>
  </si>
  <si>
    <t>[Jones, T. C.; Hogg, I. D.; Wilkins, R. J.; Green, T. G. A.] Univ Waikato, Fac Sci &amp; Engn, Hamilton 3240, New Zealand; [Green, T. G. A.] Univ Complutense, Dept Biol Vegetal 2, E-28040 Madrid, Spain</t>
  </si>
  <si>
    <t>University of Waikato; Complutense University of Madrid</t>
  </si>
  <si>
    <t>Hogg, ID (corresponding author), Univ Waikato, Fac Sci &amp; Engn, Private Bag 3105, Hamilton 3240, New Zealand.</t>
  </si>
  <si>
    <t>hogg@waikato.ac.nz</t>
  </si>
  <si>
    <t>Hogg, Ian D./HNS-7393-2023</t>
  </si>
  <si>
    <t>Hogg, Ian D./0000-0002-6685-0089</t>
  </si>
  <si>
    <t>Helicopters New Zealand, FRST [UOWX050]; University of Waikato</t>
  </si>
  <si>
    <t>Helicopters New Zealand, FRST(New Zealand Foundation for Research, Science and Technology); University of Waikato</t>
  </si>
  <si>
    <t>We thank three anonymous reviewers for their valuable comments, P. Ross for advice on diversity statistics, and R. Cursons and O. Patty for helpful advice in the laboratory. Antarctica New Zealand provided logistic support and Helicopters New Zealand, FRST Grant UOWX050, and the University of Waikato provided financial support. C. Beard, L. Sancho, J. Banks, S. Fitzsimmons, R. Seppelt, R. Turk, T. Lumbsch and B. Guzow-Krzeminska provided help in the field and/or laboratory. Lichen samples were transported into New Zealand, under MAF Permit Number 2007032514.</t>
  </si>
  <si>
    <t>10.1007/s00300-015-1652-9</t>
  </si>
  <si>
    <t>WOS:000356535300002</t>
  </si>
  <si>
    <t>O'Neill, TA; Balks, MR; López-Martínez, J</t>
  </si>
  <si>
    <t>O'Neill, Tanya A.; Balks, Megan R.; Lopez-Martinez, Jeronimo</t>
  </si>
  <si>
    <t>Ross Island recreational walking tracks: relationships between soil physiochemical properties and track usage</t>
  </si>
  <si>
    <t>MCMURDO DRY VALLEYS; HYDROCARBON SPILLS; TEMPERATURE; CRYOSOLS</t>
  </si>
  <si>
    <t>The objective of this research was to determine the number of people using the Ross Island recreational walking tracks, and to examine the relationships between the number of users, track morphological characteristics, and soil physiochemical properties. Infrared track counters provided 2-years of data on five walking tracks on the island. Track width and track incision were measured and soil sampling in the vicinity of the track counter and an adjacent control site was undertaken. Between January 2009 and January 2011 5084 passes were recorded on the Scott Base to McMurdo Station walking track, 2842 on the Wind Vane Hill walking track, 3561 on the Round Observation Hill walking track, 10936 on the Up Observation Hill track, and 693 on the Crater Hill summit walking track. There were more users on all tracks in the 2010-2011 summer season than the 2009-2010 summer season. The highest frequency of visitors occurred on Sundays during the summer (November to January). There was no relationship between the number of passes on the track and the measured impact indicators. This indicates that higher usage of a formed track had little cumulative impact. Track width and incision were related to the slope of the terrain, with tracks traversing flatter areas generally wider (R-2 = 0.85) and less incised (R-2 = 0.96), than those traversing steeper hillsides. There were no significant differences between tracks and control samples in soil pH, soil EC, organic C, total N, and total P. However, soil bulk density was higher in the walking tracks than adjacent control areas (p &lt; 0.05).</t>
  </si>
  <si>
    <t>[O'Neill, Tanya A.; Balks, Megan R.] Univ Waikato, Earth &amp; Ocean Sci, Hamilton 3240, New Zealand; [Lopez-Martinez, Jeronimo] Univ Autonoma Madrid, Fac Ciencias, Dept Geol &amp; Geoquim, E-28049 Madrid, Spain</t>
  </si>
  <si>
    <t>University of Waikato; Autonomous University of Madrid</t>
  </si>
  <si>
    <t>O'Neill, TA (corresponding author), Univ Waikato, Earth &amp; Ocean Sci, Private Bag 3105, Hamilton 3240, New Zealand.</t>
  </si>
  <si>
    <t>oneilltanya@hotmail.com</t>
  </si>
  <si>
    <t>O'Neill, Tanya/AAD-3240-2020; Lopez-Martinez, Jeronimo/C-5744-2011; O'Neill, Tanya/I-3045-2017</t>
  </si>
  <si>
    <t>Lopez-Martinez, Jeronimo/0000-0002-1750-8287; O'Neill, Tanya/0000-0001-8181-4249</t>
  </si>
  <si>
    <t>Landcare Research; Murray Jessen Memorial Doctoral scholarship</t>
  </si>
  <si>
    <t>The authors wish to thank Antarctica New Zealand for logistical support. We also thank Landcare Research for support; particularly the Murray Jessen Memorial Doctoral scholarship through which Tanya O'Neill was funded. Thanks to Errol Balks for field assistance, Nathan Cross and Margaret Auger for science support, Jana Newman of Antarctica New Zealand and Joe Heil of the United States Antarctic Program for technical advice. The authors thank the anonymous reviewers for their helpful advice.</t>
  </si>
  <si>
    <t>10.1017/S0032247414000400</t>
  </si>
  <si>
    <t>WOS:000357607600009</t>
  </si>
  <si>
    <t>Peck, VL; Allen, CS; Kender, S; McClymont, EL; Hodgson, DA</t>
  </si>
  <si>
    <t>Peck, Victoria L.; Allen, Claire S.; Kender, Sev; McClymont, Erin L.; Hodgson, Dominic A.</t>
  </si>
  <si>
    <t>Oceanographic variability on the West Antarctic Peninsula during the Holocene and the influence of upper circumpolar deep water</t>
  </si>
  <si>
    <t>Holocene; Antarctic; Paleoceanography; Southern Hemisphere Westerly Winds</t>
  </si>
  <si>
    <t>BENTHIC FORAMINIFERAL ASSEMBLAGES; VI ICE SHELF; SOUTHERN-OCEAN; WEDDELL SEA; SURFACE SEDIMENTS; CONTINENTAL-SHELF; MARGUERITE BAY; BOTTOM-WATER; CLIMATE; ECOLOGY</t>
  </si>
  <si>
    <t>Recent intensification of wind-driven upwelling of warm upper circumpolar deep water (UCDW) has been linked to accelerated melting of West Antarctic ice shelves and glaciers. To better assess the long term relationship between UCDW upwelling and the stability of the West Antarctic Ice Sheet, we present a multi-proxy reconstruction of surface and bottom water conditions in Marguerite Bay, West Antarctic Peninsula (WAP), through the Holocene. A combination of sedimentological, diatom and foraminiferal records are, for the first time, presented together to infer a decline in UCDW influence within Marguerite Bay through the early to mid Holocene and the dominance of cyclic forcing in the late Holocene. Extensive glacial melt, limited sea ice and enhanced primary productivity between 9.7 and 7.0 ka BP is considered to be most consistent with persistent incursions of UCDW through Marguerite Trough. From 7.0 lea BP sea ice seasons increased and productivity decreased, suggesting that UCDW influence within Marguerite Bay waned, coincident with the equatorward migration of the Southern Hemisphere Westerly Winds (SWW). UCDW influence continued through the mid Holocene, and by 4.2 ka BP lengthy sea ice seasons persisted within Marguerite Bay. Intermittent melting and reforming of this sea ice within the late Holocene may be indicative of episodic incursions of UCDW into Marguerite Bay during this period. The cyclical changes in the oceanography within Marguerite Bay during the late Holocene is consistent with enhanced sensitively to ENSO forcing as opposed to the SWW-forcing that appears to have dominated the early to mid Holocene. Current measurements of the oceanography of the WAP continental shelf suggest that the system has now returned to the early Holocene-like oceanographic configuration reported here, which in both cases has been associated with rapid deglaciation. Crown Copyright (C) 2015 Published by Elsevier Ltd. All rights reserved.</t>
  </si>
  <si>
    <t>[Peck, Victoria L.; Allen, Claire S.; Hodgson, Dominic A.] British Antarctic Survey, Cambridge CB3 0ET, England; [Kender, Sev] Univ Nottingham, Sch Geog, Nottingham NG7 2RD, England; [Kender, Sev] British Geol Survey, Keyworth NG12 5GG, Notts, England; [McClymont, Erin L.; Hodgson, Dominic A.] Univ Durham, Dept Geog, Durham DH1 3LE, England</t>
  </si>
  <si>
    <t>UK Research &amp; Innovation (UKRI); Natural Environment Research Council (NERC); NERC British Antarctic Survey; University of Nottingham; UK Research &amp; Innovation (UKRI); Natural Environment Research Council (NERC); NERC British Geological Survey; Durham University</t>
  </si>
  <si>
    <t>Peck, VL (corresponding author), British Antarctic Survey, Madingley Rd, Cambridge CB3 0ET, England.</t>
  </si>
  <si>
    <t>vlp@bas.ac.uk</t>
  </si>
  <si>
    <t>McClymont, Erin/AAX-3567-2020; McClymont, Erin L/K-2153-2012; McClymont, Erin/AAX-3657-2020; Kender, Sev/B-9409-2016</t>
  </si>
  <si>
    <t>McClymont, Erin/0000-0003-1562-8768; McClymont, Erin L/0000-0003-1562-8768; McClymont, Erin/0000-0003-1562-8768; Kender, Sev/0000-0003-4216-3214</t>
  </si>
  <si>
    <t>Natural Environment Research Council; NERC [bas0100030, bgs05002] Funding Source: UKRI; Natural Environment Research Council [bas0100030, bgs05002]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</si>
  <si>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</si>
  <si>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Chemistry and Past Climate Programme and the Paleoclimate and Paleoenvironment programme at the British Geological Survey. These core-science programmes are funded by the Natural Environment Research Council. We thank the officers and crew of RRS James Clark Ross for facilitating recovery of TPC522. Hilary Blagbrough is thanked for providing diatom counts. Stephen Roberts is thanked for generating the age model. We also thank three anonymous reviewers and Henning Bauch for their insightful and constructive comments and edits. James Ralph at the Godwin Lab provided stable isotope analysis. SK publishes with permission of the Executive Director of the British Geological Survey (NERC).</t>
  </si>
  <si>
    <t>10.1016/j.quascirev.2015.04.002</t>
  </si>
  <si>
    <t>WOS:000356557100005</t>
  </si>
  <si>
    <t>Tilstone, GH; Xie, YY; Robinson, C; Serret, P; Raitsos, DE; Powell, T; Aranguren-Gassis, M; Garcia-Martin, EE; Kitidis, V</t>
  </si>
  <si>
    <t>Tilstone, Gavin H.; Xie, Yu-yuan; Robinson, Carol; Serret, Pablo; Raitsos, Dionysios E.; Powell, Timothy; Aranguren-Gassis, Maria; Garcia-Martin, Enma Elena; Kitidis, Vassilis</t>
  </si>
  <si>
    <t>Satellite estimates of net community production indicate predominance of net autotrophy in the Atlantic Ocean</t>
  </si>
  <si>
    <t>Atlantic Ocean; Net community production; Respiration; Photosynthesis; Multivariate ENSO Index; North Atlantic Oscillation; Pacific Decadal Oscillation</t>
  </si>
  <si>
    <t>NORTH-ATLANTIC; OLIGOTROPHIC OCEAN; TEMPERATURE-DEPENDENCE; PLANKTONIC METABOLISM; TROPICAL PACIFIC; DISSOLVED-OXYGEN; CLIMATE; RESPIRATION; VARIABILITY; BALANCE</t>
  </si>
  <si>
    <t>There is ongoing debate as to whether the oligotrophic ocean is predominantly net autotrophic and acts as a CO2 sink, or net heterotrophic and therefore acts as a CO2 source to the atmosphere. This quantification is challenging, both spatially and temporally, due to the sparseness of measurements. There has been a concerted effort to derive accurate estimates of phytoplankton photosynthesis and primary production from satellite data to fill these gaps; however there have been few satellite estimates of net community production (NCP). In this paper, we compare a number of empirical approaches to estimate NCP from satellite data with in vitro measurements of changes in dissolved O-2 concentration at 295 stations in the N and S Atlantic Ocean (including the Antarctic), Greenland and Mediterranean Seas. Algorithms based on power laws between NCP and particulate organic carbon production (POC) derived from C-14 uptake tend to overestimate NCP at negative values and underestimate at positive values. An algorithm that includes sea surface temperature (SST) in the power function of NCP and C-14 POC has the lowest bias and root-mean square error compared with in vitro measured NCP and is the most accurate algorithm for the Atlantic Ocean. Nearly a 13 year time series of NCP was generated using this algorithm with SeaWiFS data to assess changes over time in different regions and in relation to climate variability. The North Atlantic subtropical and tropical Gyres (NATL) were predominantly net autotrophic from 1998 to 2010 except for boreal autumn/winter, suggesting that the northern hemisphere has remained a net sink for CO2 during this period. The South Atlantic subtropical Gyre (SATL) fluctuated from being net autotrophic in austral spring-summer, to net heterotrophic in austral autumn winter. Recent decadal trends suggest that the SATL is becoming more of a CO2 source. Over the Atlantic basin, the percentage of satellite pixels with negative NCP was 27%, with the largest contributions from the NATL and SATL during boreal and austral autumn winter, respectively. Variations in NCP in the northern and southern hemispheres were correlated with climate indices. Negative correlations between NCP and the multivariate ENSO index (MEI) occurred in the SATL, which explained up to 60% of the variability in NCP. Similarly there was a negative correlation between NCP and the North Atlantic Oscillation (NAO) in the Southern Sub-Tropical Convergence Zone (SSTC), which explained 90% of the variability. There were also positive correlations with NAO in the Canary Current Coastal Upwelling (CNRY) and Western Tropical Atlantic (WTRA) which explained 80% and 60% of the variability in each province, respectively. MEI and NAO seem to play a role in modifying phases of net autotrophy and heterotrophy in the Atlantic Ocean. Crown Copyright (C) 2015 Published by Elsevier Inc. All rights reserved.</t>
  </si>
  <si>
    <t>[Tilstone, Gavin H.; Xie, Yu-yuan; Raitsos, Dionysios E.; Powell, Timothy; Kitidis, Vassilis] Plymouth Marine Lab, Plymouth PL1 3DH, Devon, England; [Xie, Yu-yuan] Xiamen Univ, Coll Environm &amp; Ecol, Xiamen 361005, Peoples R China; [Robinson, Carol; Garcia-Martin, Enma Elena] Univ E Anglia, Sch Environm Sci, Ctr Ocean &amp; Atmospher Sci, Norwich NR4 7TJ, Norfolk, England; [Serret, Pablo; Aranguren-Gassis, Maria; Garcia-Martin, Enma Elena] Univ Vigo, Dept Ecol &amp; Anim Biol, E-36309 Vigo, Spain; [Aranguren-Gassis, Maria] Michigan State Univ, Kellogg Biol Stn, Hickory Corners, MI 49060 USA</t>
  </si>
  <si>
    <t>Plymouth Marine Laboratory; Xiamen University; University of East Anglia; Universidade de Vigo; Michigan State University</t>
  </si>
  <si>
    <t>Tilstone, GH (corresponding author), Plymouth Marine Lab, Prospect Pl, Plymouth PL1 3DH, Devon, England.</t>
  </si>
  <si>
    <t>ghti@pml.ac.uk</t>
  </si>
  <si>
    <t>Serret, Pablo/ABH-3186-2020; Robinson, Carol/AAW-1857-2021; Robinson, Carol/F-7649-2011; GarciaMartin, Elena/KFR-2697-2024; Aranguren-Gassis, María/K-8336-2014; Raitsos, Dionysios/AAA-3031-2021; GarciaMartin, Elena/GRS-2224-2022</t>
  </si>
  <si>
    <t>Serret, Pablo/0000-0001-6087-6272; Robinson, Carol/0000-0003-3033-4565; Robinson, Carol/0000-0003-3033-4565; Aranguren-Gassis, María/0000-0002-7521-3348; Raitsos, Dionysios/0000-0002-6714-2180; Garcia-Martin, E. Elena/0000-0003-4807-3287; Kitidis, Vassilis/0000-0003-3949-3802; Xie, Yuyuan/0000-0001-9134-3604; Tilstone, Gavin/0000-0002-9347-1682</t>
  </si>
  <si>
    <t>Chinese State Scholarship Fund [201206310058]; contract SCALAR from the Spanish Ministry of Science [CTM2011-29616]; NERC National Capability Atlantic Meridional Transect programme; F.P.U. fellowships; Spanish MEC fellowship [CTM2009-08069-E/MAR]; Natural Environment Research Council [pml010008, pml010007, pml010009, NE/K002058/1] Funding Source: researchfish; NERC [NE/K002058/1, pml010009, pml010007, pml010008] Funding Source: UKRI</t>
  </si>
  <si>
    <t>Chinese State Scholarship Fund; contract SCALAR from the Spanish Ministry of Science; NERC National Capability Atlantic Meridional Transect programme; F.P.U. fellowships(German Research Foundation (DFG)); Spanish MEC fellowship; Natural Environment Research Council(UK Research &amp; Innovation (UKRI)Natural Environment Research Council (NERC)); NERC(UK Research &amp; Innovation (UKRI)Natural Environment Research Council (NERC))</t>
  </si>
  <si>
    <t>We thank the captains and crews of RRS Charles Darwin during the BOFS programme, RRS James Clark Ross, RRS Discovery and RRS James Cook during the AMT, RV BioHesperides during the Bioantar and Threshold campaigns, RV Jose Rioja during the CICYT campaign and NO L'Atlante and NO Thalassa during the POMME campaigns. We are grateful to all data providers for contributing to the database compiled and maintained by CR at http://www.uea.ac.uk/environmentalsciences/people/People/Faculty+and+Research+Fellow/robinsonc#research and to those who added additional data from the Atlantic Meridional Transect programme from cruises 18 to 21, available at www.amt-uk.org. We also thank the British Oceanographic Data Centre for archiving the data. YX was supported by the Chinese State Scholarship Fund to study in Plymouth Marine Laboratory as a joint PhD student (Grant No. 201206310058). GHT, TP, CR, MAG and PS were supported by the contract SCALAR (CTM2011-29616) from the Spanish Ministry of Science. GHT was also supported by the NERC National Capability Atlantic Meridional Transect programme. EEG-M was funded by F.P.U. fellowships and a Spanish MEC fellowship CTM2009-08069-E/MAR. NERC Earth Observation Data Archive and Analysis Service, UK (NEODAAS) provided computing facilities and data storage. We would like to thank two anonymous reviewers whose comments significantly improved the manuscript. This is AMT publication number 252.</t>
  </si>
  <si>
    <t>10.1016/j.rse.2015.03.017</t>
  </si>
  <si>
    <t>CK9IU</t>
  </si>
  <si>
    <t>WOS:000356554600021</t>
  </si>
  <si>
    <t>Quartino, ML; Vazquez, SC; Latorre, GEJ; Mac Cormack, WP</t>
  </si>
  <si>
    <t>Quartino, Maria L.; Vazquez, Susana C.; Latorre, Gustavo E. J.; Mac Cormack, Walter P.</t>
  </si>
  <si>
    <t>Possible role of bacteria in the degradation of macro algae Desmarestia anceps Montagne (Phaeophyceae) in Antarctic marine waters</t>
  </si>
  <si>
    <t>REVISTA ARGENTINA DE MICROBIOLOGIA</t>
  </si>
  <si>
    <t>[Quartino, Maria L.; Mac Cormack, Walter P.] Inst Antartico Argentino, Buenos Aires, DF, Argentina; [Quartino, Maria L.] Museo Argentino Ciencias Nat Bernardino Rivadavia, Buenos Aires, DF, Argentina; [Vazquez, Susana C.] Consejo Nacl Invest Cient &amp; Tecn, Buenos Aires, DF, Argentina; [Vazquez, Susana C.; Mac Cormack, Walter P.] Univ Buenos Aires, Fac Farm &amp; Bioquim, Catedra Biotecnol, Buenos Aires, DF, Argentina; [Vazquez, Susana C.; Mac Cormack, Walter P.] Univ Buenos Aires, CONICET, Inst Nanobiotecnol, Buenos Aires, DF, Argentina; [Latorre, Gustavo E. J.] Univ Nacl La Plata, Fac Ciencias Nat &amp; Museo, RA-1900 La Plata, Buenos Aires, Argentina</t>
  </si>
  <si>
    <t>Instituto Antartico Argentino; Museo Argentino de Ciencias Naturales Bernardino Rivadavia (MACN); Consejo Nacional de Investigaciones Cientificas y Tecnicas (CONICET); University of Buenos Aires; Consejo Nacional de Investigaciones Cientificas y Tecnicas (CONICET); University of Buenos Aires; National University of La Plata; Museo La Plata</t>
  </si>
  <si>
    <t>Mac Cormack, WP (corresponding author), Inst Antartico Argentino, Buenos Aires, DF, Argentina.</t>
  </si>
  <si>
    <t>wmac@ffyb.uba.ar</t>
  </si>
  <si>
    <t>Vazquez, Susana/AEP-5214-2022</t>
  </si>
  <si>
    <t>Vazquez, Susana/0000-0002-0760-6254; Mac Cormack, Walter/0000-0002-5280-5463</t>
  </si>
  <si>
    <t>ASOCIACION ARGENTINA MICROBIOLOGIA</t>
  </si>
  <si>
    <t>BUENOS AIRES</t>
  </si>
  <si>
    <t>BULNES 44 PB B, BUENOS AIRES, 00000, ARGENTINA</t>
  </si>
  <si>
    <t>0325-7541</t>
  </si>
  <si>
    <t>1851-7617</t>
  </si>
  <si>
    <t>REV ARGENT MICROBIOL</t>
  </si>
  <si>
    <t>Rev. Argent. Microbiol.</t>
  </si>
  <si>
    <t>10.1016/j.ram.2015.04.003</t>
  </si>
  <si>
    <t>CT0BO</t>
  </si>
  <si>
    <t>WOS:000362458900016</t>
  </si>
  <si>
    <t>Dietz, L; Arango, CP; Dömel, JS; Halanych, KM; Harder, AM; Held, C; Mahon, AR; Mayer, C; Melzer, RR; Rouse, GW; Weis, A; Wilson, NG; Leese, F</t>
  </si>
  <si>
    <t>Dietz, Lars; Arango, Claudia P.; Doemel, Jana S.; Halanych, Kenneth M.; Harder, Avril M.; Held, Christoph; Mahon, Andrew R.; Mayer, Christoph; Melzer, Roland R.; Rouse, Greg W.; Weis, Andrea; Wilson, Nerida G.; Leese, Florian</t>
  </si>
  <si>
    <t>Regional differentiation and extensive hybridization between mitochondrial clades of the Southern Ocean giant sea spider Colossendeis megalonyx</t>
  </si>
  <si>
    <t>Antarctic; benthos; glacial refugia; phylogeography; Pycnogonida; speciation</t>
  </si>
  <si>
    <t>INTERNAL TRANSCRIBED SPACERS; MULTIPLE SEQUENCE ALIGNMENT; RIBOSOMAL DNA; CRYPTIC SPECIATION; GENETIC DIVERSITY; PYCNOGONIDA; BIODIVERSITY; LINEAGES; PATTERNS; LIFE</t>
  </si>
  <si>
    <t>Assessing the enormous diversity of Southern Ocean benthic species and their evolutionary histories is a central task in the era of global climate change. Based on mitochondrial markers, it was recently suggested that the circumpolar giant sea spider Colossendeis megalonyx comprises a complex of at least six cryptic species with mostly small and non-overlapping distribution ranges. Here, we expand the sampling to include over 500 mitochondrial COI sequences of specimens from around the Antarctic. Using multiple species delimitation approaches, the number of distinct mitochondrial OTUs increased from six to 15-20 with our larger dataset. In contrast to earlier studies, many of these clades show almost circumpolar distributions. Additionally, analysis of the nuclear internal transcribed spacer region for a subset of these specimens showed incongruence between nuclear and mitochondrial results. These mito-nuclear discordances suggest that several of the divergent mitochondrial lineages can hybridize and should not be interpreted as cryptic species. Our results suggest survival of C. megalonyx during Pleistocene glaciations in multiple refugia, some of them probably located on the Antarctic shelf, and emphasize the importance of multi-gene datasets to detect the presence of cryptic species, rather than their inference based on mitochondrial data alone.</t>
  </si>
  <si>
    <t>[Dietz, Lars; Doemel, Jana S.; Leese, Florian] Ruhr Univ Bochum, Dept Anim Ecol Evolut &amp; Biodivers, Fac Biol &amp; Biotechnol, D-44801 Bochum, Germany; [Arango, Claudia P.] Queensland Museum, Nat Environm Program, South Brisbane, Qld 4101, Australia; [Halanych, Kenneth M.] Auburn Univ, Auburn, AL 36849 USA; [Harder, Avril M.; Mahon, Andrew R.] Cent Michigan Univ, Dept Biol, Inst Great Lakes Res, Mt Pleasant, MI 48859 USA; [Held, Christoph] Helmholtz Ctr Marine &amp; Polar Biol, Alfred Wegener Inst, D-25768 Bremerhaven, Germany; [Mayer, Christoph] Zool Res Museum Alexander Koenig, D-53113 Bonn, Germany; [Melzer, Roland R.; Weis, Andrea] Bavarian State Collect Zool SNSB, D-81247 Munich, Germany; [Melzer, Roland R.] Univ Munich, Dept Biol 2, D-82152 Planegg Martinsried, Germany; [Melzer, Roland R.] GeoBio Ctr, D-80333 Munich, Germany; [Rouse, Greg W.; Wilson, Nerida G.] Univ Calif San Diego, Scripps Inst Oceanog, La Jolla, CA 92093 USA; [Wilson, Nerida G.] Western Australian Museum, Welshpool Dc, WA 6986, Australia</t>
  </si>
  <si>
    <t>Ruhr University Bochum; Queensland Museum; Auburn University System; Auburn University; Central Michigan University; Helmholtz Association; Alfred Wegener Institute, Helmholtz Centre for Polar &amp; Marine Research; Zoologisches Forschungsmuseum Alexander Koenig (ZFMK); University of Munich; University of California System; University of California San Diego; Scripps Institution of Oceanography; Western Australian Museum</t>
  </si>
  <si>
    <t>Leese, F (corresponding author), Univ Duisburg &amp; Essen, Fac Biol, Aquat Ecosyst Res, Univ Str 5, D-45151 Essen, Germany.</t>
  </si>
  <si>
    <t>florian.leese@uni-due.de</t>
  </si>
  <si>
    <t>Rouse, Gregory/AAW-1494-2021; Harder, Avril/AAC-7387-2020; Rouse, Greg W/F-2611-2010; Halanych, Ken M/A-9480-2009; Wilson, Nerida G./AAC-1456-2019; Leese, Florian/D-4277-2012; Mayer, Christoph/AAD-6696-2019; /A-5531-2008</t>
  </si>
  <si>
    <t>Rouse, Gregory/0000-0001-9036-9263; Harder, Avril/0000-0001-7371-4002; Rouse, Greg W/0000-0001-9036-9263; Leese, Florian/0000-0002-5465-913X; Mayer, Christoph/0000-0001-5104-6621; Mahon, Andrew/0000-0002-5074-8725; Held, Christoph/0000-0003-1074-177X; /0000-0003-1098-830X</t>
  </si>
  <si>
    <t>German Research Foundation (DFG) within DFG Priority Programme [LE 2323/2, 2323/3, HE 3391/6, 1158]; Sea Life Center Munich research grant 'Biodiversity of the Chilean fjords'; US National Science Foundation (NSF) [ANT-1043670]; NSF [ANT-1043745, ANT-1043749]; Australian Antarctic Science [3010]; Scripps Institution of Oceanography; US Antarctic Marine Living Resources program; Directorate For Geosciences; Office of Polar Programs (OPP) [1043749] Funding Source: National Science Foundation; Office of Polar Programs (OPP); Directorate For Geosciences [1043670] Funding Source: National Science Foundation</t>
  </si>
  <si>
    <t>German Research Foundation (DFG) within DFG Priority Programme(German Research Foundation (DFG)); Sea Life Center Munich research grant 'Biodiversity of the Chilean fjords'; US National Science Foundation (NSF)(National Science Foundation (NSF)); NSF(National Science Foundation (NSF)); Australian Antarctic Science; Scripps Institution of Oceanography(University of California System); US Antarctic Marine Living Resources program;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</si>
  <si>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German Research Foundation (DFG) grants LE 2323/2, 2323/3, HE 3391/6 within DFG Priority Programme 1158 to F.L., C.M. and C.H., and in part by Sea Life Center Munich research grant 'Biodiversity of the Chilean fjords' to R.R.M. A.R.M. was supported by research grant ANT-1043670 by the US National Science Foundation (NSF). K.M.H. was supported by research grant ANT-1043745 by the NSF. C.P.A. was supported by Australian Antarctic Science Grant no. 3010. N.G.W. and G.W.R. were supported by research grant ANT-1043749 by the NSF, Scripps Institution of Oceanography, and the US Antarctic Marine Living Resources program.</t>
  </si>
  <si>
    <t>10.1098/rsos.140424</t>
  </si>
  <si>
    <t>DO7MG</t>
  </si>
  <si>
    <t>WOS:000377966100005</t>
  </si>
  <si>
    <t>Fisher, AT; Mankoff, KD; Tulaczyk, SM; Tyler, SW; Foley, N</t>
  </si>
  <si>
    <t>Fisher, Andrew T.; Mankoff, Kenneth D.; Tulaczyk, Slawek M.; Tyler, Scott W.; Foley, Neil</t>
  </si>
  <si>
    <t>WISSARD Sci Team</t>
  </si>
  <si>
    <t>High geothermal heat flux measured below the West Antarctic Ice Sheet</t>
  </si>
  <si>
    <t>FLOW; BOREHOLE; STREAMS; BENEATH; TEMPERATURE; WHILLANS; MANTLE; SHELF</t>
  </si>
  <si>
    <t>The geothermal heat flux is a critical thermal boundary condition that influences the melting, flow, and mass balance of ice sheets, but measurements of this parameter are difficult to make in ice-covered regions. We report the first direct measurement of geothermal heat flux into the base of the West Antarctic Ice Sheet (WAIS), below Subglacial Lake Whillans, determined from the thermal gradient and the thermal conductivity of sediment under the lake. The heat flux at this site is 285 +/- 80 mW/m(2), significantly higher than the continental and regional averages estimated for this site using regional geophysical and glaciological models. Independent temperature measurements in the ice indicate an upward heat flux through the WAIS of 105 +/- 13 mW/m(2). The difference between these heat flux values could contribute to basal melting and/or be advected from Subglacial Lake Whillans by flowing water. The high geothermal heat flux may help to explain why ice streams and subglacial lakes are so abundant and dynamic in this region.</t>
  </si>
  <si>
    <t>[Fisher, Andrew T.; Mankoff, Kenneth D.; Tulaczyk, Slawek M.; Foley, Neil] Univ Calif Santa Cruz, Dept Earth &amp; Planetary Sci, Santa Cruz, CA 95064 USA; [Mankoff, Kenneth D.] Woods Hole Oceanog Inst, Dept Phys Oceanog, Woods Hole, MA 02543 USA; [Tyler, Scott W.] Univ Nevada, Dept Geol Sci &amp; Engn, Reno, NV 89557 USA</t>
  </si>
  <si>
    <t>University of California System; University of California Santa Cruz; Woods Hole Oceanographic Institution; Nevada System of Higher Education (NSHE); University of Nevada Reno</t>
  </si>
  <si>
    <t>Fisher, AT (corresponding author), Univ Calif Santa Cruz, Dept Earth &amp; Planetary Sci, Santa Cruz, CA 95064 USA.</t>
  </si>
  <si>
    <t>afisher@ucsc.edu</t>
  </si>
  <si>
    <t>Fisher, Andrew T/A-1113-2016; Tulaczyk, Slawek/O-7375-2018; Mankoff, Kenneth/G-1197-2010</t>
  </si>
  <si>
    <t>Tulaczyk, Slawek/0000-0002-9711-4332; Mankoff, Kenneth/0000-0001-5453-2019; Fisher, Andrew/0000-0003-2102-8320</t>
  </si>
  <si>
    <t>U.S. National Science Foundation as part of the WISSARD project, through NSF grants [ANT-0838947, ANT-0839142, ANT-1043784]; NASA Earth and Space Science Fellowship Program [NNX10AN83H]; NSF [OIA-0939564, OCE-1131210]; CTEMPs (Center for Transformative Environmental Monitoring Programs) facility [EAR-1128999]; NASA [NNX10AN83H, 127354] Funding Source: Federal RePORTER; Directorate For Geosciences [1043784] Funding Source: National Science Foundation; Directorate For Geosciences; Division Of Earth Sciences [1129003] Funding Source: National Science Foundation; Directorate For Geosciences; Office of Polar Programs (OPP) [0839059] Funding Source: National Science Foundation; Division Of Earth Sciences; Directorate For Geosciences [1440596, 1337486, 1440506, 1128999] Funding Source: National Science Foundation; Division Of Polar Programs; Directorate For Geosciences [0838933] Funding Source: National Science Foundation; Office of Polar Programs (OPP) [1043784] Funding Source: National Science Foundation; Office of Polar Programs (OPP); Directorate For Geosciences [0839107] Funding Source: National Science Foundation</t>
  </si>
  <si>
    <t>U.S. National Science Foundation as part of the WISSARD project, through NSF grants; NASA Earth and Space Science Fellowship Program(National Aeronautics &amp; Space Administration (NASA)); NSF(National Science Foundation (NSF)); CTEMPs (Center for Transformative Environmental Monitoring Programs) facility; NASA(National Aeronautics &amp; Space Administration (NASA)); Directorate For Geosciences(National Science Foundation (NSF)NSF - Directorate for Geosciences (GEO)); Directorate For Geosciences; Division Of Earth Sciences(National Science Foundation (NSF)NSF - Directorate for Geosciences (GEO)); Directorate For Geosciences; Office of Polar Programs (OPP)(National Science Foundation (NSF)NSF - Directorate for Geosciences (GEO)); Division Of Earth Sciences; Directorate For Geosciences(National Science Foundation (NSF)NSF - Directorate for Geosciences (GEO)); Division Of Polar Programs;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</si>
  <si>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This work was supported by awards from the U.S. National Science Foundation as part of the WISSARD project, through NSF grants ANT-0838947, ANT-0839142, and ANT-1043784 (A.T.F. and S.M.T.), the NASA Earth and Space Science Fellowship Program (grant NNX10AN83H to K.D.M.), and by NSF grants OIA-0939564 and OCE-1131210 (A.T.F.). Additional instrument support was provided by the CTEMPs (Center for Transformative Environmental Monitoring Programs) facility under EAR-1128999.</t>
  </si>
  <si>
    <t>e1500093</t>
  </si>
  <si>
    <t>10.1126/sciadv.1500093</t>
  </si>
  <si>
    <t>V0V4P</t>
  </si>
  <si>
    <t>WOS:000216595400010</t>
  </si>
  <si>
    <t>Behar, AE; Chen, DD; Ho, C; McBryan, E; Walter, C; Horen, J; Foster, S; Foster, T; Warren, A; Vemprala, SH; Crowell, JM</t>
  </si>
  <si>
    <t>Behar, Alberto E.; Chen, Daming D.; Ho, Colin; McBryan, Emily; Walter, Christian; Horen, Joseph; Foster, Scott; Foster, Tyler; Warren, Andrew; Vemprala, Sai H.; Crowell, James M.</t>
  </si>
  <si>
    <t>MSLED: The Micro Subglacial Lake Exploration Device</t>
  </si>
  <si>
    <t>extreme environments; marine robotics; planetary robotics; underwater robotics; subglacial lakes</t>
  </si>
  <si>
    <t>Satellite altimetry and ice-penetrating radar have shown the existence of active subglacial lakes in Antarctica which may have a significant impact on the Southern Ocean and the dynamics of the overlying ice sheet. Understanding how subglacial floods affect ice dynamics is imperative to predicting the effect of ice sheets on rising sea levels, but it is not clearly understood. Furthermore, these encapsulated lakes contain uncharacterised biological ecosystems and serve as analogue environments for future extraterrestrial exploration. To investigate these subglacial environments, the authors developed the Micro Subglacial Lake Exploration Device (MSLED), a unique highly-miniaturised remotely operated vehicle. Equipped with a high-resolution imaging system, as well as conductivity, temperature and depth sensors for in situ measurements, the MSLED is capable of determining geological, hydrological and biological characteristics of subglacial lakes. It was successfully deployed in Antarctica during the 2011-2012 and 2012-2013 Antarctic summer seasons in collaboration with the Whillans Ice Stream Subglacial Access Research Drilling (WISSARD) expedition to Subglacial Lake Whillans (SLW), contributing to the discovery of microbial ecosystems within these environments. The present paper outlines the scientific background behind the mission, the design and implementation of the MSLED, as well as the results of tests and initial deployments in Antarctica.</t>
  </si>
  <si>
    <t>[Behar, Alberto E.; Walter, Christian] NASA, Jet Prop Lab, 4800 Oak Grove Dr, Pasadena, CA 91109 USA; [Behar, Alberto E.; Chen, Daming D.; Ho, Colin; McBryan, Emily; Horen, Joseph; Foster, Scott; Foster, Tyler; Warren, Andrew; Vemprala, Sai H.; Crowell, James M.] Arizona State Univ, Sch Earth &amp; Space Explorat, Tempe, AZ 85287 USA</t>
  </si>
  <si>
    <t>National Aeronautics &amp; Space Administration (NASA); NASA Jet Propulsion Laboratory (JPL); Arizona State University; Arizona State University-Tempe</t>
  </si>
  <si>
    <t>Behar, AE (corresponding author), NASA, Jet Prop Lab, 4800 Oak Grove Dr, Pasadena, CA 91109 USA.</t>
  </si>
  <si>
    <t>ddchen@asu.edu</t>
  </si>
  <si>
    <t>Vemprala, Sai/AAJ-7957-2020; Walter, Christian/GZG-8888-2022</t>
  </si>
  <si>
    <t>NASA Earth Science Cryospheric Sciences Program; National Science Foundation [1142123]; Jet Propulsion Laboratory; Arizona Space Grant Consortium; German Academic Exchange Service; Technische Universitat Munchen</t>
  </si>
  <si>
    <t>NASA Earth Science Cryospheric Sciences Program; National Science Foundation(National Science Foundation (NSF)); Jet Propulsion Laboratory; Arizona Space Grant Consortium; German Academic Exchange Service(Deutscher Akademischer Austausch Dienst (DAAD)); Technische Universitat Munchen</t>
  </si>
  <si>
    <t>The work described in the present paper was initially carried out at the Jet Propulsion Laboratory, managed by the California Institute of Technology under contract to the National Aeronautics and Space Administration, and subsequently at the School of Earth and Space Exploration at Arizona State University. Grant funding was provided by the NASA Earth Science Cryospheric Sciences Program and the National Science Foundation under award #1142123, with internships and research visits supported by the Jet Propulsion Laboratory, Arizona Space Grant Consortium, German Academic Exchange Service and Technische Universitat Munchen.</t>
  </si>
  <si>
    <t>10.3723/ut.33.003</t>
  </si>
  <si>
    <t>VD8IT</t>
  </si>
  <si>
    <t>WOS:000437649000002</t>
  </si>
  <si>
    <t>Rysman, JF; Verrier, S; Lahellec, A; Genthon, C</t>
  </si>
  <si>
    <t>Rysman, Jean-Francois; Verrier, Sebastien; Lahellec, Alain; Genthon, Christophe</t>
  </si>
  <si>
    <t>Analysis of Boundary-Layer Statistical Properties at Dome C, Antarctica</t>
  </si>
  <si>
    <t>Atmospheric boundary layer; Dome C; Meteorological tower; Scaling; Statistical properties</t>
  </si>
  <si>
    <t>UNIVERSAL MULTIFRACTALS; CASCADE STRUCTURE; SCALING REGIMES; RAINFALL; PLATEAU; MODELS; CLOUDS; FIELDS</t>
  </si>
  <si>
    <t>The atmospheric boundary layer over the Antarctic Plateau is unique on account of its isolated location and extreme stability. Here we investigate the characteristics of the boundary layer using wind and temperature measurements from a 45-m high tower located at Dome C. First, spectral analysis reveals that both fields have a scaling behaviour from 30 min to 10 days (spectral slope ). Wind and temperature time series also show a multifractal behaviour. Therefore, it is possible to fit the moment-scaling function to the universal multifractal model and obtain multifractal parameters for temperature () and wind speed (). The same analysis is repeated separately in winter and summer at six different heights. The parameter shows a strong stratification with height especially in summer, implying that properties of turbulence change surprisingly rapidly from the ground to the top of the tower.</t>
  </si>
  <si>
    <t>[Rysman, Jean-Francois] Univ Versailles St Quentin, Univ Paris 06, CNRS INSU, LATMOS IPSL, Guyancourt, France; [Verrier, Sebastien] CNES, LOCEAN UPMC IPSL, Paris, France; [Lahellec, Alain] Univ Paris 06, Lab Meteorol Dynam, Paris, France; [Genthon, Christophe] UJF Grenoble 1, CNRS, LGGE, Grenoble, France</t>
  </si>
  <si>
    <t>Universite Paris Saclay; Centre National de la Recherche Scientifique (CNRS); CNRS - National Institute for Earth Sciences &amp; Astronomy (INSU); Sorbonne Universite; Sorbonne Universite; Sorbonne Universite; Centre National de la Recherche Scientifique (CNRS); Communaute Universite Grenoble Alpes; Universite Grenoble Alpes (UGA)</t>
  </si>
  <si>
    <t>Rysman, JF (corresponding author), Univ Versailles St Quentin, Univ Paris 06, CNRS INSU, LATMOS IPSL, Guyancourt, France.</t>
  </si>
  <si>
    <t>jfrysman@lmd.polytechnique.fr</t>
  </si>
  <si>
    <t>French Polar Institute (IPEV); Institut National des Sciences de l,Univers; Observatoire des Sciences de l,Univers de Grenoble (OSUG)</t>
  </si>
  <si>
    <t>Boundary-layer observations and research at Dome C were supported by the French Polar Institute (IPEV; CALVA program), Institut National des Sciences de l,Univers (Concordia and LEFE-CLAPA programs), and Observatoire des Sciences de l,Univers de Grenoble (OSUG). We are grateful to Yvon Lemaitre for his precious help. The authors wish to thank two anonymous reviewers whose valuable feedback greatly improved the manuscript.</t>
  </si>
  <si>
    <t>10.1007/s10546-015-0024-x</t>
  </si>
  <si>
    <t>CJ0GG</t>
  </si>
  <si>
    <t>WOS:000355153200009</t>
  </si>
  <si>
    <t>Nagalingum, NS; Cantrill, DJ</t>
  </si>
  <si>
    <t>Nagalingum, Nathalie S.; Cantrill, David J.</t>
  </si>
  <si>
    <t>The Albian fern flora of Alexander Island, Antarctica</t>
  </si>
  <si>
    <t>Filicales; Polypodiopsida; Pteridophyte; Mesozoic; Antarctica; Gondwana; Polar forest</t>
  </si>
  <si>
    <t>SOUTH SHETLAND ISLANDS; CERRO NEGRO FORMATION; LIVINGSTON ISLAND; SP NOV.; FOSSIL FORESTS; WILLIAMS POINT; PRESIDENT-HEAD; TABLE NUNATAK; LATADY BASIN; SNOW-ISLAND</t>
  </si>
  <si>
    <t>The Albian Alexander Island macrofossil flora from the Antarctic Peninsula preserves a diverse community of liverworts (Marchantiophyta), ferns (Polypodiopsida), Lycopodiales, Equisetales, Cycadales, Ginkgoales, seed-ferns (Bennettitales and Pentoxylales), Coniferales, and the first representatives of angiospermous leaves in Antarctica. Despite the presence of angiosperms in this assemblage, ferns are the most diverse element of the flora and are also ecologically dominant, while angiosperms contribute a smaller component to floristic diversity and have low abundance. Here we describe 11 fern taxa from this assemblage. The fossils are assigned to Cladophlebis, Sphenopteris and two newly created genera. The new genera and species are described under Adiantitophyllum serratum gen. et. sp. nov. and Nunatakia alexanderensis gen. et. sp. nov., and the new species are recognized as Cladophlebis dissecta sp. nov., Cladophlebis drinnanii sp. nov., Cladophlebis macloughlinii sp. nov. and Sphenopteris sinuosa sp. nov. In total, there are 24 fern species known from Alexander Island. In comparison to older floras (Jurassic) there is a greater diversity of ferns, while latest Cretaceous floras preserve significantly fewer fern species and more angiosperms. Possible factors that might account for such high fern diversity are high rainfall or generally humid conditions, regular disturbances by flooding and occasionally fire, and the preservation of a diverse range of fern communities that represent several palaeoenvironments. (C) 2015 Elsevier Ltd. All rights reserved.</t>
  </si>
  <si>
    <t>[Nagalingum, Nathalie S.] Royal Bot Gardens &amp; Domain Trust, Natl Herbarium New South Wales, Sydney, NSW 2000, Australia; [Cantrill, David J.] Royal Bot Gardens Melbourne, Natl Herbarium Victoria, South Yarra, Vic 3141, Australia</t>
  </si>
  <si>
    <t>Nagalingum, NS (corresponding author), Royal Bot Gardens &amp; Domain Trust, Natl Herbarium New South Wales, Mrs Macquaries Rd, Sydney, NSW 2000, Australia.</t>
  </si>
  <si>
    <t>nathalie.nagalingum@rbgsyd.nsw.gov.au</t>
  </si>
  <si>
    <t>Cantrill, David/R-1415-2019</t>
  </si>
  <si>
    <t>Cantrill, David/0000-0002-1185-4015</t>
  </si>
  <si>
    <t>Department of Palaeobotany, Swedish Museum of Natural History</t>
  </si>
  <si>
    <t>The authors wish to thank the British Antarctic Survey for bench space; British Antarctic Survey photographers for photographing specimens; School of Botany, The University of Melbourne, which hosted this research as part of a Ph.D. project; The Department of Palaeobotany, Swedish Museum of Natural History for support during the writing up of this research; and Stephen McLoughlin for his careful editing of earlier versions of the manuscript. Carole Gee and Benjamin Bomfleur are gratefully acknowledged for their thorough reviews, which significantly improved this work.</t>
  </si>
  <si>
    <t>10.1016/j.cretres.2015.02.005</t>
  </si>
  <si>
    <t>CI8QP</t>
  </si>
  <si>
    <t>WOS:000355037100023</t>
  </si>
  <si>
    <t>Chela-Flores, J; Cicuttin, A; Crespo, ML; Tuniz, C</t>
  </si>
  <si>
    <t>Chela-Flores, J.; Cicuttin, A.; Crespo, M. L.; Tuniz, C.</t>
  </si>
  <si>
    <t>Biogeochemical fingerprints of life: earlier analogies with polar ecosystems suggest feasible instrumentation for probing the Galilean moons</t>
  </si>
  <si>
    <t>INTERNATIONAL JOURNAL OF ASTROBIOLOGY</t>
  </si>
  <si>
    <t>biogeochemistry; habitability of Europa; isotope composition measurements; miniature laser ablation TOF mass spectrometer; the JUICE mission; the NASA proposed Europa lander</t>
  </si>
  <si>
    <t>SULFUR ISOTOPE FRACTIONATION; HYDRATED SALT MINERALS; GAS MASS-SPECTROMETER; SULFATE REDUCTION; SUBSURFACE OCEAN; EUROPAS SURFACE; BACTERIAL; ORIGIN; MODEL; ATMOSPHERE</t>
  </si>
  <si>
    <t>We base our search for the right instrumentation for detecting biosignatures on Europa on the analogy suggested by the recent work on polar ecosystems in the Canadian Arctic at Ellesmere Island. In that location sulphur patches (analogous to the Europan patches) are accumulating on glacial ice lying over saline springs rich in sulphate and sulphide. Their work reinforces earlier analogies in Antarctic ecosystems that are appropriate models for possible habitats that will be explored by the European Space Agency JUpiter ICy Moons Explorer (JUICE) mission to the Jovian System. Its Jupiter Ganymede Orbiter (JGO) will include orbits around Europa and Ganymede. The Galileo orbital mission discovered surficial patches of non-ice elements on Europa that were widespread and, in some cases possibly endogenous. This suggests the possibility that the observed chemical elements in the exoatmosphere may be from the subsurface ocean. Spatial resolution calculations of Cassidy and co-workers are available, suggesting that the atmospheric S content can be mapped by a neutral mass spectrometer, now included among the selected JUICE instruments. In some cases, large S-fractionations are due to microbial reduction and disproportionation (although sometimes providing a test for ecosystem fingerprints, even though with Sim-Bosak-Ono we maintain that microbial sulphate reduction large sulphur isotope fractionation does not require disproportionation. We address the question of the possible role of oxygen in the Europan ocean. Instrument issues are discussed for measuring stable S-isotope fractionations up to the known limits in natural populations of (34)approximate to-70 parts per thousand. We state the hypothesis of a Europa anaerobic oceanic population of sulphate reducers and disproportionators that would have the effect of fractionating the sulphate that reaches the low-albedo surficial regions. This hypothesis is compatible with the time-honoured expectation of Kaplan and co-workers (going back to the 1960s) that the distribution range of S-32/S-34 in analysed extra-terrestrial material appears to be narrower than the isotopic ratio of H, C or N and may be the most reliable for estimating biological effects. In addition, we discuss the necessary instruments that can test our biogenic hypothesis. First of all we hasten to clarify that the last-generation miniaturized mass spectrometer we discuss in the present paper are capable of reaching the required accuracy of parts per thousand for the all-important measurements with JGO of the thin atmospheres of the icy satellites. To implement the measurements, we single out miniature laser ablation time-of-flight mass spectrometers that are ideal for the forthcoming JUICE probing of the exoatmospheres, ionospheres and, indirectly, surficial low-albedo regions. Ganymede's surface, besides having ancient dark terrains covering about one-third of the total surface, has bright terrains of more recent origin, possibly due to some internal processes, not excluding biological ones. The geochemical test could identify bioindicators on Europa and exclude them on its large neighbour by probing relatively recent bright terrains on Ganymede's Polar Regions.</t>
  </si>
  <si>
    <t>[Chela-Flores, J.] Abdus Salam Int Ctr Theoret Phys, Appl Phys Sect, Trieste, Italy; [Chela-Flores, J.] Inst Estudios Avanzados, IDEA, Caracas, Venezuela; [Cicuttin, A.; Crespo, M. L.; Tuniz, C.] Abdus Salam Int Ctr Theoret Phys, MLab, Trieste, Italy</t>
  </si>
  <si>
    <t>Abdus Salam International Centre for Theoretical Physics (ICTP); Abdus Salam International Centre for Theoretical Physics (ICTP)</t>
  </si>
  <si>
    <t>Chela-Flores, J (corresponding author), Abdus Salam Int Ctr Theoret Phys, Appl Phys Sect, Trieste, Italy.</t>
  </si>
  <si>
    <t>chelaf@ictp.it</t>
  </si>
  <si>
    <t>Cicuttin, Andres/ABD-9204-2020; Cicuttin, Andres/ABD-6130-2020</t>
  </si>
  <si>
    <t>Crespo, Maria Liz/0000-0002-5483-3388</t>
  </si>
  <si>
    <t>1473-5504</t>
  </si>
  <si>
    <t>1475-3006</t>
  </si>
  <si>
    <t>INT J ASTROBIOL</t>
  </si>
  <si>
    <t>Int. J. Astrobiol.</t>
  </si>
  <si>
    <t>10.1017/S1473550414000391</t>
  </si>
  <si>
    <t>CI7TJ</t>
  </si>
  <si>
    <t>WOS:000354967400009</t>
  </si>
  <si>
    <t>Backhaus, T; de la Torre, R; Lyhme, K; de Vera, JP; Meessen, J</t>
  </si>
  <si>
    <t>Backhaus, T.; de la Torre, R.; Lyhme, K.; de Vera, J. -P.; Meessen, J.</t>
  </si>
  <si>
    <t>Desiccation and low temperature attenuate the effect of UVC254 nm in the photobiont of the astrobiologically relevant lichens Circinaria gyrosa and Buellia frigida</t>
  </si>
  <si>
    <t>astrobiology; BIOMEX; extremotolerance; lichens; photobiont; photodamage; UVC</t>
  </si>
  <si>
    <t>SIMULATED MARS CONDITIONS; UV-B RADIATION; EXPOSE-E; INTERNATIONAL-SPACE; BIOCHEMICAL-CHANGES; PHOTOSYSTEM-II; ULTRAVIOLET-B; DAMAGE; RESISTANCE; SURVIVAL</t>
  </si>
  <si>
    <t>Several investigations on lichen photobionts (PBs) after exposure to simulated or real-space parameters consistently reported high viability and recovery of photosynthetic activity. These studies focused on PBs within lichen thalli, mostly exposed in a metabolically inactive state. In contrast, a recent study exposed isolated and metabolically active PBs to the non-terrestrial stressor UVC254nm and found strong impairment of photosynthetic activity and photo-protective mechanisms (Mee ss en et al. in 2014b). Under space and Mars conditions, UVC is accompanied by other stressors as extreme desiccation and low temperatures. The present study exposed the PBs of Buellia frigida and Circinaria gyrosa, to UVC in combination with desiccation and subzero temperatures to gain better insight into the combined stressors' effect and the PBs' inherent potential of resistance. These effects were examined by chlorophyll a fluorescence which is a good indicator of photosynthetic activity (Luttge &amp; Budel in 2010) and widely used to test the viability of PBs after (simulated) space exposure. The present results reveal fast recovery of photosynthetic activity after desiccation and subzero temperatures. Moreover, they demonstrate that desiccation and cold confer an additional protective effect on the investigated PBs and attenuate the PBs' reaction to another stressor - even if it is a non-terrestrial one such as UVC. Besides other protective mechanisms (anhydrobiosis, morphological-anatomical traits and secondary lichen compounds), these findings may help to explain the high resistance of lichens observed in astrobiological studies.</t>
  </si>
  <si>
    <t>[Backhaus, T.; Lyhme, K.; Meessen, J.] Univ Dusseldorf, Inst Bot, D-40225 Dusseldorf, Germany; [de la Torre, R.] Inst Nacl Tecn Aeroespacial INTA, Madrid 28850, Spain; [de Vera, J. -P.] Deutsch Zentrum Luft &amp; Raumfahrt DLR, Inst Planetenforsch, D-12489 Berlin, Germany</t>
  </si>
  <si>
    <t>Heinrich Heine University Dusseldorf; Helmholtz Association; German Aerospace Centre (DLR)</t>
  </si>
  <si>
    <t>Backhaus, T (corresponding author), Univ Dusseldorf, Inst Bot, Univ Str 1, D-40225 Dusseldorf, Germany.</t>
  </si>
  <si>
    <t>de la Torre Noetzel, Rosa/AAA-2920-2019</t>
  </si>
  <si>
    <t>de la Torre Noetzel, Maria Rosa/0000-0003-2394-0268</t>
  </si>
  <si>
    <t>German Federal Ministry of Economics and Energy (BMWi); German Aerospace Center (DLR) [50BW1153]; ESA; DLR [ESA-ILSRA 2009-0834]</t>
  </si>
  <si>
    <t>German Federal Ministry of Economics and Energy (BMWi); German Aerospace Center (DLR)(Helmholtz AssociationGerman Aerospace Centre (DLR)); ESA(European Space Agency); DLR(Helmholtz AssociationGerman Aerospace Centre (DLR))</t>
  </si>
  <si>
    <t>We would like to thank S. Ott for collecting the samples of B. frigida during the GANOVEX 10 expedition (DFG, OT 96/15-1 as part of the Antarctic Priority Program 1158) as well as for highly valuable discussions. The authors also acknowledge the German Federal Ministry of Economics and Energy (BMWi) and the German Aerospace Center (DLR) for funding the work of Joachim Meessen (50BW1153) as well as ESA and DLR for supporting the space experiment BIOMEX (ESA-ILSRA 2009-0834, PI: J.-P. de Vera). Finally, we thank the anonymous reviewers for their comments and suggestions.</t>
  </si>
  <si>
    <t>10.1017/S1473550414000470</t>
  </si>
  <si>
    <t>WOS:000354967400014</t>
  </si>
  <si>
    <t>Whelan, MJ; Coulon, F; Hince, G; Rayner, J; McWatters, R; Spedding, T; Snape, I</t>
  </si>
  <si>
    <t>Whelan, M. J.; Coulon, F.; Hince, G.; Rayner, J.; McWatters, R.; Spedding, T.; Snape, I.</t>
  </si>
  <si>
    <t>Fate and transport of petroleum hydrocarbons in engineered biopiles in polar regions</t>
  </si>
  <si>
    <t>Fugacity model; Hydrocarbon contamination; Antarctic soils; Biopile</t>
  </si>
  <si>
    <t>ORGANIC POLLUTANTS; COLD ENVIRONMENTS; CASEY STATION; CRUDE-OIL; SOIL; BIODEGRADATION; BIOREMEDIATION; MINERALIZATION; DEGRADATION; ANTARCTICA</t>
  </si>
  <si>
    <t>A dynamic multi-media model that includes temperature-dependency for partitioning and degradation was developed to predict the behaviour of petroleum hydrocarbons during biopiling at low temperature. The activation energy (Ea) for degradation was derived by fitting the Arrhenius equation to hydrocarbon concentrations from temperature-controlled soil mesocosms contaminated with crude oil and diesel. The model was then applied to field-scale biopiles containing soil contaminated with diesel and kerosene at Casey Station, Antarctica. Temporal changes of total petroleum hydrocarbons (TPH) concentrations were very well described and predictions for individual hydrocarbon fractions were generally acceptable (disparity between measured and predicted concentrations was less than a factor two for most fractions). Biodegradation was predicted to be the dominant loss mechanism for all but the lightest aliphatic fractions, for which volatilisation was most important. Summertime losses were significant, resulting in TPH concentrations which were about 25% of initial concentrations just 1 year after the start of treatment. This contrasts with the slow rates often reported for hydrocarbons in situ and suggests that relatively simple remediation techniques can be effective even in Antarctica. (C) 2014 Elsevier Ltd. All rights reserved.</t>
  </si>
  <si>
    <t>[Whelan, M. J.] Univ Leicester, Dept Geog, Leicester LE1 7RH, Leics, England; [Coulon, F.] Cranfield Univ, Sch Appl Sci, Dept Environm Sci &amp; Technol, Cranfield MK43 0AL, Beds, England; [Hince, G.; McWatters, R.; Spedding, T.; Snape, I.] Australian Antarctic Div, Risk &amp; Remediat, Terr &amp; Nearshore Ecosyst, Kingston, Tas 7050, Australia; [Rayner, J.] CSIRO, Land &amp; Water, Wembley, WA 6913, Australia</t>
  </si>
  <si>
    <t>University of Leicester; Cranfield University; Australian Antarctic Division; Commonwealth Scientific &amp; Industrial Research Organisation (CSIRO)</t>
  </si>
  <si>
    <t>Coulon, F (corresponding author), Univ Leicester, Dept Geog, Leicester LE1 7RH, Leics, England.</t>
  </si>
  <si>
    <t>f.coulon@cranfield.ac.uk</t>
  </si>
  <si>
    <t>Coulon, Frederic/B-3227-2009; Rayner, John L/F-7633-2013; Whelan, Michael/K-9871-2016</t>
  </si>
  <si>
    <t>Coulon, Frederic/0000-0002-4384-3222; Spedding, Tim/0000-0002-4023-2469; Whelan, Michael/0000-0003-0277-9559</t>
  </si>
  <si>
    <t>This work was funded by the Australian Antarctic Division and was facilitated by a workshop held in Zermatt, Switzerland in 2012.</t>
  </si>
  <si>
    <t>10.1016/j.chemosphere.2014.10.088</t>
  </si>
  <si>
    <t>CI2NP</t>
  </si>
  <si>
    <t>WOS:000354584600030</t>
  </si>
  <si>
    <t>Stammerjohn, SE; Maksym, T; Massom, RA; Lowry, KE; Arrigo, KR; Yuan, X; Raphael, M; Randall-Goodwin, E; Sherrell, RM; Yager, PL</t>
  </si>
  <si>
    <t>Stammerjohn, S. E.; Maksym, T.; Massom, R. A.; Lowry, K. E.; Arrigo, K. R.; Yuan, X.; Raphael, M.; Randall-Goodwin, E.; Sherrell, R. M.; Yager, P. L.</t>
  </si>
  <si>
    <t>Seasonal sea ice changes in the Amundsen Sea, Antarctica, over the period of 1979-2014</t>
  </si>
  <si>
    <t>CIRCUMPOLAR DEEP-WATER; CLIMATE VARIABILITY; OCEAN CIRCULATION; WEST ANTARCTICA; SHELF; BELLINGSHAUSEN; RETREAT; TRENDS; EMBAYMENT; TRANSPORT</t>
  </si>
  <si>
    <t>Recent attention has focused on accelerated glacial losses along the Amundsen Sea coast that result from changes in atmosphere and ocean circulation, with sea ice playing a mediating but not well-understood role. Here, we investigated how sea ice has changed in the Amundsen Sea over the period of 1979 to 2014, focusing on spatio-temporal changes in ice edge advance/retreat and percent sea ice cover in relation to changes in winds. In contrast to the widespread sea ice decreases to the east and increases to the west of the Amundsen Sea, sea ice changes in the Amundsen Sea were confined to three areas: (i) offshore of the shelf break, (ii) the southern Pine Island Polynya, and (iii) the eastern Amundsen Sea Polynya. Offshore, a 2-month decrease in ice season duration coincided with seasonal shifts in wind speed and direction from March to May (relating to later ice advance) and from September to August (relating to earlier retreat), consistent with reported changes in the depth/location of the Amundsen Sea Low. In contrast, sea ice decreases in the polynya areas corresponded to episodic or step changes in spring ice retreat (earlier by 1-2 months) and were coincident with changes to Thwaites Iceberg Tongue (located between the two polynyas) and increased southeasterly winds. Temporal correlations among these three areas were weak, indicating different local forcing and/or differential response to large-scale forcing. Although our analysis has shown that part of the variability can be explained by changes in winds or to the coastal icescape, an additional but unknown factor is how sea ice has responded to changes in ocean heat and freshwater inputs. Unraveling cause and effect, critical for predicting changes to this rapidly evolving ocean-ice shelf-sea ice system, will require in situ observations, along with improved remote sensing capabilities and ocean modeling.</t>
  </si>
  <si>
    <t>[Stammerjohn, S. E.] Univ Colorado, Inst Arctic &amp; Alpine Res, Boulder, CO 80309 USA; [Maksym, T.] Woods Hole Oceanog Inst, Woods Hole, MA 02543 USA; [Massom, R. A.] Australian Antarctic Div, Kingston, Tas, Australia; [Massom, R. A.] Univ Tasmania, Antarctic Climate &amp; Ecosyst Cooperat Res Ctr, Hobart, Tas, Australia; [Lowry, K. E.; Arrigo, K. R.] Stanford Univ, Dept Environm Earth Syst Sci, Stanford, CA 94305 USA; [Yuan, X.] Columbia Univ, Lamont Doherty Earth Observ, New York, NY USA; [Raphael, M.] Univ Calif Los Angeles, Dept Geog, Los Angeles, CA 90024 USA; [Randall-Goodwin, E.] Univ Calif San Diego, Scripps Inst Oceanog, San Diego, CA 92103 USA; [Sherrell, R. M.] Rutgers State Univ, Dept Marine &amp; Coastal Sci, New Brunswick, NJ 08903 USA; [Sherrell, R. M.] Rutgers State Univ, Dept Earth &amp; Planetary Sci, New Brunswick, NJ 08903 USA; [Yager, P. L.] Univ Georgia, Dept Marine Sci, Athens, GA 30602 USA</t>
  </si>
  <si>
    <t>University of Colorado System; University of Colorado Boulder; Woods Hole Oceanographic Institution; Australian Antarctic Division; Antarctic Climate &amp; Ecosystems Cooperative Research Centre (ACE CRC); University of Tasmania; Stanford University; Columbia University; University of California System; University of California Los Angeles; University of California System; University of California San Diego; Scripps Institution of Oceanography; Rutgers University System; Rutgers University New Brunswick; Rutgers University System; Rutgers University New Brunswick; University System of Georgia; University of Georgia</t>
  </si>
  <si>
    <t>Stammerjohn, SE (corresponding author), Univ Colorado, Inst Arctic &amp; Alpine Res, Boulder, CO 80309 USA.</t>
  </si>
  <si>
    <t>Yuan, Xiaojun/AAI-7770-2020; Yager, Patricia/K-8020-2014</t>
  </si>
  <si>
    <t>Yuan, Xiaojun/0000-0002-6530-1619; Yager, Patricia/0000-0002-8462-6427; Massom, Robert/0000-0003-1533-5084; STAMMERJOHN, SHARON/0000-0002-1697-8244</t>
  </si>
  <si>
    <t>Directorate For Geosciences; Office of Polar Programs (OPP) [1440435, 1142075] Funding Source: National Science Foundation; Directorate For Geosciences; Office of Polar Programs (OPP) [1043669, 1443444] Funding Source: National Science Foundation</t>
  </si>
  <si>
    <t>Directorate For Geosciences; Office of Polar Programs (OPP)(National Science Foundation (NSF)NSF - Directorate for Geosciences (GEO)); Directorate For Geosciences; Office of Polar Programs (OPP)(National Science Foundation (NSF)NSF - Directorate for Geosciences (GEO))</t>
  </si>
  <si>
    <t>JUN 30</t>
  </si>
  <si>
    <t>10.12952/journal.elementa.000055</t>
  </si>
  <si>
    <t>CS5JN</t>
  </si>
  <si>
    <t>WOS:000362114400001</t>
  </si>
  <si>
    <t>Alvarado-Cuevas, ZD; López-Hidalgo, AM; Ordoñez, LG; Oceguera-Contreras, E; Ornelas-Salas, JT; De Leon-Rodríguez, A</t>
  </si>
  <si>
    <t>Alvarado-Cuevas, Zazil D.; Lopez-Hidalgo, Angel M.; Ordonez, Leandro G.; Oceguera-Contreras, Eden; Tomas Ornelas-Salas, Jose; De Leon-Rodriguez, Antonio</t>
  </si>
  <si>
    <t>Biohydrogen production using psychrophilic bacteria isolated from Antarctica</t>
  </si>
  <si>
    <t>INTERNATIONAL JOURNAL OF HYDROGEN ENERGY</t>
  </si>
  <si>
    <t>Biohydrogen; Biofuel; Antarctic psychrophilic bacteria; Ethanol; Psychrophile</t>
  </si>
  <si>
    <t>FERMENTATIVE HYDROGEN-PRODUCTION; CHEESE WHEY; ETHANOL-PRODUCTION; DARK FERMENTATION; LOW-TEMPERATURE; SP NOV.; SUBSTRATE; CULTURE; MICROORGANISMS; GLUCOSE</t>
  </si>
  <si>
    <t>The growing interest in hydrogen as a fuel has intensified the search of novel approaches for new production processes, among which biohydrogen stands out. Currently mesophilic and thermophilic microorganisms have been used as inocula, and practically no information on the use of psychrophilic microorganisms is available. In this study, the capability of producing biohydrogen by 14 cultivable psychrophilic bacteria, which were isolated from samples of Antarctica, was evaluated. Microorganisms were typified using molecular techniques, and biohydrogen production screening was performed in 120 ml serological bottles with a production medium containing 2.75 g/l tryptone, 0.25 g/l yeast extract, and 20 g/l glucose as carbon source. Results showed that all psychrophilic strains produced biohydrogen from 34.8 to 253.3 ml. Maximum production and production rate of 253.3 ml and 16.64 ml/l/h, respectively were attained by GA051, which is closely related to Janthinobacterium agaricidamnosum (Y08845) with an identity of 98%, whereas the maximum biohydrogen yield of 1.57 mol H-2/mol glucose was for the GA024 strain, closely related to Polaromonas jejuensis strain JS12-13 (NR044379) with an identity of 99%. Metabolites were also tested and the main byproducts were organic acids and ethanol. Our results demonstrate that psychrophilic bacteria isolated from Antarctica have a high potential to be used for developing new biotechnological processes for biohydrogen production. Copyright (c) 2014, Hydrogen Energy Publications, LLC. Published by Elsevier Ltd. All rights reserved.</t>
  </si>
  <si>
    <t>[Alvarado-Cuevas, Zazil D.; Lopez-Hidalgo, Angel M.; Ordonez, Leandro G.; Oceguera-Contreras, Eden; De Leon-Rodriguez, Antonio] Inst Potosino Invest Cient &amp; Tecnol AC, Div Mol Biol, San Luis Potosi 78216, Slp, Mexico; [Tomas Ornelas-Salas, Jose] Univ Autonoma Guadalajara, Fac Ciencias, Zapopan 45129, Jalisco, Mexico</t>
  </si>
  <si>
    <t>Instituto Potosino Investigacion Cientifica y Tecnologica; Universidad Autonoma de Guadalajara</t>
  </si>
  <si>
    <t>De Leon-Rodríguez, A (corresponding author), Inst Potosino Invest Cient &amp; Tecnol AC, Div Mol Biol, Camino Presa San Jose 2055,Col Lomas 4a Secc, San Luis Potosi 78216, Slp, Mexico.</t>
  </si>
  <si>
    <t>aleonr@ipicyt.edu.mx</t>
  </si>
  <si>
    <t>De Leon Rodriguez, Antonio/AFV-3188-2022; De Leon-Rodriguez, Antonio/AAO-4856-2020; Lopez-Hidalgo, Angel Mario/AAF-2492-2020</t>
  </si>
  <si>
    <t>De Leon Rodriguez, Antonio/0000-0003-3347-3499; Lopez-Hidalgo, Angel Mario/0000-0002-3422-9570; Oceguera-Contreras, Eden/0000-0002-3694-6557</t>
  </si>
  <si>
    <t>CONACyT [CONACyT-Basicas 178988, 261091, 223360]</t>
  </si>
  <si>
    <t>CONACyT(Consejo Nacional de Ciencia y Tecnologia (CONACyT))</t>
  </si>
  <si>
    <t>We thank to CONACyT for funding through the Grants CONACyT-Basicas 178988 and Cecilia Alvarez for her technical support. A. Lopez and Z. Alvarado thank CONACyT for their scholarship 261091 and 223360, respectively. We also thank Jonathon Simon for the English revision.</t>
  </si>
  <si>
    <t>0360-3199</t>
  </si>
  <si>
    <t>1879-3487</t>
  </si>
  <si>
    <t>INT J HYDROGEN ENERG</t>
  </si>
  <si>
    <t>Int. J. Hydrog. Energy</t>
  </si>
  <si>
    <t>JUN 29</t>
  </si>
  <si>
    <t>10.1016/j.ijhydene.2014.10.063</t>
  </si>
  <si>
    <t>Chemistry, Physical; Electrochemistry; Energy &amp; Fuels</t>
  </si>
  <si>
    <t>Chemistry; Electrochemistry; Energy &amp; Fuels</t>
  </si>
  <si>
    <t>CK9GQ</t>
  </si>
  <si>
    <t>WOS:000356549000021</t>
  </si>
  <si>
    <t>Kurita, S; Kadokura, A; Miyoshi, Y; Morioka, A; Sato, Y; Misawa, H</t>
  </si>
  <si>
    <t>Kurita, Satoshi; Kadokura, Akira; Miyoshi, Yoshizumi; Morioka, Akira; Sato, Yuka; Misawa, Hiroaki</t>
  </si>
  <si>
    <t>Relativistic electron precipitations in association with diffuse aurora: Conjugate observation of SAMPEX and the all-sky TV camera at Syowa Station</t>
  </si>
  <si>
    <t>diffuse aurora; whistler mode wave; SAMPEX; Syowa Station; radiation belts</t>
  </si>
  <si>
    <t>OUTER RADIATION BELT; PULSATING AURORA; MAGNETIC STORM; CHORUS; ACCELERATION; WAVES; SOLAR; MAGNETOSPHERE; TELESCOPE; WHISTLERS</t>
  </si>
  <si>
    <t>It has been believed that whistler mode waves can cause relativistic electron precipitations. It has been also pointed out that pitch angle scattering of approximate to keV electrons by whistler mode waves results in diffuse auroras. Thus, it is natural to expect relativistic electron precipitations associated with diffuse auroras. Based on a conjugate observation between the SAMPEX spacecraft and the all-sky TV camera at Syowa Station, we report, for the first time, a case in which relativistic electron precipitations are associated with diffuse aurora. The SAMPEX observation shows that the precipitations of &gt; 1MeV electrons are well accompanied with those of &gt; 150 and &gt; 400keV electrons. This indicates that electrons in the energy range from several keV to &gt; 1MeV precipitate into the atmosphere simultaneously. Our result supports the idea that whistler mode waves contribute to both generation of diffuse auroras and relativistic electron precipitations.</t>
  </si>
  <si>
    <t>[Kurita, Satoshi; Miyoshi, Yoshizumi] Nagoya Univ, Solar Terr Environm Lab, Nagoya, Aichi 4648601, Japan; [Kadokura, Akira; Sato, Yuka] Natl Inst Polar Res, Tokyo, Japan; [Kadokura, Akira] SOKENDAI, Grad Univ Adv Studies, Sch Multidisciplinary Sci, Dept Polar Sci, Tokyo, Japan; [Morioka, Akira; Misawa, Hiroaki] Tohoku Univ, Grad Sch Sci, Planetary Plasma &amp; Atmospher Res Ctr, Sendai, Miyagi 980, Japan</t>
  </si>
  <si>
    <t>Nagoya University; Research Organization of Information &amp; Systems (ROIS); National Institute of Polar Research (NIPR) - Japan; Graduate University for Advanced Studies - Japan; Tohoku University</t>
  </si>
  <si>
    <t>Kurita, S (corresponding author), Nagoya Univ, Solar Terr Environm Lab, Nagoya, Aichi 4648601, Japan.</t>
  </si>
  <si>
    <t>kurita@stelab.nagoya-u.ac.jp</t>
  </si>
  <si>
    <t>Miyoshi, Yoshizumi/T-5748-2019</t>
  </si>
  <si>
    <t>Miyoshi, Yoshizumi/0000-0001-7998-1240; Sato, Yuka/0000-0002-3776-1175</t>
  </si>
  <si>
    <t>Japan Society for the Promotion of Science (JSPS) [23340146, 23224011, 25302006]; JSPS Program for Advancing Strategic International Networks to Accelerate the Circulation of Talented Researchers [G2602]; Grants-in-Aid for Scientific Research [15H02628, 25302006, 23340146, 14J09407] Funding Source: KAKEN</t>
  </si>
  <si>
    <t>Japan Society for the Promotion of Science (JSPS)(Ministry of Education, Culture, Sports, Science and Technology, Japan (MEXT)Japan Society for the Promotion of Science); JSPS Program for Advancing Strategic International Networks to Accelerate the Circulation of Talented Researchers; Grants-in-Aid for Scientific Research(Ministry of Education, Culture, Sports, Science and Technology, Japan (MEXT)Japan Society for the Promotion of ScienceGrants-in-Aid for Scientific Research (KAKENHI))</t>
  </si>
  <si>
    <t>Auroral observations at Syowa Station were carried out during the Japanese Antarctic Research Expedition. The all-sky TV camera data are supplied by the Space and Upper Atmospheric Sciences group in the National Institute of Polar Research in Japan. The SAMPEX HILT and PET data are available at the SAMPEX Data Center (http://www.srl.caltech.edu/sampex/DataCenter/). The SYM-H and AL indices were provided by the World Data Center for Geomagnetism, Kyoto (http://wdc.kugi.kyoto-u.ac.jp/aeasy/index.html). Solar wind parameters were obtained from the OMNI database provided by the Space Physics Data Facility at the NASA Goddard Space Flight Center (ftp://spdf.gsfc.nasa.gov/pub/data/omni/omni_cdaweb/). The authors would like to acknowledge M. Ozaki for his helpful discussions and assistance. This study is supported by Grants-in-Aid for Scientific Research (23340146, 23224011, and 25302006) of Japan Society for the Promotion of Science (JSPS) and JSPS Program for Advancing Strategic International Networks to Accelerate the Circulation of Talented Researchers under grant G2602. S.K. is supported by a research fellowship of JSPS for Young Scientists.</t>
  </si>
  <si>
    <t>JUN 28</t>
  </si>
  <si>
    <t>10.1002/2015GL064564</t>
  </si>
  <si>
    <t>CM9CB</t>
  </si>
  <si>
    <t>WOS:000358002500006</t>
  </si>
  <si>
    <t>Steig, EJ; Huybers, K; Singh, HA; Steiger, NJ; Ding, QH; Frierson, DMW; Popp, T; White, JWC</t>
  </si>
  <si>
    <t>Steig, Eric J.; Huybers, Kathleen; Singh, Hansi A.; Steiger, Nathan J.; Ding, Qinghua; Frierson, Dargan M. W.; Popp, Trevor; White, James W. C.</t>
  </si>
  <si>
    <t>Influence of West Antarctic Ice Sheet collapse on Antarctic surface climate</t>
  </si>
  <si>
    <t>Antarctica; atmospheric circulation; ice core; glaciology; sea level</t>
  </si>
  <si>
    <t>SEA-LEVEL; CHRONOLOGY AICC2012; MOUNT-MOULTON; CORE; RECORD; VARIABILITY; WAVES; DOME</t>
  </si>
  <si>
    <t>Climate model simulations are used to examine the impact of a collapse of the West Antarctic Ice Sheet (WAIS) on the surface climate of Antarctica. The lowered topography following WAIS collapse produces anomalous cyclonic circulation with increased flow of warm, maritime air toward the South Pole and cold-air advection from the East Antarctic plateau toward the Ross Sea and Marie Byrd Land, West Antarctica. Relative to the background climate, areas in East Antarctica that are adjacent to the WAIS warm, while substantial cooling (several degrees C) occurs over parts of West Antarctica. Anomalously low isotope-paleotemperature values at Mount Moulton, West Antarctica, compared with ice core records in East Antarctica, are consistent with collapse of the WAIS during the last interglacial period, Marine Isotope Stage 5e. More definitive evidence might be recoverable from an ice core record at Hercules Dome, East Antarctica, which would experience significant warming and positive oxygen isotope anomalies if the WAIS collapsed.</t>
  </si>
  <si>
    <t>[Steig, Eric J.] Univ Washington, Quaternary Res Ctr, Seattle, WA 98195 USA; [Steig, Eric J.] Univ Washington, Dept Earth &amp; Space Sci, Seattle, WA 98195 USA; [Steig, Eric J.; Singh, Hansi A.; Steiger, Nathan J.; Frierson, Dargan M. W.] Univ Washington, Dept Atmospher Sci, Seattle, WA 98195 USA; [Huybers, Kathleen] Pacific Lutheran Univ, Dept Geosci, Tacoma, WA 98447 USA; [Ding, Qinghua] Univ Washington, Appl Phys Lab, Seattle, WA 98105 USA; [Popp, Trevor] Univ Copenhagen, Niels Bohr Inst, DK-2100 Copenhagen, Denmark; [White, James W. C.] Univ Colorado, Inst Arctic &amp; Alpine Res, Boulder, CO 80309 USA</t>
  </si>
  <si>
    <t>University of Washington; University of Washington Seattle; University of Washington; University of Washington Seattle; University of Washington; University of Washington Seattle; Pacific Lutheran University; University of Washington; University of Washington Seattle; University of Copenhagen; Niels Bohr Institute; University of Colorado System; University of Colorado Boulder</t>
  </si>
  <si>
    <t>Steig, EJ (corresponding author), Univ Washington, Quaternary Res Ctr, Seattle, WA 98195 USA.</t>
  </si>
  <si>
    <t>steig@uw.edu</t>
  </si>
  <si>
    <t>Steig, Eric J/G-9088-2015; Steiger, Nathan/T-3152-2019; Singh, Hansi/P-9354-2019; White, James W.C./A-7845-2009; Frierson, Dargan/F-1763-2010</t>
  </si>
  <si>
    <t>Frierson, Dargan/0000-0001-8952-5644</t>
  </si>
  <si>
    <t>National Science Foundation [1043092, 0230316, 0846641, 0936059, 1359464, 1341497]; University of Washington; Department of Energy; Leverhulme Trust; University of Edinburgh; Div Atmospheric &amp; Geospace Sciences; Directorate For Geosciences [1359464, 0936059] Funding Source: National Science Foundation; Office of Polar Programs (OPP); Directorate For Geosciences [1043167, 1341497, 1443328] Funding Source: National Science Foundation; Office of Polar Programs (OPP); Directorate For Geosciences [1043092] Funding Source: National Science Foundation</t>
  </si>
  <si>
    <t>National Science Foundation(National Science Foundation (NSF)); University of Washington(University of Washington); Department of Energy(United States Department of Energy (DOE)); Leverhulme Trust(Leverhulme Trust); University of Edinburgh; Div Atmospheric &amp; Geospace Sciences;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</si>
  <si>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 Sowers was the first to point out the correspondence between our model results and the Mount Moulton record. We also thank C.M. Bitz and E. Maroon for computing assistance and L. Sime, E. Wolff, D. Battisti, T.J. Fudge, M. Whipple, J. Pedro, F. Parrenin, R. DeConto, and N. Dunbar for their constructive suggestions. This work was supported by the National Science Foundation (grants 1043092 to E.J.S., 0230316 to J.W.C.W., 0846641, 0936059, 1359464, and 1341497 to D.M.W.F.), the University of Washington (RRF to D.M.W.F.), the Department of Energy (Computational Science Graduate Fellowship to H.A.S.), and the Leverhulme Trust and University of Edinburgh (to E.J.S.). This paper is dedicated to the memory of Stephen C. Porter. Data and model results are archived at the National Snow and Ice Data Center (doi:10.7265/N5FT8J0N) and University of Washington IsoLab (doi:10.17911/S9159K).</t>
  </si>
  <si>
    <t>10.1002/2015GL063861</t>
  </si>
  <si>
    <t>WOS:000358002500028</t>
  </si>
  <si>
    <t>McCusker, KE; Battisti, DS; Bitz, CM</t>
  </si>
  <si>
    <t>McCusker, K. E.; Battisti, D. S.; Bitz, C. M.</t>
  </si>
  <si>
    <t>Inability of stratospheric sulfate aerosol injections to preserve the West Antarctic Ice Sheet</t>
  </si>
  <si>
    <t>climate change; solar radiation management; climate engineering; Antarctic ice sheets</t>
  </si>
  <si>
    <t>SEA-LEVEL; PINE ISLAND; VOLCANIC-ERUPTIONS; CLIMATE; IMPACT; RETREAT; WIDESPREAD; STABILITY; THWAITES; DRIVEN</t>
  </si>
  <si>
    <t>Injection of sulfate aerosols into the stratosphere has the potential to reduce the climate impacts of global warming, including sea level rise (SLR). However, changes in atmospheric and oceanic circulation that can significantly influence the rate of basal melting of Antarctic marine ice shelves and the associated SLR have not previously been considered. Here we use a fully coupled global climate model to investigate whether rapidly increasing stratospheric sulfate aerosol concentrations after a period of global warming could preserve Antarctic ice sheets by cooling subsurface ocean temperatures. We contrast this climate engineering method with an alternative strategy in which all greenhouse gases (GHG) are returned to preindustrial levels. We find that the rapid addition of a stratospheric aerosol layer does not effectively counteract surface and upper level atmospheric circulation changes caused by increasing GHGs, resulting in continued upwelling of warm water in proximity of ice shelves, especially in the vicinity of the already unstable Pine Island Glacier in West Antarctica. By contrast, removal of GHGs restores the circulation, yielding relatively cooler subsurface ocean temperatures to better preserve West Antarctica.</t>
  </si>
  <si>
    <t>[McCusker, K. E.; Battisti, D. S.; Bitz, C. M.] Univ Washington, Dept Atmospher Sci, Seattle, WA 98195 USA</t>
  </si>
  <si>
    <t>University of Washington; University of Washington Seattle</t>
  </si>
  <si>
    <t>McCusker, KE (corresponding author), Univ Victoria, Sch Earth &amp; Ocean Sci, Victoria, BC, Canada.</t>
  </si>
  <si>
    <t>kemccusk@uvic.ca</t>
  </si>
  <si>
    <t>Battisti, David S/A-3340-2013; Bitz, Cecilia M/S-8423-2016</t>
  </si>
  <si>
    <t>Bitz, Cecilia/0000-0002-9477-7499; McCusker, Kelly/0000-0001-5914-0559</t>
  </si>
  <si>
    <t>Tamaki Foundation; National Science Foundation [PLR-1341497]; Texas Advanced Computing Center [TG-ATM090059]</t>
  </si>
  <si>
    <t>Tamaki Foundation; National Science Foundation(National Science Foundation (NSF)); Texas Advanced Computing Center</t>
  </si>
  <si>
    <t>The global climate model can be obtained from the National Center for Atmospheric Research (ncar.ucar.edu). Model simulation output data used in the production of Figures 1-5 are available free of charge by emailing the corresponding author. This research was funded by the Tamaki Foundation and supported in part by the National Science Foundation through PLR-1341497 and TeraGrid resources provided by the Texas Advanced Computing Center under grant TG-ATM090059. We thank Judy Twedt for helpful discussion on experimental design and analysis and Colin Goldblatt, Alan Robock, and an anonymous reviewer for comments that improved the manuscript.</t>
  </si>
  <si>
    <t>10.1002/2015GL064314</t>
  </si>
  <si>
    <t>WOS:000358002500043</t>
  </si>
  <si>
    <t>Zika, JD; Laliberté, F; Mudryk, LR; Sijp, WP; Nurser, AJG</t>
  </si>
  <si>
    <t>Zika, Jan D.; Laliberte, Frederic; Mudryk, Lawrence R.; Sijp, Willem P.; Nurser, A. J. G.</t>
  </si>
  <si>
    <t>Changes in ocean vertical heat transport with global warming</t>
  </si>
  <si>
    <t>ocean heat uptake; overturning circulation; climate modeling; vertical advection; water masses; thermodynamic coordinates</t>
  </si>
  <si>
    <t>OVERTURNING CIRCULATION; MODEL; ABYSSAL; IMPACT; WIND</t>
  </si>
  <si>
    <t>Heat transport between the surface and deep ocean strongly influences transient climate change. Mechanisms setting this transport are investigated using coupled climate models and by projecting ocean circulation into the temperature-depth diagram. In this diagram, a cold cell cools the deep ocean through the downwelling of Antarctic waters and upwelling of warmer waters and is balanced by warming due to a warm cell, coincident with the interhemispheric overturning and previously linked to wind and haline forcing. With anthropogenic warming, the cold cell collapses while the warm cell continues to warm the deep ocean. Simulations with increasingly strong warm cells, set by their mean Southern Hemisphere winds, exhibit increasing deep-ocean warming in response to the same anthropogenic forcing. It is argued that the partition between components of the circulation which cool and warm the deep ocean in the preindustrial climate is a key determinant of ocean vertical heat transport with global warming.</t>
  </si>
  <si>
    <t>[Zika, Jan D.] Univ Southampton, Natl Oceanog Ctr, Southampton, Hants, England; [Laliberte, Frederic; Mudryk, Lawrence R.] Univ Toronto, Dept Phys, Toronto, ON, Canada; [Sijp, Willem P.] Univ New S Wales, Climate Change Res Ctr, Kensington, NSW 2033, Australia; [Nurser, A. J. G.] Natl Oceanog Ctr, Southampton, Hants, England</t>
  </si>
  <si>
    <t>University of Southampton; NERC National Oceanography Centre; University of Toronto; University of New South Wales Sydney; NERC National Oceanography Centre</t>
  </si>
  <si>
    <t>Zika, JD (corresponding author), Univ Southampton, Natl Oceanog Ctr, Southampton, Hants, England.</t>
  </si>
  <si>
    <t>j.d.zika@soton.ac.uk</t>
  </si>
  <si>
    <t>Sijp, Willem P/E-5988-2012</t>
  </si>
  <si>
    <t>Laliberte, Frederic/0000-0001-9668-1418; Sijp, Willem/0000-0002-5971-3860; Zika, Jan/0000-0003-3462-3559</t>
  </si>
  <si>
    <t>Natural Environment Research Council [NE/K012932/1]; National Capability Funding; Australian Research Council [DP1096144]; Canada Foundation for Innovation under Compute Canada; Government of Ontario; Ontario Research Fund Research Excellence; University of Toronto; NERC [noc010010, NE/K012932/1] Funding Source: UKRI; Natural Environment Research Council [noc010010, NE/K012932/1] Funding Source: researchfish; Australian Research Council [DP1096144] Funding Source: Australian Research Council</t>
  </si>
  <si>
    <t>Natural Environment Research Council(UK Research &amp; Innovation (UKRI)Natural Environment Research Council (NERC)); National Capability Funding; Australian Research Council(Australian Research Council); Canada Foundation for Innovation under Compute Canada(Canada Foundation for Innovation); Government of Ontario; Ontario Research Fund Research Excellence; University of Toronto(University of Toronto); NERC(UK Research &amp; Innovation (UKRI)Natural Environment Research Council (NERC)); Natural Environment Research Council(UK Research &amp; Innovation (UKRI)Natural Environment Research Council (NERC)); Australian Research Council(Australian Research Council)</t>
  </si>
  <si>
    <t>J.Z. and A.G. acknowledge the support of the Natural Environment Research Council through grant NE/K012932/1 and National Capability Funding. W.S. acknowledges the support of the Australian Research Council through grant DP1096144. We thank Arnaud Czaja, Laure Zanna, and Andrew Hogg for their helpful feedback. Computations were performed on the TCS supercomputer at the SciNet HPC Consortium funded by the Canada Foundation for Innovation under the auspices of Compute Canada, the Government of Ontario, Ontario Research Fund Research Excellence, and the University of Toronto. The numerical model output and numerical model code used in this study can be made available to interested parties.</t>
  </si>
  <si>
    <t>10.1002/2015GL064156</t>
  </si>
  <si>
    <t>WOS:000358002500037</t>
  </si>
  <si>
    <t>Kraemer, BM; Anneville, O; Chandra, S; Dix, M; Kuusisto, E; Livingstone, DM; Rimmer, A; Schladow, SG; Silow, E; Sitoki, LM; Tamatamah, R; Vadeboncoeur, Y; McIntyre, PB</t>
  </si>
  <si>
    <t>Kraemer, Benjamin M.; Anneville, Orlane; Chandra, Sudeep; Dix, Margaret; Kuusisto, Esko; Livingstone, David M.; Rimmer, Alon; Schladow, S. Geoffrey; Silow, Eugene; Sitoki, Lewis M.; Tamatamah, Rashid; Vadeboncoeur, Yvonne; McIntyre, Peter B.</t>
  </si>
  <si>
    <t>Morphometry and average temperature affect lake stratification responses to climate change</t>
  </si>
  <si>
    <t>lake; stratification; climate change; temperature; warming; long term</t>
  </si>
  <si>
    <t>THERMAL STRUCTURE; GLOBAL EXPANSION; ECOSYSTEM CHANGE; EUTROPHICATION; TRANSPARENCY; CONSEQUENCES; VARIABILITY; TANGANYIKA; SENTINELS; PHYSICS</t>
  </si>
  <si>
    <t>Climate change is affecting lake stratification with consequences for water quality and the benefits that lakes provide to society. Here we use long-term temperature data (1970-2010) from 26 lakes around the world to show that climate change has altered lake stratification globally and that the magnitudes of lake stratification changes are primarily controlled by lake morphometry (mean depth, surface area, and volume) and mean lake temperature. Deep lakes and lakes with high average temperatures have experienced the largest changes in lake stratification even though their surface temperatures tend to be warming more slowly. These results confirm that the nonlinear relationship between water density and water temperature and the strong dependence of lake stratification on lake morphometry makes lake temperature trends relatively poor predictors of lake stratification trends.</t>
  </si>
  <si>
    <t>[Kraemer, Benjamin M.; McIntyre, Peter B.] Univ Wisconsin, Ctr Limnol, Madison, WI 53706 USA; [Anneville, Orlane] French Natl Inst Agr Res INRA, Thonon Les Bains, France; [Chandra, Sudeep] Univ Nevada, Dept Nat Resources &amp; Environm Sci, Reno, NV 89557 USA; [Dix, Margaret] Univ Valle Guatemala, Ctr Estudios Atitlan, Solola, Guatemala; [Kuusisto, Esko] Finnish Environm Inst, Freshwater Ctr, Helsinki, Finland; [Livingstone, David M.] Eawag Swiss Fed Inst Aquat Sci &amp; Technol, Dept Water Resources &amp; Drinking Water, Dubendorf, Switzerland; [Rimmer, Alon] Israel Oceanog &amp; Limnol Res, Yigal Allon Kinneret Limnol Lab, Migdal, Israel; [Schladow, S. Geoffrey] Univ Calif Davis, Tahoe Environm Res Ctr, Davis, CA 95616 USA; [Silow, Eugene] Irkutsk State Univ, Inst Biol, Irkutsk 664003, Russia; [Sitoki, Lewis M.] Tech Univ Kenya, Dept Earth Environm Sci &amp; Technol, Nairobi, Kenya; [Tamatamah, Rashid] Univ Dar Es Salaam, Dept Aquat Sci &amp; Fisheries, Dar Es Salaam, Tanzania; [Vadeboncoeur, Yvonne] Wright State Univ, Dept Biol, Dayton, OH 45435 USA</t>
  </si>
  <si>
    <t>University of Wisconsin System; University of Wisconsin Madison; INRAE; Nevada System of Higher Education (NSHE); University of Nevada Reno; Universidad del Valle de Guatemala; Finnish Environment Institute; Swiss Federal Institutes of Technology Domain; Swiss Federal Institute of Aquatic Science &amp; Technology (EAWAG); Israel Oceanographic &amp; Limnological Research Institute; University of California System; University of California Davis; Irkutsk State University; Technical University of Kenya; University of Dar es Salaam; University System of Ohio; Wright State University Dayton</t>
  </si>
  <si>
    <t>Kraemer, BM (corresponding author), Univ Wisconsin, Ctr Limnol, Madison, WI 53706 USA.</t>
  </si>
  <si>
    <t>ben.m.kraemer@gmail.com</t>
  </si>
  <si>
    <t>Silow, Eugene/C-2958-2011; Kraemer, Benjamin/AAV-9299-2021</t>
  </si>
  <si>
    <t>Silow, Eugene/0000-0002-7039-3220; Kraemer, Benjamin/0000-0002-3390-9005; McIntyre, Peter/0000-0003-1809-7552</t>
  </si>
  <si>
    <t>National Science Foundation (NSF) [DEB-1030242]; Global Lake Temperature Collaboration , National Aeronautics and Space Administration (NASA) [DEB-1147666]; Research Opportunities in Space and Earth Sciences (ROSES) grant; Institute of Agricultural and Natural Resources (IANR); University of Nebraska-Lincoln; British Open Government License, British Antarctic Survey [GB/NERC/BAS/AEDC/00063]; ARES-CCD through the ECOSYKI: Studies on Lake Kivu ecosystem for its sustainable management project; Belgian Federal Science Policy Office through the EAGLES: East African Great Lake Ecosystem Sensitivity to Changes (EAGLES) [SD/AR/02A]; Fonds National de la Recherche Scientifique (Belgium) through the CAKI: Cycle du Carbone et des Nutriments au Lac Kivu; Fonds National de la Recherche Scientifique (Belgium) through the MICKY: Microbial Diversity and Processes in Lake Kivu; Tahoe Regional Planning Agency; Lahontan Regional Water Quality Board; UVG; USAID; Russian Ministry of Education and Science [GR 01201461929]; Russian Science foundation project [14-14-00400]; Russian Science Foundation [14-14-00400] Funding Source: Russian Science Foundation</t>
  </si>
  <si>
    <t>National Science Foundation (NSF)(National Science Foundation (NSF)); Global Lake Temperature Collaboration , National Aeronautics and Space Administration (NASA); Research Opportunities in Space and Earth Sciences (ROSES) grant; Institute of Agricultural and Natural Resources (IANR); University of Nebraska-Lincoln; British Open Government License, British Antarctic Survey; ARES-CCD through the ECOSYKI: Studies on Lake Kivu ecosystem for its sustainable management project; Belgian Federal Science Policy Office through the EAGLES: East African Great Lake Ecosystem Sensitivity to Changes (EAGLES)(Belgian Federal Science Policy Office); Fonds National de la Recherche Scientifique (Belgium) through the CAKI: Cycle du Carbone et des Nutriments au Lac Kivu; Fonds National de la Recherche Scientifique (Belgium) through the MICKY: Microbial Diversity and Processes in Lake Kivu; Tahoe Regional Planning Agency; Lahontan Regional Water Quality Board; UVG; USAID(United States Agency for International Development (USAID)); Russian Ministry of Education and Science(Ministry of Education and Science, Russian Federation); Russian Science foundation project(Russian Science Foundation (RSF)); Russian Science Foundation(Russian Science Foundation (RSF))</t>
  </si>
  <si>
    <t>We are grateful for field research funding from the National Science Foundation (NSF) (DEB-1030242) and encouragement from the Global Lake Temperature Collaboration (DEB-1147666, National Aeronautics and Space Administration (NASA), Research Opportunities in Space and Earth Sciences (ROSES) grant, Institute of Agricultural and Natural Resources (IANR), University of Nebraska-Lincoln). Signy Island lake (lakes Heywood, Moss, and Sombre) temperature data were contributed by the Polar Data Centre under a British Open Government License, British Antarctic Survey, 1963-2004 (GB/NERC/BAS/AEDC/00063) (http://www.antarctica.ac.uk/bas_research/data/access/index.php). Long-term monitoring of Lake Tanganyika temperature data was by Timo Huttula, Pekka Kotilainen, Catherine O'Reilly, Anu Peltonen, Pierre-Denis Plisnier, Jouku Sarvala, and Bernhard Wehrli and others. Lake Kivu data were supplied by Francois Darchambeau, Jean-Pierre Descy, Alberto Vieira Borges, and Martin Schmid and funded by the ARES-CCD through the ECOSYKI: Studies on Lake Kivu ecosystem for its sustainable management project, by the Belgian Federal Science Policy Office through the EAGLES: East African Great Lake Ecosystem Sensitivity to Changes (EAGLES, SD/AR/02A) project, and by the Fonds National de la Recherche Scientifique (Belgium) through the CAKI: Cycle du Carbone et des Nutriments au Lac Kivu and MICKY: Microbial Diversity and Processes in Lake Kivu projects (data contact: Jean-Pierre Descy, jpdescy@gmail.com). Lake Tahoe temperature data collection has been funded by the Tahoe Regional Planning Agency, Lahontan Regional Water Quality Board and contributed by the UC-Davis Tahoe Environmental Research Center (data available at http://terc.ucdavis.edu/). Lake Atitlan temperature data collection was funded by UVG and USAID (data contact: Margaret Dix, margeret.dix@gmail.com). Lake Baikal temperature data collection was partially funded by the Russian Ministry of Education and Science, (GR 01201461929) (data contact: Eugene Silow, eugenesilow@gmail.com). E. Silow was partially supported by Russian Science foundation project No 14-14-00400. Data from Toolik Lake, Lake Mendota, and Trout Lake were provided by the National Science Foundation's Long-Term Ecological Research program (data sets titled, North Temperate Lakes LTER: Physical Limnology of Primary Study Lakes, physical and chemical data for various lakes near Toolik Research Station, Arctic LTER, http://www.lternet.edu/lter-sites). Lake Kinneret temperature data were accessed through the Yigal Allon Kinneret Limnological Laboratory (data available through the Lake Kinneret Data Center, http://www.ocean.org.il/Eng/KineretDataCenter/ProfileDC.asp). Data from Lake Zurich were provided by the City of Zurich Water Supply (WVZ). Data from Greifensee were provided by the Amt fur Abfall, Wasser, Energie und Luft, Canton of Zurich. Data contact for lakes Zurich and Greifensee is David Livingstone, David. Livingstone@eawag.ch. Data from Lake Geneva were from SOERE OLA-IS, INRA Thonon-les-Bains, CIPEL, (downloaded on January 2014), developed by Eco-Informatics ORE INRA Team (data contact: Orlane Anneville, orlane.anneville@thonon.inra.fr). Lake Biwa data were shared by Akihiko Oyama (gf30@pref.shiga.lg.jp) of the Shiga Prefectural Fishery Experiment Station. Data for lakes Rawson, 227, and 302 were contributed by the Experimental Lakes Area of Fisheries and Oceans-Canada (data freely available after signing data use agreement at www.experimentallakesarea.ca).; Data from Castle Lake were contributed by the Aquatic Ecosystems Analysis Laboratory, University of Nevada-Reno (data contact: Sudeep Chandra, limnosudeep@me.com). Lake Nkugute data are from CLANIMAE report: Science for Sustainable Development, 2010 (http://www.belspo.be/belspo/ssd/science/Reports/CLANIMAE%20FinRep%20PH%201.pdf). Summer mean annual surface temperatures from 1985 to 2009 are available for the lakes in this analysis at doi: 10.1038/sdata.2015.8.</t>
  </si>
  <si>
    <t>10.1002/2015GL064097</t>
  </si>
  <si>
    <t>WOS:000358002500042</t>
  </si>
  <si>
    <t>Fogwill, CJ; Turney, CSM; Hutchinson, DK; Taschetto, AS; England, MH</t>
  </si>
  <si>
    <t>Fogwill, C. J.; Turney, C. S. M.; Hutchinson, D. K.; Taschetto, A. S.; England, M. H.</t>
  </si>
  <si>
    <t>Obliquity Control On Southern Hemisphere Climate During The Last Glacial</t>
  </si>
  <si>
    <t>COSMOGENIC NUCLIDE CHRONOLOGY; BE-10 PRODUCTION-RATE; LAGO BUENOS-AIRES; LAKE DISTRICT; ISLA GRANDE; NEW-ZEALAND; ICE EXTENT; MAXIMUM; MORAINES; EVENTS</t>
  </si>
  <si>
    <t>Recent paleoclimate reconstructions have challenged the traditional view that Northern Hemisphere insolation and associated feedbacks drove synchronous global climate and ice-sheet volume during the last glacial cycle. Here we focus on the response of the Patagonian Ice Sheet, and demonstrate that its maximum expansion culminated at 28,400 +/- 500 years before present (28.4 +/- 0.5 ka), more than 5,000 years before the minima in 65 degrees N summer insolation and the formally-defined Last Glacial Maximum (LGM) at 21,000 +/- 2,000 years before present. To investigate the potential drivers of this early LGM (eLGM), we simulate the effects of orbital changes using a suite of climate models incorporating prescribed and evolving sea-ice anomalies. Our analyses suggest that Antarctic sea-ice expansion at 28.5 ka altered the location and intensity of the Southern Hemisphere storm track, triggering regional cooling over Patagonia of 5 degrees C that extends across the wider mid-southern latitudes. In contrast, at the LGM, continued sea-ice expansion reduced regional temperature and precipitation further, effectively starving the ice sheet and resulting in reduced glacial expansion. Our findings highlight the dominant role that orbital changes can play in driving Southern Hemisphere glacial climate via the sensitivity of mid-latitude regions to changes in Antarctic sea-ice extent.</t>
  </si>
  <si>
    <t>[Fogwill, C. J.; Turney, C. S. M.; Hutchinson, D. K.; Taschetto, A. S.; England, M. H.] Univ New S Wales, Sch Biol Earth &amp; Environm Sci, Climate Change Res Ctr, Sydney, NSW 2052, Australia; [Hutchinson, D. K.; Taschetto, A. S.; England, M. H.] ARC Ctr Excellence Climate Syst Sci, Sydney, NSW, Australia</t>
  </si>
  <si>
    <t>University of New South Wales Sydney; ARC Centre of Excellence for Climate System Science</t>
  </si>
  <si>
    <t>Fogwill, CJ (corresponding author), Univ New S Wales, Sch Biol Earth &amp; Environm Sci, Climate Change Res Ctr, Sydney, NSW 2052, Australia.</t>
  </si>
  <si>
    <t>England, Matthew/A-7539-2011; Hutchinson, David/F-4564-2016; Fogwill, Christopher/HPF-1150-2023; Fogwill, Chris/AAW-3502-2021; Turney, Chris/P-8701-2018</t>
  </si>
  <si>
    <t>England, Matthew/0000-0001-9696-2930; Hutchinson, David/0000-0001-9385-4782; Fogwill, Chris/0000-0002-6471-1106; Turney, Chris/0000-0001-6733-0993; Taschetto, Andrea/0000-0001-6020-1603</t>
  </si>
  <si>
    <t>Australian Research Council; ARC Future and Laureate Fellowships</t>
  </si>
  <si>
    <t>Australian Research Council(Australian Research Council); ARC Future and Laureate Fellowships(Australian Research Council)</t>
  </si>
  <si>
    <t>This work was supported by the Australian Research Council, with C.F., C.T. and M.E. holding ARC Future and Laureate Fellowships. Steven Phipps and Agus Santoso are thanked for helpful discussions and with the initial CSIRO MK3L model set up. Numerical simulations were run on the National Computational Infrastructure National Facility at the Australian National University.</t>
  </si>
  <si>
    <t>JUN 26</t>
  </si>
  <si>
    <t>10.1038/srep11673</t>
  </si>
  <si>
    <t>CL5LR</t>
  </si>
  <si>
    <t>WOS:000357001900002</t>
  </si>
  <si>
    <t>Nie, YG; Sun, LG; Liu, XD; Emslie, SD</t>
  </si>
  <si>
    <t>Nie, Yaguang; Sun, Liguang; Liu, Xiaodong; Emslie, Steven D.</t>
  </si>
  <si>
    <t>From warm to cold: migration of Adelie penguins within Cape Bird, Ross Island</t>
  </si>
  <si>
    <t>CLIMATE-CHANGE; ORNITHOGENIC SEDIMENTS; SEA REGION; ECOLOGICAL RESPONSES; STORM DEPOSITS; ICE-AGE; ANTARCTICA; VARIABILITY; TRANSPORT; TSUNAMI</t>
  </si>
  <si>
    <t>Due to their sensitivity to environmental change, penguins in Antarctica are widely used as bio-indicators in paleoclimatic research. On the basis of bio-element assemblages identified in four ornithogenic sediment profiles, we reconstructed the historical penguin population change at Cape Bird, Ross Island, for the past 1600 years. Clear succession of penguin population peaks were observed in different profiles at about 1400 AD, which suggested a high probability of migration within this region. The succession was most obviously marked by a sand layer lasting from 1400 to 1900 AD in one of the analyzed profiles. Multiple physical/chemical parameters indicated this sand layer was not formed in a lacustrine environment, but was marine-derived. Both isostatic subsidence and frequent storms under the colder climatic condition of the Little Ice Age were presumed to have caused the abandonment of the colonies, and we believe the penguins migrated from the coastal area of mid Cape Bird northward and to higher ground as recorded in the other sediment profiles. This migration was an ecological response to global climate change and possible subsequent geological effects in Antarctica.</t>
  </si>
  <si>
    <t>[Nie, Yaguang; Sun, Liguang; Liu, Xiaodong] Univ Sci &amp; Technol PR China, Sch Earth &amp; Space Sci, Inst Polar Environm, Hefei 230026, Peoples R China; [Nie, Yaguang] Chinese Acad Sci &amp; Anhui Prov, Hefei Inst Phys Sci, Key Lab Ion Beam Bioengn, Hefei 230031, Anhui, Peoples R China; [Emslie, Steven D.] Univ N Carolina, Dept Biol &amp; Marine Biol, Wilmington, NC 28403 USA</t>
  </si>
  <si>
    <t>Chinese Academy of Sciences; University of Science &amp; Technology of China, CAS; Chinese Academy of Sciences; Hefei Institutes of Physical Science, CAS; University of North Carolina; University of North Carolina Wilmington</t>
  </si>
  <si>
    <t>Sun, LG (corresponding author), Univ Sci &amp; Technol PR China, Sch Earth &amp; Space Sci, Inst Polar Environm, Hefei 230026, Peoples R China.</t>
  </si>
  <si>
    <t>slg@ustc.edu.cn; ycx@ustc.edu.cn</t>
  </si>
  <si>
    <t>Chinese Arctic and Antarctic Administration of the State Oceanic Administration; National Natural Science Foundation of China [41376124, 41076123]; Chinese Polar Environment Comprehensive Investigation &amp; Assessment Programmes [CHINARE2014-04-04-09]; External Cooperation Program of BIC, China Academy of Sciences [211134KYSB20130012]; NSF [ANT 0739575]</t>
  </si>
  <si>
    <t>Chinese Arctic and Antarctic Administration of the State Oceanic Administration; National Natural Science Foundation of China(National Natural Science Foundation of China (NSFC)); Chinese Polar Environment Comprehensive Investigation &amp; Assessment Programmes; External Cooperation Program of BIC, China Academy of Sciences; NSF(National Science Foundation (NSF))</t>
  </si>
  <si>
    <t>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This study was supported by the National Natural Science Foundation of China (Grant Nos. 41376124 and 41076123), Chinese Polar Environment Comprehensive Investigation &amp; Assessment Programmes (CHINARE2014-04-04-09), the External Cooperation Program of BIC, China Academy of Sciences (Project No. 211134KYSB20130012) and NSF Grant ANT 0739575.</t>
  </si>
  <si>
    <t>10.1038/srep11530</t>
  </si>
  <si>
    <t>CL4MC</t>
  </si>
  <si>
    <t>WOS:000356926000001</t>
  </si>
  <si>
    <t>Stauffer, BA; Miksis-Olds, J; Goes, JI</t>
  </si>
  <si>
    <t>Stauffer, Beth A.; Miksis-Olds, Jennifer; Goes, Joaquim I.</t>
  </si>
  <si>
    <t>Cold Regime Interannual Variability of Primary and Secondary Producer Community Composition in the Southeastern Bering Sea</t>
  </si>
  <si>
    <t>OSCILLATING CONTROL HYPOTHESIS; ANTARCTIC KRILL; EUPHAUSIA-SUPERBA; CLIMATE-CHANGE; SHELF; ECOSYSTEM; ABUNDANCE; COASTAL; INSTRUMENTS; PHAEOCYSTIS</t>
  </si>
  <si>
    <t>Variability of hydrographic conditions and primary and secondary productivity between cold and warm climatic regimes in the Bering Sea has been the subject of much study in recent years, while interannual variability within a single regime and across multiple trophic levels has been less well-documented. Measurements from an instrumented mooring on the southeastern shelf of the Bering Sea were analyzed for the spring-to-summer transitions within the cold regime years of 2009-2012 to investigate the interannual variability of hydrographic conditions, primary producer biomass, and acoustically-derived secondary producer and consumer abundance and community structure. Hydrographic conditions in 2012 were significantly different than in 2009, 2010, and 2011, driven largely by increased ice extent and thickness, later ice retreat, and earlier stratification of the water column. Primary producer biomass was more tightly coupled to hydrographic conditions in 2012 than in 2009 or 2011, and shallow and mid-column phytoplankton blooms tended to occur independent of one another. There was a high degree of variability in the relationships between different classes of secondary producers and hydrographic conditions, evidence of significant intraconsumer interactions, and trade-offs between different consumer size classes in each year. Phytoplankton blooms stimulated different populations of secondary producers in each year, and summer consumer populations appeared to determine dominant populations in the subsequent spring. Overall, primary producers and secondary producers were more tightly coupled to each other and to hydrographic conditions in the coldest year compared to the warmer years. The highly variable nature of the interactions between the atmospherically-driven hydrographic environment, primary and secondary producers, and within food webs underscores the need to revisit how climatic regimes within the Bering Sea are defined and predicted to function given changing climate scenarios.</t>
  </si>
  <si>
    <t>[Stauffer, Beth A.; Goes, Joaquim I.] Columbia Univ, Lamont Doherty Earth Observ, Dept Biol &amp; Paleo Environm, Palisades, NY 10964 USA; [Miksis-Olds, Jennifer] Penn State Univ, Appl Res Lab, State Coll, PA 16803 USA</t>
  </si>
  <si>
    <t>Columbia University; Pennsylvania Commonwealth System of Higher Education (PCSHE); Pennsylvania State University</t>
  </si>
  <si>
    <t>Stauffer, BA (corresponding author), Univ Louisiana Lafayette, Dept Biol, Lafayette, LA 70504 USA.</t>
  </si>
  <si>
    <t>stauffer@louisiana.edu</t>
  </si>
  <si>
    <t>Goes, Joaquim/0000-0002-9785-6985</t>
  </si>
  <si>
    <t>National Aeronautics and Space Administration [NNX10AP10G, NNX11AP28G]; Office of Naval Research [N000140810391]</t>
  </si>
  <si>
    <t>National Aeronautics and Space Administration(National Aeronautics &amp; Space Administration (NASA)); Office of Naval Research(Office of Naval Research)</t>
  </si>
  <si>
    <t>Funding for this project was provided to J.I. Goes and J. Miksis-Olds by the National Aeronautics and Space Administration, Awards NNX10AP10G and NNX11AP28G (http://www.nasa.gov/) and Office of Naval Research, Award N000140810391 (http://www.onr.navy.mil/). The funders had no role in study design, data collection and analysis, decision to publish, or preparation of the manuscript.</t>
  </si>
  <si>
    <t>JUN 25</t>
  </si>
  <si>
    <t>e0131246</t>
  </si>
  <si>
    <t>10.1371/journal.pone.0131246</t>
  </si>
  <si>
    <t>CL4OY</t>
  </si>
  <si>
    <t>WOS:000356933800136</t>
  </si>
  <si>
    <t>Chown, SL; Clarke, A; Fraser, CI; Cary, SC; Moon, KL; McGeoch, MA</t>
  </si>
  <si>
    <t>Chown, Steven L.; Clarke, Andrew; Fraser, Ceridwen I.; Cary, S. Craig; Moon, Katherine L.; McGeoch, Melodie A.</t>
  </si>
  <si>
    <t>The changing form of Antarctic biodiversity</t>
  </si>
  <si>
    <t>CLIMATE-CHANGE; MICROBIAL COMMUNITIES; OCEAN BARRIERS; VICTORIA LAND; POLAR FRONT; FOOD-WEB; SOUTHERN; DIVERSITY; BIOGEOGRAPHY; DISPERSAL</t>
  </si>
  <si>
    <t>Antarctic biodiversity is much more extensive, ecologically diverse and biogeographically structured than previously thought. Understanding of how this diversity is distributed in marine and terrestrial systems, the mechanisms underlying its spatial variation, and the significance of the microbiota is growing rapidly. Broadly recognizable drivers of diversity variation include energy availability and historical refugia. The impacts of local human activities and global environmental change nonetheless pose challenges to the current and future understanding of Antarctic biodiversity. Life in the Antarctic and the Southern Ocean is surprisingly rich, and as much at risk from environmental change as it is elsewhere.</t>
  </si>
  <si>
    <t>[Chown, Steven L.; Moon, Katherine L.; McGeoch, Melodie A.] Monash Univ, Sch Biol Sci, Clayton, Vic 3800, Australia; [Clarke, Andrew] British Antarctic Survey, NERC, Cambridge CB3 0ET, England; [Fraser, Ceridwen I.; Moon, Katherine L.] Australian Natl Univ, Fenner Sch Environm &amp; Soc, Canberra, ACT 2601, Australia; [Cary, S. Craig] Univ Waikato, Int Ctr Terr Antarctic Res, Hamilton 3240, New Zealand</t>
  </si>
  <si>
    <t>Monash University; UK Research &amp; Innovation (UKRI); Natural Environment Research Council (NERC); NERC British Antarctic Survey; Australian National University; University of Waikato</t>
  </si>
  <si>
    <t>Chown, SL (corresponding author), Monash Univ, Sch Biol Sci, Clayton, Vic 3800, Australia.</t>
  </si>
  <si>
    <t>steven.chown@monash.edu</t>
  </si>
  <si>
    <t>Chown, Steven/ABD-7646-2021; Chown, Steven/H-3347-2011; McGeoch, Melodie/F-8353-2011</t>
  </si>
  <si>
    <t>Chown, Steven/0000-0001-6069-5105; McGeoch, Melodie/0000-0003-3388-2241; Cary, Stephen/0000-0002-2876-2387; Fraser, Ceridwen/0000-0002-6918-8959</t>
  </si>
  <si>
    <t>Australian Research Council [DP140102815, DP150103017]; Australian Research Council Discovery Early Career Fellowship [DE140101715]; NewZealand Antarctic Research Institute; New Zealand Marsden Fund; US National Science Foundation; Australian Research Council [DE140101715] Funding Source: Australian Research Council; Office of Polar Programs (OPP); Directorate For Geosciences [1246292] Funding Source: National Science Foundation; Natural Environment Research Council [bas010011] Funding Source: researchfish; NERC [bas010011] Funding Source: UKRI</t>
  </si>
  <si>
    <t>Australian Research Council(Australian Research Council); Australian Research Council Discovery Early Career Fellowship(Australian Research Council); NewZealand Antarctic Research Institute; New Zealand Marsden Fund(Royal Society of New ZealandMarsden Fund (NZ)); US National Science Foundation(National Science Foundation (NSF)); Australian Research Council(Australian Research Council);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</si>
  <si>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This work was supported by Australian Research Council grants DP140102815 to S.L.C. and DP150103017 to M.A.M., an Australian Research Council Discovery Early Career Fellowship DE140101715 to C.I.F., grants from the NewZealand Antarctic Research Institute, New Zealand Marsden Fund and the US National Science Foundation to S.C.C.,and emeritus support from the British Antarctic Survey to A.C. We thank D. J. Marshall, C. Lee and H. W. Morgan for comments that improved the work.</t>
  </si>
  <si>
    <t>10.1038/nature14505</t>
  </si>
  <si>
    <t>CL2OC</t>
  </si>
  <si>
    <t>WOS:000356782900040</t>
  </si>
  <si>
    <t>Thatje, S; Marsh, L; Roterman, CN; Mavrogordato, MN; Linse, K</t>
  </si>
  <si>
    <t>Thatje, Sven; Marsh, Leigh; Roterman, Christopher Nicolai; Mavrogordato, Mark N.; Linse, Katrin</t>
  </si>
  <si>
    <t>Adaptations to Hydrothermal Vent Life in Kiwa tyleri, a New Species of Yeti Crab from the East Scotia Ridge, Antarctica</t>
  </si>
  <si>
    <t>MITOCHONDRIAL GENE REARRANGEMENTS; DECAPODA; WATER; CRUSTACEA; SEA; ANOMURA; GALATHEIDAE; PACIFIC; FAMILY</t>
  </si>
  <si>
    <t>Hydrothermal vents in the Southern Ocean are the physiologically most isolated chemosynthetic environments known. Here, we describe Kiwa tyleri sp. nov., the first species of yeti crab known from the Southern Ocean. Kiwa tyleri belongs to the family Kiwaidae and is the visually dominant macrofauna of two known vent sites situated on the northern and southern segments of the East Scotia Ridge (ESR). The species is known to depend on primary productivity by chemosynthetic bacteria and resides at the warm-eurythermal vent environment for most of its life; its short-range distribution away from vents (few metres) is physiologically constrained by the stable, cold waters of the surrounding Southern Ocean. Kiwa tylerihas been shown to present differential life history adaptations in response to this contrasting thermal environment. Morphological adaptations specific to life in warm-eurythermal waters, as found on - or in close proximity of - vent chimneys, are discussed in comparison with adaptations seen in the other two known members of the family (K. hirsuta, K. puravida), which show a preference for low temperature chemosynthetic environments.</t>
  </si>
  <si>
    <t>[Thatje, Sven; Marsh, Leigh] Univ Southampton, Ocean &amp; Earth Sci, Southampton SO14 3ZH, Hants, England; [Roterman, Christopher Nicolai] Natl Oceanog Ctr, Southampton SO14 3ZH, Hants, England; [Mavrogordato, Mark N.] Univ Southampton, VIS CT Imaging Ctr, Engn Sci, Southampton SO17 1BJ, Hants, England; [Linse, Katrin] British Antarctic Survey, Cambridge CB3 0ET, England</t>
  </si>
  <si>
    <t>University of Southampton; NERC National Oceanography Centre; University of Southampton; UK Research &amp; Innovation (UKRI); Natural Environment Research Council (NERC); NERC British Antarctic Survey</t>
  </si>
  <si>
    <t>Thatje, S (corresponding author), Univ Southampton, Ocean &amp; Earth Sci, European Way, Southampton SO14 3ZH, Hants, England.</t>
  </si>
  <si>
    <t>svth@noc.soton.ac.uk</t>
  </si>
  <si>
    <t>Marsh, Leigh/J-6068-2013; Roterman, Christopher Nicolai/AAX-4395-2021; Marsh, Leigh/AAT-5597-2020</t>
  </si>
  <si>
    <t>Marsh, Leigh/0000-0002-4613-1538; Roterman, Christopher Nicolai/0000-0002-6636-6078; Marsh, Leigh/0000-0002-4613-1538; Linse, Katrin/0000-0003-3477-3047</t>
  </si>
  <si>
    <t>NERC (UK) [NE/D01249X/1]; Total Foundation [Abyss2100]; NERC [NE/D01249X/1, NE/D010470/2, bas0100036] Funding Source: UKRI; Natural Environment Research Council [bas0100036, NE/D01249X/1, NE/D010470/2] Funding Source: researchfish</t>
  </si>
  <si>
    <t>NERC (UK)(UK Research &amp; Innovation (UKRI)Natural Environment Research Council (NERC)); Total Foundation(Total SA); NERC(UK Research &amp; Innovation (UKRI)Natural Environment Research Council (NERC)); Natural Environment Research Council(UK Research &amp; Innovation (UKRI)Natural Environment Research Council (NERC))</t>
  </si>
  <si>
    <t>This work was supported by a NERC (UK) Consortium Grant (NE/D01249X/1; ChEsSo), as well as a grant from the Total Foundation (Abyss2100) to Sven Thatje.</t>
  </si>
  <si>
    <t>JUN 24</t>
  </si>
  <si>
    <t>e0127621</t>
  </si>
  <si>
    <t>10.1371/journal.pone.0127621</t>
  </si>
  <si>
    <t>CL4OM</t>
  </si>
  <si>
    <t>WOS:000356932500011</t>
  </si>
  <si>
    <t>Okie, JG; Van Horn, DJ; Storch, D; Barrett, JE; Gooseff, MN; Kopsova, L; Takacs-Vesbach, CD</t>
  </si>
  <si>
    <t>Okie, Jordan G.; Van Horn, David J.; Storch, David; Barrett, John E.; Gooseff, Michael N.; Kopsova, Lenka; Takacs-Vesbach, Cristina D.</t>
  </si>
  <si>
    <t>Niche and metabolic principles explain patterns of diversity and distribution: theory and a case study with soil bacterial communities</t>
  </si>
  <si>
    <t>species richness patterns; metabolic theory; elevational gradient; macroecology; microbial communities; microbial biogeography</t>
  </si>
  <si>
    <t>MCMURDO DRY VALLEYS; TEMPERATURE-DEPENDENCE; ELEVATIONAL DIVERSITY; SPECIES-DIVERSITY; GLOBAL PATTERNS; BIODIVERSITY; GRADIENT; POPULATION; GROWTH; SNOW</t>
  </si>
  <si>
    <t>The causes of biodiversity patterns are controversial and elusive due to complex environmental variation, covarying changes in communities, and lack of baseline and null theories to differentiate straightforward causes from more complex mechanisms. To address these limitations, we developed general diversity theory integrating metabolic principles with niche-based community assembly. We evaluated this theory by investigating patterns in the diversity and distribution of soil bacteria taxa across four orders of magnitude variation in spatial scale on an Antarctic mountainside in low complexity, highly oligotrophic soils. Our theory predicts that lower temperatures should reduce taxon niche widths along environmental gradients due to decreasing growth rates, and the changing niche widths should lead to contrasting alpha- and beta-diversity patterns. In accord with the predictions, alpha-diversity, niche widths and occupancies decreased while beta-diversity increased with increasing elevation and decreasing temperature. The theory also successfully predicts a hump-shaped relationship between alpha-diversity and pH and a negative relationship between alpha-diversity and salinity. Thus, a few simple principles explained systematic microbial diversity variation along multiple gradients. Such general theory can be used to disentangle baseline effects from more complex effects of temperature and other variables on biodiversity patterns in a variety of ecosystems and organisms.</t>
  </si>
  <si>
    <t>[Okie, Jordan G.] Arizona State Univ, Sch Earth &amp; Space Explorat, Tempe, AZ 85281 USA; [Okie, Jordan G.] Arizona State Univ, Sch Life Sci, Tempe, AZ USA; [Van Horn, David J.; Takacs-Vesbach, Cristina D.] Univ New Mexico, Dept Biol, Albuquerque, NM 87131 USA; [Storch, David] Charles Univ Prague, Ctr Theoret Study, Fac Sci, Prague, Czech Republic; [Storch, David; Kopsova, Lenka] Charles Univ Prague, Dept Ecol, Fac Sci, Prague, Czech Republic; [Barrett, John E.] Virginia Tech, Dept Biol Sci, Blacksburg, VA USA; [Gooseff, Michael N.] Colorado State Univ, Dept Civil &amp; Environm Engn, Ft Collins, CO 80523 USA</t>
  </si>
  <si>
    <t>Arizona State University; Arizona State University-Tempe; Arizona State University; Arizona State University-Tempe; University of New Mexico; Charles University Prague; Charles University Prague; Virginia Polytechnic Institute &amp; State University; Colorado State University</t>
  </si>
  <si>
    <t>Okie, JG (corresponding author), Arizona State Univ, Sch Earth &amp; Space Explorat, Tempe, AZ 85281 USA.</t>
  </si>
  <si>
    <t>jordan.okie@asu.edu</t>
  </si>
  <si>
    <t>Gooseff, Michael N/N-6087-2015; Storch, David/C-3339-2017; Barrett, John/D-5851-2016</t>
  </si>
  <si>
    <t>Gooseff, Michael N/0000-0003-4322-8315; Storch, David/0000-0001-5967-1544; Barrett, John/0000-0002-7610-0505</t>
  </si>
  <si>
    <t>NSF OPP grant [0838879, 1142102]; Czech Science Foundation [14-36098G]; NASA Astrobiology Institute Postdoctoral Fellowship; McMurdo LTER, NSF grant [1115245]; Directorate For Geosciences; Office of Polar Programs (OPP) [1142102] Funding Source: National Science Foundation; Directorate For Geosciences; Office of Polar Programs (OPP) [1115245] Funding Source: National Science Foundation</t>
  </si>
  <si>
    <t>NSF OPP grant; Czech Science Foundation(Grant Agency of the Czech Republic); NASA Astrobiology Institute Postdoctoral Fellowship; McMurdo LTER, NSF grant; Directorate For Geosciences; Office of Polar Programs (OPP)(National Science Foundation (NSF)NSF - Directorate for Geosciences (GEO)); Directorate For Geosciences; Office of Polar Programs (OPP)(National Science Foundation (NSF)NSF - Directorate for Geosciences (GEO))</t>
  </si>
  <si>
    <t>This research was supported by NSF OPP grant nos. 0838879 to J.E.B., M.N.G. and C.D.T-V. and 1142102 to C.D.T-V. and D.J.V.H., Czech Science Foundation (grant no. 14-36098G) to D.S, a NASA Astrobiology Institute Postdoctoral Fellowship to J.G.O. and the McMurdo LTER, NSF grant no. 1115245.</t>
  </si>
  <si>
    <t>JUN 22</t>
  </si>
  <si>
    <t>10.1098/rspb.2014.2630</t>
  </si>
  <si>
    <t>CM5CA</t>
  </si>
  <si>
    <t>WOS:000357703200031</t>
  </si>
  <si>
    <t>Kopf, A; Bicak, M; Kottmann, R; Schnetzer, J; Kostadinov, I; Lehmann, K; Fernandez-Guerra, A; Jeanthon, C; Rahav, E; Ullrich, M; Wichels, A; Gerdts, G; Polymenakou, P; Kotoulas, G; Siam, R; Abdallah, RZ; Sonnenschein, EC; Cariou, T; O'Gara, F; Jackson, S; Orlic, S; Steinke, M; Busch, J; Duarte, B; Caçador, I; Canning-Clode, J; Bobrova, O; Marteinsson, V; Reynisson, E; Loureiro, CM; Luna, GM; Quero, GM; Löscher, CR; Kremp, A; DeLorenzo, ME; Ovreås, L; Tolman, J; LaRoche, J; Penna, A; Frischer, M; Davis, T; Katherine, B; Meyer, CP; Ramos, S; Magalhaes, C; Jude-Lemeilleur, F; Aguirre-Macedo, ML; Wang, S; Poulton, N; Jones, S; Collin, R; Fuhrman, JA; Conan, P; Alonso, C; Stambler, N; Goodwin, K; Yakimov, MM; Baltar, F; Bodrossy, L; Van De Kamp, J; Frampton, DMF; Ostrowski, M; Van Ruth, P; Malthouse, P; Claus, S; Deneudt, K; Mortelmans, J; Pitois, S; Wallom, D; Salter, I; Costa, R; Schroeder, DC; Kandil, MM; Amaral, V; Biancalana, F; Santana, R; Pedrotti, ML; Yoshida, T; Ogata, H; Ingleton, T; Munnik, K; Rodriguez-Ezpeleta, N; Berteaux-Lecellier, V; Wecker, P; Cancio, I; Vaulot, D; Bienhold, C; Ghazal, H; Chaouni, B; Essayeh, S; Ettamimi, S; Zaid, E; Boukhatem, N; Bouali, A; Chahboune, R; Barrijal, S; Timinouni, M; El Otmani, F; Bennani, M; Mea, M; Todorova, N; Karamfilov, V; ten Hoopen, P; Cochrane, G; L'Haridon, S; Bizsel, KC; Vezzi, A; Lauro, FM; Martin, P; Jensen, RM; Hinks, J; Gebbels, S; Rosselli, R; De Pascale, F; Schiavon, R; dos Santos, A; Villar, E; Pesant, S; Cataletto, B; Malfatti, F; Edirisinghe, R; Silveira, JAH; Barbier, M; Turk, V; Tinta, T; Fuller, WJ; Salihoglu, I; Serakinci, N; Ergoren, MC; Bresnan, E; Iriberri, J; Nyhus, PAF; Bente, E; Karlsen, HE; Golyshin, PN; Gasol, JM; Moncheva, S; Dzhembekova, N; Johnson, Z; Sinigalliano, CD; Gidley, ML; Zingone, A; Danovaro, R; Tsiamis, G; Clark, MS; Costa, AC; El Bour, M; Martins, AM; Collins, RE; Ducluzeau, AL; Martinez, J; Costello, MJ; Amaral-Zettler, LA; Gilbert, JA; Davies, N; Field, D; Glöckner, FO</t>
  </si>
  <si>
    <t>Kopf, Anna; Bicak, Mesude; Kottmann, Renzo; Schnetzer, Julia; Kostadinov, Ivaylo; Lehmann, Katja; Fernandez-Guerra, Antonio; Jeanthon, Christian; Rahav, Eyal; Ullrich, Matthias; Wichels, Antje; Gerdts, Gunnar; Polymenakou, Paraskevi; Kotoulas, Giorgos; Siam, Rania; Abdallah, Rehab Z.; Sonnenschein, Eva C.; Cariou, Thierry; O'Gara, Fergal; Jackson, Stephen; Orlic, Sandi; Steinke, Michael; Busch, Julia; Duarte, Bernardo; Cacador, Isabel; Canning-Clode, Joao; Bobrova, Oleksandra; Marteinsson, Viggo; Reynisson, Eyjolfur; Loureiro, Clara Magalhaes; Luna, Gian Marco; Quero, Grazia Marina; Loescher, Carolin R.; Kremp, Anke; DeLorenzo, Marie E.; Ovreas, Lise; Tolman, Jennifer; LaRoche, Julie; Penna, Antonella; Frischer, Marc; Davis, Timothy; Katherine, Barker; Meyer, Christopher P.; Ramos, Sandra; Magalhaes, Catarina; Jude-Lemeilleur, Florence; Leopoldina Aguirre-Macedo, Ma; Wang, Shiao; Poulton, Nicole; Jones, Scott; Collin, Rachel; Fuhrman, Jed A.; Conan, Pascal; Alonso, Cecilia; Stambler, Noga; Goodwin, Kelly; Yakimov, Michael M.; Baltar, Federico; Bodrossy, Levente; Van De Kamp, Jodie; Frampton, Dion M. F.; Ostrowski, Martin; Van Ruth, Paul; Malthouse, Paul; Claus, Simon; Deneudt, Klaas; Mortelmans, Jonas; Pitois, Sophie; Wallom, David; Salter, Ian; Costa, Rodrigo; Schroeder, Declan C.; Kandil, Mahrous M.; Amaral, Valentina; Biancalana, Florencia; Santana, Rafael; Pedrotti, Maria Luiza; Yoshida, Takashi; Ogata, Hiroyuki; Ingleton, Tim; Munnik, Kate; Rodriguez-Ezpeleta, Naiara; Berteaux-Lecellier, Veronique; Wecker, Patricia; Cancio, Ibon; Vaulot, Daniel; Bienhold, Christina; Ghazal, Hassan; Chaouni, Bouchra; Essayeh, Soumya; Ettamimi, Sara; Zaid, El Houcine; Boukhatem, Noureddine; Bouali, Abderrahim; Chahboune, Rajaa; Barrijal, Said; Timinouni, Mohammed; El Otmani, Fatima; Bennani, Mohamed; Mea, Marianna; Todorova, Nadezhda; Karamfilov, Ventzislav; ten Hoopen, Petra; Cochrane, Guy; L'Haridon, Stephane; Bizsel, Kemal Can; Vezzi, Alessandro; Lauro, Federico M.; Martin, Patrick; Jensen, Rachelle M.; Hinks, Jamie; Gebbels, Susan; Rosselli, Riccardo; De Pascale, Fabio; Schiavon, Riccardo; dos Santos, Antonina; Villar, Emilie; Pesant, Stephane; Cataletto, Bruno; Malfatti, Francesca; Edirisinghe, Ranjith; Silveira, Jorge A. Herrera; Barbier, Michele; Turk, Valentina; Tinta, Tinkara; Fuller, Wayne J.; Salihoglu, Ilkay; Serakinci, Nedime; Ergoren, Mahmut Cerkez; Bresnan, Eileen; Iriberri, Juan; Nyhus, Paul Anders Fronth; Bente, Edvardsen; Karlsen, Hans Erik; Golyshin, Peter N.; Gasol, Josep M.; Moncheva, Snejana; Dzhembekova, Nina; Johnson, Zackary; Sinigalliano, Christopher David; Gidley, Maribeth Louise; Zingone, Adriana; Danovaro, Roberto; Tsiamis, George; Clark, Melody S.; Costa, Ana Cristina; El Bour, Monia; Martins, Ana M.; Collins, R. Eric; Ducluzeau, Anne-Lise; Martinez, Jonathan; Costello, Mark J.; Amaral-Zettler, Linda A.; Gilbert, Jack A.; Davies, Neil; Field, Dawn; Gloeckner, Frank Oliver</t>
  </si>
  <si>
    <t>The ocean sampling day consortium</t>
  </si>
  <si>
    <t>GIGASCIENCE</t>
  </si>
  <si>
    <t>Ocean sampling day; OSD; Biodiversity; Genomics; Health Index; Bacteria; Microorganism; Metagenomics; Marine; Micro B3; Standards</t>
  </si>
  <si>
    <t>Ocean Sampling Day was initiated by the EU-funded Micro B3 (Marine Microbial Biodiversity, Bioinformatics, Biotechnology) project to obtain a snapshot of the marine microbial biodiversity and function of the world's oceans. It is a simultaneous global mega-sequencing campaign aiming to generate the largest standardized microbial data set in a single day. This will be achievable only through the coordinated efforts of an Ocean Sampling Day Consortium, supportive partnerships and networks between sites. This commentary outlines the establishment, function and aims of the Consortium and describes our vision for a sustainable study of marine microbial communities and their embedded functional traits.</t>
  </si>
  <si>
    <t>[Kopf, Anna; Kottmann, Renzo; Schnetzer, Julia; Fernandez-Guerra, Antonio; Bienhold, Christina; Gloeckner, Frank Oliver] Max Planck Inst Marine Microbiol, Celsiusstr 1, D-28359 Bremen, Germany; [Kopf, Anna; Schnetzer, Julia; Kostadinov, Ivaylo; Ullrich, Matthias; Mea, Marianna; Davies, Neil; Field, Dawn; Gloeckner, Frank Oliver] Jacobs Univ Bremen gGmbH, D-28759 Bremen, Germany; [Bicak, Mesude; Fernandez-Guerra, Antonio; Wallom, David; Field, Dawn] Univ Oxford, Oxford OX1 3QG, Oxon, England; [Lehmann, Katja] Ctr Ecol &amp; Hydrol, Wallingford OX10 8BB, Oxon, England; [Jeanthon, Christian; Cariou, Thierry; Vaulot, Daniel] Univ Paris 06, CNRS, Stn Biol, F-29680 Roscoff, France; [Jeanthon, Christian; Cariou, Thierry; Vaulot, Daniel] Univ Paris 06, Sorbonne Univ, Stn Biol, F-29680 Roscoff, France; [Rahav, Eyal] Natl Inst Oceanog, Israel Oceanog &amp; Limnol Res, IL-31080 Haifa, Israel; [Wichels, Antje; Gerdts, Gunnar] Biol Anstalt Helgoland, Alfred Wegener Inst, D-27498 Helgoland, Germany; [Polymenakou, Paraskevi; Kotoulas, Giorgos] Hellen Ctr Marine Res, Inst Marine Biol Biotechnol &amp; Aquaculture, Iraklion 71500, Crete, Greece; [Siam, Rania; Abdallah, Rehab Z.] Amer Univ Cairo, Biol Dept, New Cairo 11835, Cairo Governora, Egypt; [Siam, Rania; Abdallah, Rehab Z.] Amer Univ Cairo, YJ Sci &amp; Technol Res Ctr, New Cairo 11835, Cairo Governora, Egypt; [Sonnenschein, Eva C.; Jackson, Stephen] Tech Univ Denmark, Dept Syst Biol, DK-2800 Lyngby, Denmark; [O'Gara, Fergal] Natl Univ Ireland Univ Coll Cork, Cork, Ireland; [O'Gara, Fergal] Curtin Univ, Biomed Sci, Perth, WA 6845, Australia; [Villar, Emilie] Aix Marseille Univ, CNRS, UMR 7256, IGS, F-13288 Marseille, France; [Orlic, Sandi] Rudjer Boskovic Inst, Zagreb 10000, Croatia; [Steinke, Michael] Univ Essex, Sch Biol Sci, Colchester CO4 3SQ, Essex, England; [Busch, Julia] Carl von Ossietzky Univ Oldenburg, Inst Chem &amp; Biol Marine Environm ICBM, D-26383 Wilhemshaven, Germany; [Duarte, Bernardo; Cacador, Isabel; Canning-Clode, Joao] Univ Lisbon, Fac Sci, Marine &amp; Environm Sci Ctr, P-1749016 Lisbon, Portugal; [Canning-Clode, Joao] Smithsonian Environm Res Ctr, Edgewater, MD 21037 USA; [Bobrova, Oleksandra] Odessa Natl II Mechnikov Univ, Dept Microbiol Virol &amp; Biotechnol, UA-65082 Odessa, Ukraine; [Marteinsson, Viggo; Reynisson, Eyjolfur] Matis Ltd, IS-113 Reykjavik, Iceland; [Loureiro, Clara Magalhaes; Costa, Ana Cristina; Martins, Ana M.] Univ Acores, Dept Biol, InBio CIBIO, P-9501801 Ponta Delgada, Portugal; [Luna, Gian Marco; Quero, Grazia Marina] Inst Marine Sci CNR ISMAR, Natl Res Council, I-30122 Venice, Italy; [Loescher, Carolin R.] GEOMAR, Inst Microbiol, D-24118 Kiel, Germany; [Kremp, Anke] Finnish Environm Inst, Marine Res Ctr, Helsinki 00560, Finland; [DeLorenzo, Marie E.] NOAA, Natl Ocean Serv, NCCOS, Ctr Coastal Environm Hlth &amp; Biomol Res, Charleston, SC 29412 USA; [Ovreas, Lise] Univ Bergen, Dept Biol, N-5020 Bergen, Norway; [Tolman, Jennifer; LaRoche, Julie] Dalhousie Univ, LaRoche Res Grp, Dept Biol, Halifax, NS B3H 4R2, Canada; [Penna, Antonella] Univ Urbino, Dept Biomol Sci, I-61121 Pesaro, Italy; [Frischer, Marc] Univ Georgia, Skidaway Inst Oceanog, Savannah, GA 31411 USA; [Davis, Timothy] NOAA, Great Lakes Environm Res Lab, Ann Arbor, MI 48108 USA; [Katherine, Barker; Meyer, Christopher P.] Smithsonian Inst, Natl Museum Nat Hist, Washington, DC 20013 USA; [Ramos, Sandra; Magalhaes, Catarina] Univ Porto, Interdisciplinary Ctr Environm &amp; Marine Res, CIIMAR, P-4050123 Oporto, Portugal; [Jude-Lemeilleur, Florence] CNRS, Stn Marine Arcachon, F-33120 Arcachon, France; [Jude-Lemeilleur, Florence] Univ Bordeaux, F-33120 Arcachon, France; [Leopoldina Aguirre-Macedo, Ma] Ctr Invest &amp; Estudios Avanzados CINVESTAV, Unidad Merida, Yucatan 97310, Mexico; [Wang, Shiao; Silveira, Jorge A. Herrera] Univ So Mississippi, Dept Biol Sci, Hattiesburg, MS 39406 USA; [Poulton, Nicole] Bigelow Lab Ocean Sci, East Boothbay, ME 04544 USA; [Jones, Scott] Smithsonian Marine Stn, Ft Pierce, FL 34949 USA; [Collin, Rachel] Smithsonian Trop Res Inst, Balboa Ancon, Panama; [Fuhrman, Jed A.] Univ So Calif, Wrigley Inst Environm Studies, Los Angeles, CA 90089 USA; [Fuhrman, Jed A.] Univ So Calif, Dept Biol Sci, Los Angeles, CA 90089 USA; [Conan, Pascal; Salter, Ian] Univ Paris 06, Sorbonne Univ, CNRS, UMR7621,Lab Oceanog Microbienne,Observ Oceanol, F-66651 Banyuls Sur Mer, France; [Alonso, Cecilia; Amaral, Valentina; Santana, Rafael] Univ Republ, Ctr Univ Reg Este, Microbial Ecol Aquat Transit Syst Res Grp, Rocha, Uruguay; [Stambler, Noga] Bar Ilan Univ, Mina &amp; Everard Goodman Fac Life Sci, IL-5290002 Ramat Gan, Israel; [Stambler, Noga] Interuniv Inst Marine Sci Eilat, IL-88103 Elat, Israel; [Stambler, Noga] NOAA, Atlantic Oceanog &amp; Meteorol Lab, Ocean Chem &amp; Ecosyst Div, Miami, FL 33149 USA; [Yakimov, Michael M.] CNR, IAMC, Inst Coastal Marine Environm, I-98122 Messina, Sicily, Italy; [Baltar, Federico] Univ Otago, Dept Marine Sci, Dunedin 9054, New Zealand; [Bodrossy, Levente; Van De Kamp, Jodie; Frampton, Dion M. F.] CSIRO Oceans &amp; Atmosphere Flagship, Hobart, Tas 7000, Australia; [Ostrowski, Martin] Macquarie Univ, Dept Chem &amp; Biomol Sci, Sydney, NSW 2109, Australia; [Van Ruth, Paul; Malthouse, Paul] South Australian Res &amp; Dev Inst SARDI Aquat Sci, Henley Beach, SA 5022, Australia; [Claus, Simon; Deneudt, Klaas; Mortelmans, Jonas] Flanders Marine Inst, B-8400 Oostende, Belgium; [Pitois, Sophie] Ctr Environm Fisheries &amp; Aquaculture Sci CEFAS, Lowestoft NR33 0HT, Suffolk, England; [Salter, Ian; Bienhold, Christina] Helmholtz Zentrum Polar &amp; Meeresforsch, Alfred Wegener Inst, D-27570 Bremerhaven, Germany; [Costa, Rodrigo] Univ Algarve, Ctr Marine Sci, Microbial Ecol &amp; Evolut Res Grp, P-8005139 Faro, Portugal; [Schroeder, Declan C.] Marine Biol Assoc UK, Plymouth, Devon, England; [Kandil, Mahrous M.] Univ Alexandria, Fac Agr, Soil &amp; Water Sci Dept, Alexandria 21545, Egypt; [Pedrotti, Maria Luiza] Univ Paris 06, Univ Paris 04, CNRS, UMR 7093,LOV,Observ Oceanol, Paris, France; [Biancalana, Florencia] Argentine Inst Oceanog, Marine Biogeochem, RA-8000 Bahia Blanca, Buenos Aires, Argentina; [Yoshida, Takashi; Ogata, Hiroyuki] Kyoto Univ, Grad Sch Agr, Sakyo Ku, Kyoto 6068502, Japan; [dos Santos, Antonina] IPMA, Dept Sea &amp; Marine Resources, P-1449006 Lisbon, Portugal; [Ingleton, Tim] New South Wales Off Environm &amp; Heritage, Waters Wetlands &amp; Coasts, Sydney, NSW, Australia; [Munnik, Kate] Lwandle Technol, Cape Town, South Africa; [Rodriguez-Ezpeleta, Naiara] AZTI, Marine Res Div, Sukarrieta 48395, Bizkaia, Spain; [Berteaux-Lecellier, Veronique; Wecker, Patricia] UPVD, EPHE, CNRS, CRIOBE,USR3278,LabEx Corail, F-98729 Papetoai Moorea, France; [Ingleton, Tim] Univ Tasmania, Antarctic &amp; Southern Ocean Studies, Hobart, Tas 7004, Australia; [Cancio, Ibon; Iriberri, Juan] Univ Basque Country, E-48080 Bilbao, Basque Country, Spain; [Davies, Neil] Univ Calif Berkeley, Gump South Pacific Res Stn, F-98728 Moorea, France; [Ghazal, Hassan; Essayeh, Soumya; Chahboune, Rajaa] Univ Mohammed Premier, Polydisciplinary Fac Nador, Selouane, Nador, Morocco; [Ghazal, Hassan; Chaouni, Bouchra; Ettamimi, Sara; Boukhatem, Noureddine; Bouali, Abderrahim] Univ Mohammed Premier, Lab Genet &amp; Biotechnol, Oujda, Morocco; [Gilbert, Jack A.] Zhejiang Univ, Coll Environm &amp; Resource Sci, Hangzhou 310058, Zhejiang, Peoples R China; [Ettamimi, Sara] Univ Sidi Mohammed Ben Abdallah, Polydisciplinary Fac Taza, Fes, Morocco; [Chaouni, Bouchra; Zaid, El Houcine] Univ Mohammed Fifth Rabat, Fac Sci Rabat, Rabat, Morocco; [Chahboune, Rajaa; Barrijal, Said] Univ Abdelmalek Essaadi, Fac Sci &amp; Tech Tanger, Tanger, Morocco; [Gilbert, Jack A.] Argonne Natl Lab, Biosci Div, Inst Genom &amp; Syst Biol, Argonne, IL 60439 USA; [Timinouni, Mohammed; Bennani, Mohamed] Pasteur Inst Morocco, Casablanca 20100, Morocco; [El Otmani, Fatima] Chouaib Doukkali Univ, Fac Sci, Dept Biol, Microbiol Hlth &amp; Environm Team, El Jadida, Morocco; [Gilbert, Jack A.] Univ Chicago, Chicago, IL 60637 USA; [Todorova, Nadezhda; Karamfilov, Ventzislav] Bulgarian Acad Sci, Inst Biodivers &amp; Ecosyst Res IBER, BU-1113 Sofia, Bulgaria; [ten Hoopen, Petra; Cochrane, Guy] European Bioinformat Inst EMBL EBI, European Mol Biol Lab, Cambridge CB10 1SD, Cambs, England; [L'Haridon, Stephane] UBO, UEB, IUEM, F-29280 Plouzane, France; [Bizsel, Kemal Can] Dokuz Eylul Univ DEU, Inst Marine Sci &amp; Technol IMST, I-35340 Izmir, Balcova, Turkey; [Vezzi, Alessandro; Rosselli, Riccardo; De Pascale, Fabio; Schiavon, Riccardo] Univ Padua, Dept Biol, I-35121 Padua, Italy; [Lauro, Federico M.; Hinks, Jamie] Singapore Ctr Environm Life Sci Engn, Singapore 637551, Singapore; [Martin, Patrick] Nanyang Technol Univ, Earth Observ Singapore, Singapore 639798, Singapore; [Jensen, Rachelle M.] Indigo V Expedit, Singapore 098497, Singapore; [Gebbels, Susan] Newcastle Univ, Sch Marine Sci &amp; Technol, Dove Marine Lab, Cullercoats NE30 4PZ, Tyne &amp; Wear, England; [Costello, Mark J.] Univ Auckland, Inst Marine Sci, Auckland 1142, New Zealand; [Pesant, Stephane] Univ Bremen, PANGAEA Data Publisher Earth &amp; Environm Sci, MARUM Ctr Marine Environm Sci, D-28359 Bremen, Germany; [Cataletto, Bruno; Malfatti, Francesca] Natl Inst Oceanog &amp; Expt Geophys, OGS, I-34151 Trieste, Italy; [Edirisinghe, Ranjith] Rajarata Univ Sri Lanka, Fac Sci Appl, Dept Phys Sci, Mihintale, Sri Lanka; [Amaral-Zettler, Linda A.; Gilbert, Jack A.] Marine Biol Lab, Woods Hole, MA 02543 USA; [Amaral-Zettler, Linda A.] Brown Univ, Dept Earth Environm &amp; Planetary Sci, Providence, RI 02912 USA; [Barbier, Michele] Mediterranean Sci Commiss, Monaco 98000, Monaco; [Turk, Valentina; Tinta, Tinkara] Natl Inst Biol, Marine Biol Stn, Piran 6330, Slovenia; [Fuller, Wayne J.; Salihoglu, Ilkay; Serakinci, Nedime; Ergoren, Mahmut Cerkez] Near East Univ, Nicosia 99138, Northern Cyprus, Cyprus; [Martins, Ana M.] Univ Azores, Dept Oceanog &amp; Fisheries, PT-9901862 Horta, Portugal; [Collins, R. Eric; Ducluzeau, Anne-Lise] Univ Alaska Fairbanks, Fairbanks, AK 99775 USA; [Martinez, Jonathan] Univ Hawaii Manoa, Kewalo Marine Lab, Honolulu, HI 96813 USA; [Bresnan, Eileen] Marine Scotland Marine Lab, Phytoplankton Ecol, Aberdeen AB11 9DB, Aberdeen, Scotland; [El Bour, Monia] Inst Natl Sci &amp; Technol Mer INSTM, Salammbo 2025, Tunisia; [Nyhus, Paul Anders Fronth] Kind Blue Project ABS &amp; Citizen Sci, N-0372 Oslo, Norway; [Bente, Edvardsen] Univ Oslo, Dept Biosci, Sect Aquat Biol &amp; Toxicol, N-0316 Oslo, Norway; [Karlsen, Hans Erik] Marine Biol Res Stn, Drobak Field Stn, N-1440 Drobak, Norway; [Golyshin, Peter N.] Bangor Univ, Coll Nat Sci, Sch Biol Sci, Bangor LL57 2UW, Gwynedd, Wales; [Gasol, Josep M.] CSIC, Inst Ciencies Mar, Dept Biol Marina &amp; Oceanog, E-08003 Barcelona, Catalunya, Spain; [Moncheva, Snejana; Dzhembekova, Nina] Fridtjof Nansen Inst Oceanol, Varna 9000, Bulgaria; [Johnson, Zackary] Duke Univ, Nicholas Sch Environm, Beaufort, NC 28516 USA; [Johnson, Zackary] Duke Univ, Dept Biol, Beaufort, NC 28516 USA; [Gidley, Maribeth Louise] Univ Miami, Rosenstiel Sch Marine &amp; Atmospher Sci, Cooperat Inst Marine &amp; Atmospher Sci, Miami, FL 33149 USA; [Zingone, Adriana; Danovaro, Roberto] Stn Zool Anton Dohrn, I-80121 Naples, Italy; [Danovaro, Roberto] Polytech Univ Marche, Dept Life &amp; Environm Sci, I-60131 Ancona, Italy; [Tsiamis, George] Univ Patras, Dept Environm &amp; Nat Resources Management, Agrinion 30100, Greece; [Clark, Melody S.] NERC, British Antarctic Survey, Cambridge CB3 0ET, Cambs, England</t>
  </si>
  <si>
    <t>Max Planck Society; Jacobs University; University of Oxford; UK Centre for Ecology &amp; Hydrology (UKCEH); Centre National de la Recherche Scientifique (CNRS); Sorbonne Universite; Sorbonne Universite; Israel Oceanographic &amp; Limnological Research Institute; Helmholtz Association; Alfred Wegener Institute, Helmholtz Centre for Polar &amp; Marine Research; Hellenic Centre for Marine Research; Egyptian Knowledge Bank (EKB); American University Cairo; Egyptian Knowledge Bank (EKB); American University Cairo; Technical University of Denmark; University College Cork; Curtin University; Aix-Marseille Universite; Centre National de la Recherche Scientifique (CNRS); CNRS - National Institute for Biology (INSB); Rudjer Boskovic Institute; University of Essex; Carl von Ossietzky Universitat Oldenburg; Universidade de Lisboa; Smithsonian Institution; Smithsonian Environmental Research Center; Ministry of Education &amp; Science of Ukraine; Odesa I. I. Mechnikov National University; Universidade dos Acores; Consiglio Nazionale delle Ricerche (CNR); Istituto di Scienze Marine (ISMAR-CNR); Helmholtz Association; GEOMAR Helmholtz Center for Ocean Research Kiel; Finnish Environment Institute; National Oceanic Atmospheric Admin (NOAA) - USA; National Ocean Service, NOAA; University of Bergen; Dalhousie University; University of Urbino; University System of Georgia; University of Georgia; Skidaway Institute of Oceanography; National Oceanic Atmospheric Admin (NOAA) - USA; Smithsonian Institution; Smithsonian National Museum of Natural History; Universidade do Porto; Centre National de la Recherche Scientifique (CNRS); Universite de Bordeaux; University of Southern Mississippi; Bigelow Laboratory for Ocean Sciences; Smithsonian Institution; Smithsonian National Museum of Natural History; Smithsonian Institution; Smithsonian Tropical Research Institute; University of Southern California; University of Southern California; Sorbonne Universite; Centre National de la Recherche Scientifique (CNRS); CNRS - National Institute for Earth Sciences &amp; Astronomy (INSU); Universidad de la Republica, Uruguay; Bar Ilan University; National Oceanic Atmospheric Admin (NOAA) - USA; Atlantic Oceanographic &amp; Meteorological Laboratory (AOML); Consiglio Nazionale delle Ricerche (CNR); L'Istituto per l'Ambiente Marino Costiero (IAMC-CNR); University of Otago; Commonwealth Scientific &amp; Industrial Research Organisation (CSIRO); Macquarie University; Centre for Environment Fisheries &amp; Aquaculture Science; Helmholtz Association; Alfred Wegener Institute, Helmholtz Centre for Polar &amp; Marine Research; Universidade do Algarve; Marine Biological Association United Kingdom; Egyptian Knowledge Bank (EKB); Alexandria University; Sorbonne Universite; Centre National de la Recherche Scientifique (CNRS); CNRS - National Institute for Earth Sciences &amp; Astronomy (INSU); Kyoto University; Instituto Portugues do Mar e da Atmosfera; Office of Environment &amp; Heritage - New South Wales; AZTI; Universite PSL; Ecole Pratique des Hautes Etudes (EPHE); Centre National de la Recherche Scientifique (CNRS); CNRS - Institute of Ecology &amp; Environment (INEE); University of Tasmania; University of Basque Country; Mohammed First University of Oujda; Mohammed First University of Oujda; Zhejiang University; Sidi Mohamed Ben Abdellah University of Fez; Mohammed V University in Rabat; Abdelmalek Essaadi University of Tetouan; United States Department of Energy (DOE); Argonne National Laboratory; Chouaib Doukkali University of El Jadida; University of Chicago; Bulgarian Academy of Sciences; European Molecular Biology Laboratory (EMBL); Universite de Bretagne Occidentale; Institut Universitaire Europeen de la Mer (IUEM); Dokuz Eylul University; University of Padua; Nanyang Technological University; Nanyang Technological University; Newcastle University - UK; University of Auckland; University of Bremen; Istituto Nazionale di Oceanografia e di Geofisica Sperimentale; Rajarata University of Sri Lanka; Marine Biological Laboratory - Woods Hole; Brown University; National Institute of Biology - Slovenia; Near East University; Universidade dos Acores; University of Alaska System; University of Alaska Fairbanks; University of Hawaii System; University of Hawaii Manoa; Institut National des Sciences et Technologies de la Mer; University of Oslo; Bangor University; Consejo Superior de Investigaciones Cientificas (CSIC); CSIC - Centro Mediterraneo de Investigaciones Marinas y Ambientales (CMIMA); CSIC - Instituto de Ciencias del Mar (ICM); Duke University; Duke University; University of Miami; Stazione Zoologica Anton Dohrn di Napoli; Marche Polytechnic University; University of Patras; UK Research &amp; Innovation (UKRI); Natural Environment Research Council (NERC); NERC British Antarctic Survey</t>
  </si>
  <si>
    <t>Glöckner, FO (corresponding author), Max Planck Inst Marine Microbiol, Celsiusstr 1, D-28359 Bremen, Germany.</t>
  </si>
  <si>
    <t>fog@mpi-bremen.de</t>
  </si>
  <si>
    <t>Øvreås, Lise/H-8651-2016; Gerdts, Gunnar/R-7000-2016; Duarte, Bernardo/H-2001-2011; Vaulot, Daniel/T-6649-2019; gidley, maribeth L/B-8335-2014; Fuhrman, Jed A/C-6461-2013; Rodriguez-Ezpeleta, Naiara/B-7138-2014; Steinke, Michael/A-6137-2012; Loureiro, Clara Magalhães/I-8219-2014; turk, Valentina/AAV-8033-2020; Berteaux-Lecellier, Veronique/O-4767-2018; Polymenakou, Paraskevi/AAW-5313-2020; Cancio, Ibon/I-2821-2015; Ergoren, Mahmut Cerkez/GQP-2509-2022; Karamfilov, Ventzi/HLV-7231-2023; Costa, Ana/HDL-9297-2022; Goodwin, Kelly D./B-4985-2014; Ostrowski, Martin/A-7118-2010; Wallom, David/JYD-9431-2024; Baltar, Federico/Q-6303-2019; Martins, Ana Maria/X-8053-2019; Johnson, Zackary I/E-4601-2011; Iriberri, Juan/C-3819-2017; Lauro, Federico/X-2420-2019; Guidi, Lionel/B-3977-2012; VEZZI, ALESSANDRO/AAB-7686-2022; Ghazal, Hassan/AAS-1090-2021; Luna, Gian Marco/AAY-5262-2020; Ramos, Sandra/I-4359-2013; Kotoulas, Georgios/AAM-7938-2020; Ergoren, Mahmut Cerkez/D-8491-2018; Sonnenschein, Eva/P-4539-2016; Costa, Ana Cristina de Matos Ricardo/H-3775-2019; Fuller, Wayne J/ISV-5790-2023; Dzhembekova, Nina/HTN-3019-2023; LaRoche, Julie/A-1109-2010; Karamfilov, Ventzislav/AAT-6249-2021; van de Kamp, Jodie L/E-9423-2015; CONAN, Pascal/GZN-1170-2022; da Silva Costa, Rodrigo/N-7274-2013; Ergoren, Mahmut Cerkez/AAZ-6885-2021; Rosselli, Riccardo/AAE-6653-2019; Aguirre-Macedo, Ma Leopoldina/P-7812-2019; Aguirre-Macedo, Ma. L/A-2511-2008; Orlic, Sandi/AAE-6082-2019; Martin, Patrick/F-6263-2017; Fernandez-Guerra, Antonio/B-2851-2009; Gilbert, Jack/AAF-3270-2019; Bicak, Mesude/HHI-0357-2022; Cancio, Ibon/M-4594-2019; BENNANI, MOHAMED/K-7670-2019; Ullrich, Matthias Siegfried/C-6867-2014; Deneudt, Klaas/ABI-1255-2020; Abdallah, Rehab Z./M-6361-2019; BERTEAUX-LECELLIER, Veronique/P-6456-2019; Schroeder, Declan C./O-9131-2019; Canning-Clode, Joao/I-4343-2019; Collin, Rachel/Q-7100-2019; Amaral, Valentina/AAB-3274-2020; Alonso, Cecilia/IWU-9937-2023; Löscher, Carolin/AAB-3701-2019; Frampton, Dion/D-3310-2012; Abdallah, Rehab Z./G-9955-2014; Salter, Ian/AAI-1015-2021; dos Santos, Antonina/B-9055-2011; Quero, Grazia Marina/P-9602-2016; Jackson, Stephen/J-4368-2019; Ettamimi, Sara/E-5132-2018; Gasol, Josep M/B-1709-2008; Davies, Neil/E-5863-2012; Cacador, Isabel/C-2618-2012; Wichels, Antje/R-6992-2016; Tinta, Tinkara/L-8912-2016; Sinigalliano, Christopher/A-8760-2014; Zingone, Adriana/E-4518-2010; Bodrossy, Levente/B-8054-2009; Clark, Melody/D-7371-2014; L HARIDON, stephane/G-7327-2019; Magalhaes, Catarina/A-6836-2016</t>
  </si>
  <si>
    <t>Gerdts, Gunnar/0000-0003-0872-3927; Duarte, Bernardo/0000-0003-1914-7435; Vaulot, Daniel/0000-0002-0717-5685; Fuhrman, Jed A/0000-0002-2361-1985; Rodriguez-Ezpeleta, Naiara/0000-0001-6735-6755; Steinke, Michael/0000-0001-6820-0154; Loureiro, Clara Magalhães/0000-0002-3972-0078; Berteaux-Lecellier, Veronique/0000-0003-2152-6231; Cancio, Ibon/0000-0003-4841-0079; Ergoren, Mahmut Cerkez/0000-0001-9593-9325; Goodwin, Kelly D./0000-0001-9583-8073; Ostrowski, Martin/0000-0002-4357-3023; Baltar, Federico/0000-0001-8907-1494; Martins, Ana Maria/0000-0002-4169-8201; Iriberri, Juan/0000-0003-3787-6674; Lauro, Federico/0000-0002-8373-1014; Guidi, Lionel/0000-0002-6669-5744; VEZZI, ALESSANDRO/0000-0002-8629-6644; Ramos, Sandra/0000-0002-4065-7651; Ergoren, Mahmut Cerkez/0000-0001-9593-9325; Sonnenschein, Eva/0000-0001-6959-5100; Costa, Ana Cristina de Matos Ricardo/0000-0002-0258-3460; Dzhembekova, Nina/0000-0001-9620-6422; van de Kamp, Jodie L/0000-0003-2167-0938; CONAN, Pascal/0000-0002-2879-9411; da Silva Costa, Rodrigo/0000-0002-5932-4101; Rosselli, Riccardo/0000-0003-1393-0103; Aguirre-Macedo, Ma Leopoldina/0000-0002-3910-8305; Aguirre-Macedo, Ma. L/0000-0002-3910-8305; Orlic, Sandi/0000-0002-6339-4145; Martin, Patrick/0000-0001-8008-5558; Cancio, Ibon/0000-0003-4841-0079; Ullrich, Matthias Siegfried/0000-0001-7384-7761; Deneudt, Klaas/0000-0002-8559-3508; BERTEAUX-LECELLIER, Veronique/0000-0003-2152-6231; Schroeder, Declan C./0000-0001-5991-2838; Canning-Clode, Joao/0000-0003-2143-6535; Collin, Rachel/0000-0001-5103-4460; Amaral, Valentina/0000-0002-1088-1484; Alonso, Cecilia/0000-0003-3869-4418; Abdallah, Rehab Z./0000-0001-7194-2861; dos Santos, Antonina/0000-0002-2238-9315; Quero, Grazia Marina/0000-0002-2562-1255; Jackson, Stephen/0000-0001-7869-9032; Ettamimi, Sara/0000-0002-4761-7337; Poulton, Nicole/0000-0003-3020-4509; Golyshin, Peter/0000-0002-5433-0350; BENNANI, Mohamed/0000-0002-1749-6095; Todorova, Nadezhda/0000-0002-7195-195X; Gasol, Josep M/0000-0001-5238-2387; ten Hoopen, Petra/0000-0003-4242-4015; Meyer, Christopher/0000-0003-2501-7952; Barbier, Michele/0000-0003-3845-6233; Karamfilov, Ventzislav/0000-0002-7758-9584; Johnson, Zackary/0000-0003-0793-8512; O'Gara, Fergal/0000-0002-2659-0673; Polymenakou, Paraskevi/0000-0002-9787-7372; Collins, R. Eric/0000-0002-5858-2395; Santana, Rafael/0000-0003-3746-7117; Davies, Neil/0000-0001-8085-5014; Kotoulas, Georgios/0000-0002-4667-8533; Cochrane, Guy/0000-0001-7954-7057; Hinks, Jamie/0000-0002-9254-0041; CATALETTO, Bruno/0000-0001-8708-1314; Salter, Ian/0000-0002-4513-0314; Ghazal, Hassan/0000-0002-0638-2180; Cacador, Isabel/0000-0002-4475-6091; Fernandez-Guerra, Antonio/0000-0002-8679-490X; LUNA, GIAN MARCO/0000-0002-8303-3400; Loscher, Carolin/0000-0002-2044-6849; Wichels, Antje/0000-0002-2060-1845; Bienhold, Christina/0000-0003-2269-9468; Tinta, Tinkara/0000-0001-6740-8973; SERAKINCI, Nedime/0000-0002-1884-0839; Marteinsson, Viggo/0000-0001-8340-821X; Sinigalliano, Christopher/0000-0002-9942-238X; Kostadinov, Ivaylo/0000-0003-4476-6764; Zingone, Adriana/0000-0001-5946-6532; van Ruth, Paul/0000-0002-8436-579X; Bodrossy, Levente/0000-0001-6940-452X; Clark, Melody/0000-0002-3442-3824; Jeanthon, Christian/0000-0002-7339-574X; Dodds, Kate/0000-0003-4150-5593; De Pascale, Fabio/0000-0002-8390-1300; PESANT, Stephane/0000-0002-4936-5209; L HARIDON, stephane/0000-0002-2645-5682; Magalhaes, Catarina/0000-0001-9576-2398; LaRoche, Julie/0000-0003-4809-6411; Wallom, David/0000-0001-7527-3407</t>
  </si>
  <si>
    <t>NERC [bas0100036, ceh020002] Funding Source: UKRI; Natural Environment Research Council [bas0100036, ceh020002] Funding Source: researchfish; Direct For Biological Sciences [1418935] Funding Source: National Science Foundation; Directorate For Geosciences; Division Of Ocean Sciences [1416665] Funding Source: National Science Foundation; Directorate For Geosciences; Division Of Ocean Sciences [1031064] Funding Source: National Science Foundation; Div Of Biological Infrastructure [1418935] Funding Source: National Science Foundation</t>
  </si>
  <si>
    <t>NERC(UK Research &amp; Innovation (UKRI)Natural Environment Research Council (NERC)); Natural Environment Research Council(UK Research &amp; Innovation (UKRI)Natural Environment Research Council (NERC)); Direct For Biological Sciences(National Science Foundation (NSF)NSF - Directorate for Biological Sciences (BIO)); Directorate For Geosciences; Division Of Ocean Sciences(National Science Foundation (NSF)NSF - Directorate for Geosciences (GEO)); Directorate For Geosciences; Division Of Ocean Sciences(National Science Foundation (NSF)NSF - Directorate for Geosciences (GEO)); Div Of Biological Infrastructure(National Science Foundation (NSF)NSF - Directorate for Biological Sciences (BIO))</t>
  </si>
  <si>
    <t>2047-217X</t>
  </si>
  <si>
    <t>GigaScience</t>
  </si>
  <si>
    <t>JUN 19</t>
  </si>
  <si>
    <t>10.1186/s13742-015-0066-5</t>
  </si>
  <si>
    <t>Biology; Multidisciplinary Sciences</t>
  </si>
  <si>
    <t>Life Sciences &amp; Biomedicine - Other Topics; Science &amp; Technology - Other Topics</t>
  </si>
  <si>
    <t>CX4JF</t>
  </si>
  <si>
    <t>Green Published, Green Submitted, Green Accepted, gold</t>
  </si>
  <si>
    <t>WOS:000365665300001</t>
  </si>
  <si>
    <t>Zúñiga, C; Leiva, D; Ramírez-Fernández, L; Carú, M; Yahr, R; Orlando, J</t>
  </si>
  <si>
    <t>Zuniga, Catalina; Leiva, Diego; Ramirez-Fernandez, Lia; Caru, Margarita; Yahr, Rebecca; Orlando, Julieta</t>
  </si>
  <si>
    <t>Phylogenetic Diversity of Peltigera Cyanolichens and Their Photobionts in Southern Chile and Antarctica</t>
  </si>
  <si>
    <t>MICROBES AND ENVIRONMENTS</t>
  </si>
  <si>
    <t>Peltigera; Nostoc; phylogenetic diversity; Chile and Antarctica; Nothofagus forests</t>
  </si>
  <si>
    <t>LICHEN-FORMING ASCOMYCOTA; GENUS PELTIGERA; RIBOSOMAL DNA; LARGE SUBUNIT; ALIGNMENT; FUNGI; IDENTIFICATION; DELIMITATION; COMMUNITIES; SELECTIVITY</t>
  </si>
  <si>
    <t>The lichen genus Peltigera has been mainly revised in the Northern Hemisphere, with most species being recorded in Europe and North America. This study assessed the phylogenetic diversity of the mycobionts and cyanobionts of Peltigera cyanolichens collected in Southern Chile and Antarctica, areas in which lichens are extremely diverse but poorly studied. The operational taxonomic units (OTUs) of each symbiont were defined by analyzing the genetic diversity of the LSU and SSU rDNA of the mycobionts and cyanobionts, respectively, and a phylogenetic approach was used to relate these OTUs with sequences previously reported for Peltigera and Nostoc. Among the 186 samples collected, 8 Peltigera and 15 Nostoc OTUs were recognized, corresponding to sections Peltigera, Horizontales, and Polydactylon, in the case of the mycobionts, and to the Nostoc clade II, in the case of the cyanobionts. Since some of the OTUs recognized in this study had not previously been described in these areas, our results suggest that the diversity of Peltigera reported to date in the regions studied using traditional morphological surveys has underestimated the true diversity present; therefore, further explorations of these areas are recommended.</t>
  </si>
  <si>
    <t>[Zuniga, Catalina; Leiva, Diego; Ramirez-Fernandez, Lia; Caru, Margarita; Orlando, Julieta] Univ Chile, Fac Sci, Dept Ecol Sci, Santiago, Chile; [Yahr, Rebecca] Royal Bot Garden Edinburgh, Edinburgh EH3 5LR, Midlothian, Scotland</t>
  </si>
  <si>
    <t>Universidad de Chile</t>
  </si>
  <si>
    <t>Orlando, J (corresponding author), Univ Chile, Fac Sci, Dept Ecol Sci, Casilla 653, Santiago, Chile.</t>
  </si>
  <si>
    <t>jorlando@u.uchile.cl</t>
  </si>
  <si>
    <t>Ramírez-Fernández, Lía/KGK-8759-2024; Orlando, Julieta/E-1399-2014</t>
  </si>
  <si>
    <t>Orlando, Julieta/0000-0002-2902-8870; Leiva, Diego/0000-0001-7279-6755; Yahr, Rebecca/0000-0003-1518-9451</t>
  </si>
  <si>
    <t>Wildlife Conservation Society Chile (WCS-Chile); INACH [F_02-10]; FONDECYT (National Fund for Scientific and Technological Development) [11100381]</t>
  </si>
  <si>
    <t>Wildlife Conservation Society Chile (WCS-Chile); INACH; FONDECYT (National Fund for Scientific and Technological Development)(Comision Nacional de Investigacion Cientifica y Tecnologica (CONICYT)CONICYT FONDECYT)</t>
  </si>
  <si>
    <t>The authors want to sincerely thank J.L. Parraguez (Coyhaique and Karukinka), M. Chacon (Karukinka), V. Bauk (Navarino), A. Kromer (Deception), M. Presa (Deception), D. Lozano (Deception), A. Pradilla (Deception), and F. Farias (Navarino and Deception) for their valuable fieldwork assistance. In addition, we offer a fraternal acknowledgement to the people of INACH-ECAs 48 and 49 and the people at BAE Gabriel de Castilla (campaign 2012-2013). The Wildlife Conservation Society Chile (WCS-Chile) provided support for sampling at the Karukinka Natural Park. The people from the Omora Ethno-botanical Park and the University of Magallanes (venue Puerto Williams) provided support for sampling near the locality of Puerto Williams. In the case of the protected areas of Coyhaique National Reserve and ASPA 140, permits were obtained from CONAF (National Forestry Corporation) and INACH (Chilean Antarctic Institute), respectively. Sampling in Antarctica was funded by the Project F_02-10 (INACH). This research was funded by the project FONDECYT (National Fund for Scientific and Technological Development) 11100381.</t>
  </si>
  <si>
    <t>JAPANESE SOC MICROBIAL ECOLOGY, DEPT BIORESOURCE SCIENCE</t>
  </si>
  <si>
    <t>IBARAKI</t>
  </si>
  <si>
    <t>C/O DR. HIROYUKI OHTA, SEC, IBARAKI UNIV COLLEGE OF AGRICULT, AMI-MACHI, IBARAKI, JAPAN</t>
  </si>
  <si>
    <t>1342-6311</t>
  </si>
  <si>
    <t>MICROBES ENVIRON</t>
  </si>
  <si>
    <t>Microbes Environ.</t>
  </si>
  <si>
    <t>10.1264/jsme2.ME14156</t>
  </si>
  <si>
    <t>Biotechnology &amp; Applied Microbiology; Microbiology</t>
  </si>
  <si>
    <t>CL0DE</t>
  </si>
  <si>
    <t>WOS:000356608500009</t>
  </si>
  <si>
    <t>Diversity in a Cold Hot-Spot: DNA-Barcoding Reveals Patterns of Evolution among Antarctic Demosponges (Class Demospongiae, Phylum Porifera)</t>
  </si>
  <si>
    <t>SEROLID ISOPODS CRUSTACEA; MARINE BENTHIC DIVERSITY; SEQUENCE ALIGNMENT; PHYLOGENY; HEXACTINELLIDS; BIODIVERSITY; SPECIATION; DYNAMICS; SPONGES; WEDDELL</t>
  </si>
  <si>
    <t>Background The approximately 350 demosponge species that have been described from Antarctica represent a faunistic component distinct from that of neighboring regions. Sponges provide structure to the Antarctic benthos and refuge to other invertebrates, and can be dominant in some communities. Despite the importance of sponges in the Antarctic subtidal environment, sponge DNA barcodes are scarce but can provide insight into the evolutionary relationships of this unique biogeographic province. Methodology/Principal Findings We sequenced the standard barcoding COI region for a comprehensive selection of sponges collected during expeditions to the Ross Sea region in 2004 and 2008, and produced DNA-barcodes for 53 demosponge species covering about 60% of the species collected. The Antarctic sponge communities are phylogenetically diverse, matching the diversity of well-sampled sponge communities in the Lusitanic and Mediterranean marine provinces in the Temperate Northern Atlantic for which molecular data are readily available. Additionally, DNA-barcoding revealed levels of in situ molecular evolution comparable to those present among Caribbean sponges. DNA-barcoding using the Segregating Sites Algorithm correctly assigned approximately 54% of the barcoded species to the morphologically determined species. Conclusion/Significance A barcode library for Antarctic sponges was assembled and used to advance the systematic and evolutionary research of Antarctic sponges. We provide insights on the evolutionary forces shaping Antarctica's diverse sponge communities, and a barcode library against which future sequence data from other regions or depth strata of Antarctica can be compared. The opportunity for rapid taxonomic identification of sponge collections for ecological research is now at the horizon.</t>
  </si>
  <si>
    <t>[Vargas, Sergio; Woerheide, Gert] Univ Munich, Dept Earth &amp; Environm Sci Palaeontol &amp; Geobiol, D-80333 Munich, Germany; [Kelly, Michelle] Natl Ctr Coasts &amp; Oceans, Natl Inst Water &amp; Atmospher Res, Auckland 1149, New Zealand; [Schnabel, Kareen; Mills, Sadie; Bowden, David] Natl Ctr Coasts &amp; Oceans, Natl Inst Water &amp; Atmospher Res, Wellington, New Zealand; [Woerheide, Gert] GeoBio Ctr LMU, D-80333 Munich, Germany; [Woerheide, Gert] Bavarian State Collect Palaeontol &amp; Geol, D-80333 Munich, Germany</t>
  </si>
  <si>
    <t>University of Munich; National Institute of Water &amp; Atmospheric Research (NIWA) - New Zealand; National Institute of Water &amp; Atmospheric Research (NIWA) - New Zealand; University of Munich</t>
  </si>
  <si>
    <t>Wörheide, G (corresponding author), Univ Munich, Dept Earth &amp; Environm Sci Palaeontol &amp; Geobiol, Richard Wagner Str 10, D-80333 Munich, Germany.</t>
  </si>
  <si>
    <t>Wörheide, Gert/C-1080-2008; Vargas, Sergio/A-5678-2011</t>
  </si>
  <si>
    <t>Wörheide, Gert/0000-0002-6380-7421; Vargas, Sergio/0000-0001-8704-1339; Mills, Victoria/0000-0002-8122-0456; Schnabel, Kareen/0000-0002-9965-9010</t>
  </si>
  <si>
    <t>Deutsche Forschungsgemeinschaft (DFG) [Wo896/9-1,2, SPP 1158]; New Zealand Government through Ministry of Primary Industries [IPY2007-01]; Ministry of Business, Innovation Employment [CO1X1226]; Ministry of Primary Industries Science Team [IPY2007-01]</t>
  </si>
  <si>
    <t>Deutsche Forschungsgemeinschaft (DFG)(German Research Foundation (DFG)); New Zealand Government through Ministry of Primary Industries; Ministry of Business, Innovation Employment(New Zealand Ministry of Business, Innovation and Employment (MBIE)); Ministry of Primary Industries Science Team</t>
  </si>
  <si>
    <t>This research was funded Deutsche Forschungsgemeinschaft (DFG) through the SPP 1158 Antarktisforschung, grants Wo896/9-1,2 to G. Worheide and by the New Zealand Government through Ministry of Primary Industries project IPY2007-01 (The New Zealand International Polar Year-Census of Antarctic Marine Life Project; IPY-CAML), and Ministry of Business, Innovation &amp; Employment project CO1X1226 (Ross Sea Climate and Ecosystems). The authors gratefully acknowledge project governance during IPY2007-01 by the Ministry of Primary Industries Science Team and the Ocean Survey 20/20 CAML Advisory Group. The funders had no role in study design, data compilation, analysis, decision to publish, or preparation of the manuscript.</t>
  </si>
  <si>
    <t>e0127573</t>
  </si>
  <si>
    <t>10.1371/journal.pone.0127573</t>
  </si>
  <si>
    <t>CL3FE</t>
  </si>
  <si>
    <t>WOS:000356835000011</t>
  </si>
  <si>
    <t>Cheung, WWL; Sumaila, UR</t>
  </si>
  <si>
    <t>Cheung, William W. L.; Sumaila, U. Rashid</t>
  </si>
  <si>
    <t>Economic incentives and overfishing: a bioeconomic vulnerability index</t>
  </si>
  <si>
    <t>Vulnerability; Discount rate; Overfishing; Fisheries; Spatial bioeconomics</t>
  </si>
  <si>
    <t>INTRINSIC VULNERABILITY; GLOBAL FISHERIES; REEF FISHERIES; MARINE FISHES; EXTINCTION; SEA; DATABASE; CATCH; COST</t>
  </si>
  <si>
    <t>Bioeconomic theory predicts that the trade-offs between maximization of economic benefits and conservation of vulnerable marine species can be assessed using the ratio between the discount rate of fishers and the intrinsic rate of growth of the exploited populations. In this paper, we use this theory to identify areas of the global ocean where higher vulnerability of fishes to overfishing would be expected in the absence of management. We derive an index to evaluate the level of vulnerability by comparing discount rates and fishes' intrinsic population growth rates. Using published discount rates of countries that are reported to fish in the ocean and estimating the intrinsic population growth rate for major exploited fishes in the world, we calculate the vulnerability index for each 0.5 degrees latitude x 0.5 degrees longitude grid for each taxon and each fishing country. Our study shows that vulnerability is inherently high on the northeastern coast of Canada, the Pacific coast of Mexico, the Peruvian coast, in the South Pacific, on the southern and southeastern coast of Africa, and in the Antarctic region. It should be noted that this index does not account for the management regime currently in place in different areas, and thus mainly reflects the vulnerability resulting from the intrinsic life history characteristics of the fish species being targeted and the discount rates of the fishers exploiting them. Despite the uncertainties of this global-scale analysis, our study highlights the potential applications of large-scale spatial bioeconomics in identifying areas where fish stocks are more likely to be over-exploited when there is no effective fisheries management; this applies to many fisheries around the world today.</t>
  </si>
  <si>
    <t>[Cheung, William W. L.] Univ British Columbia, Changing Oceans Res Unit, Vancouver, BC V6T 1Z4, Canada; [Sumaila, U. Rashid] Univ British Columbia, Fisheries Econ Res Unit, Vancouver, BC V6T 1Z4, Canada</t>
  </si>
  <si>
    <t>University of British Columbia; University of British Columbia</t>
  </si>
  <si>
    <t>Cheung, WWL (corresponding author), Univ British Columbia, Changing Oceans Res Unit, 2202 Main Mall, Vancouver, BC V6T 1Z4, Canada.</t>
  </si>
  <si>
    <t>w.cheung@fisheries.ubc.ca</t>
  </si>
  <si>
    <t>Cheung, William/F-5104-2013; Sumaila, U. Rashid/ABE-6475-2020</t>
  </si>
  <si>
    <t>Pew Charitable Trust through U.R.S.'s Pew Marine Conservation fellowship; National Geographic Society; Natural Sciences and Engineering Research Council of Canada; Nippon Foundation</t>
  </si>
  <si>
    <t>Pew Charitable Trust through U.R.S.'s Pew Marine Conservation fellowship; National Geographic Society(National Geographic Society); Natural Sciences and Engineering Research Council of Canada(Natural Sciences and Engineering Research Council of Canada (NSERC)CGIAR); Nippon Foundation(Nippon Foundation)</t>
  </si>
  <si>
    <t>This project is funded by the Pew Charitable Trust through U.R.S.'s Pew Marine Conservation fellowship. W.W.L.C. acknowledges funding support from the National Geographic Society, Natural Sciences and Engineering Research Council of Canada, and Nippon Foundation. We thank M.L.D. Palomares for provision of data from FishBase.</t>
  </si>
  <si>
    <t>JUN 18</t>
  </si>
  <si>
    <t>10.3354/meps11135</t>
  </si>
  <si>
    <t>CL4QR</t>
  </si>
  <si>
    <t>WOS:000356938800017</t>
  </si>
  <si>
    <t>Chen, C; Copley, JT; Linse, K; Rogers, AD; Sigwart, JD</t>
  </si>
  <si>
    <t>Chen, Chong; Copley, Jonathan T.; Linse, Katrin; Rogers, Alex D.; Sigwart, Julia D.</t>
  </si>
  <si>
    <t>The heart of a dragon: 3D anatomical reconstruction of the 'scaly-foot gastropod' (Mollusca: Gastropoda: Neomphalina) reveals its extraordinary circulatory system</t>
  </si>
  <si>
    <t>FRONTIERS IN ZOOLOGY</t>
  </si>
  <si>
    <t>'Scaly-foot gastropod'; Chrysomallon squamiferum; Morphology; Hydrothermal vents; Anatomy; Deep-sea; Adaptation; Neomphalina</t>
  </si>
  <si>
    <t>HYDROTHERMAL-VENT GASTROPOD; LIFE-HISTORY TRAITS; MID-ATLANTIC RIDGE; RIFTIA-PACHYPTILA; INDIAN-OCEAN; STRUCTURAL ADAPTATIONS; GENETIC DIVERSITY; OKINAWA TROUGH; COLD SEEPS; TUBE-WORM</t>
  </si>
  <si>
    <t>Introduction: The 'scaly-foot gastropod' (Chrysomallon squamiferum Chen et al., 2015) from deep-sea hydrothermal vent ecosystems of the Indian Ocean is an active mobile gastropod occurring in locally high densities, and it is distinctive for the dermal scales covering the exterior surface of its foot. These iron-sulfide coated sclerites, and its nutritional dependence on endosymbiotic bacteria, are both noted as adaptations to the extreme environment in the flow of hydrogen sulfide. We present evidence for other adaptations of the 'scaly-foot gastropod' to life in an extreme environment, investigated through dissection and 3D tomographic reconstruction of the internal anatomy. Results: Our anatomical investigations of juvenile and adult specimens reveal a large unganglionated nervous system, a simple and reduced digestive system, and that the animal is a simultaneous hermaphrodite. We show that Chrysomallon squamiferum relies on endosymbiotic bacteria throughout post-larval life. Of particular interest is the circulatory system: Chrysomallon has a very large ctenidium supported by extensive blood sinuses filled with haemocoel. The ctenidium provides oxygen for the host but the circulatory system is enlarged beyond the scope of other similar vent gastropods. At the posterior of the ctenidium is a remarkably large and well-developed heart. Based on the volume of the auricle and ventricle, the heart complex represents approximately 4 % of the body volume. This proportionally giant heart primarily sucks blood through the ctenidium and supplies the highly vascularised oesophageal gland. Thus we infer the elaborate cardiovascular system most likely evolved to oxygenate the endosymbionts in an oxygen poor environment and/or to supply hydrogen sulfide to the endosymbionts. Conclusions: This study exemplifies how understanding the autecology of an organism can be enhanced by detailed investigation of internal anatomy. This gastropod is a large and active species that is abundant in its hydrothermal vent field ecosystem. Yet all of its remarkable features-protective dermal sclerites, circulatory system, high fecundity-can be viewed as adaptations beneficial to its endosymbiont microbes. We interpret these results to show that, as a result of specialisation to resolve energetic needs in an extreme chemosynthetic environment, this dramatic dragon-like species has become a carrying vessel for its bacteria.</t>
  </si>
  <si>
    <t>[Chen, Chong; Rogers, Alex D.] Univ Oxford, Dept Zool, Oxford OX1 3PS, England; [Copley, Jonathan T.] Univ Southampton, Ocean &amp; Earth Sci, Southampton SO14 3ZH, Hants, England; [Linse, Katrin] British Antarctic Survey, Cambridge CB3 0ET, England; [Sigwart, Julia D.] Queens Univ Belfast, Marine Lab, Portaferry BT22 1PF, North Ireland</t>
  </si>
  <si>
    <t>University of Oxford; University of Southampton; UK Research &amp; Innovation (UKRI); Natural Environment Research Council (NERC); NERC British Antarctic Survey; Queens University Belfast</t>
  </si>
  <si>
    <t>Copley, Jon/I-7076-2012; Sigwart, Julia/J-2928-2014; Chen, Chong/F-7489-2019</t>
  </si>
  <si>
    <t>Copley, Jon/0000-0003-3333-4325; Linse, Katrin/0000-0003-3477-3047; Sigwart, Julia/0000-0002-3005-6246; Chen, Chong/0000-0002-5035-4021; Rogers, Alex David/0000-0002-4864-2980</t>
  </si>
  <si>
    <t>Malacological Society of London; NERC [NE/H012087/1, NE/F005504/1]; Natural Environment Research Council [NE/H012087/1, bas0100036, NE/F005504/1] Funding Source: researchfish; NERC [NE/H012087/1, bas0100036, NE/F005504/1] Funding Source: UKRI</t>
  </si>
  <si>
    <t>Malacological Society of London; NERC(UK Research &amp; Innovation (UKRI)Natural Environment Research Council (NERC)); Natural Environment Research Council(UK Research &amp; Innovation (UKRI)Natural Environment Research Council (NERC)); NERC(UK Research &amp; Innovation (UKRI)Natural Environment Research Council (NERC))</t>
  </si>
  <si>
    <t>Lauren Sumner-Looney (Queen's University Belfast) is gratefully acknowledged for her great help in the laboratory work and 3D modelling, as well as stimulating discussions. We also thank Dr John Grahame (University of Leeds) and many other colleagues who contributed further valuable discussions to the project. This research was supported by a Research Grant from the Malacological Society of London to CC. We owe a great deal to the Master and crew of the RRS James Cook, as well as pilots and technical teams of ROV Kiel 6000 for their tremendous support of the scientific activities during the cruises JC66/67 funded by NERC Small Research Grant NE/H012087/1 to JTC and NERC Research Grant NE/F005504/1 to ADR. We are grateful for the logistics and shipboard support provided by the staffs of the UK National Marine Facilities at the National Oceanography Centre, Southampton. Prof. Gerhard Haszprunar and two anonymous referees greatly improved an earlier version of this paper.</t>
  </si>
  <si>
    <t>1742-9994</t>
  </si>
  <si>
    <t>FRONT ZOOL</t>
  </si>
  <si>
    <t>Front. Zool.</t>
  </si>
  <si>
    <t>10.1186/s12983-015-0105-1</t>
  </si>
  <si>
    <t>CK7JK</t>
  </si>
  <si>
    <t>WOS:000356408400001</t>
  </si>
  <si>
    <t>Guerreiro, M; Phillips, RA; Cherel, Y; Ceia, FR; Alvito, P; Rosa, R; Xavier, JC</t>
  </si>
  <si>
    <t>Guerreiro, Miguel; Phillips, Richard A.; Cherel, Yves; Ceia, Filipe R.; Alvito, Pedro; Rosa, Rui; Xavier, Jose C.</t>
  </si>
  <si>
    <t>Habitat and trophic ecology of Southern Ocean cephalopods from stable isotope analyses</t>
  </si>
  <si>
    <t>Southern Ocean; Pelagic ecosystem; Distribution; Foraging ecology; Kondakovia longimana; Diet</t>
  </si>
  <si>
    <t>ANTARCTIC POLAR FRONT; WANDERING ALBATROSSES; INCLUDING GIANT; FORAGING AREAS; FOOD-WEB; DIET; PREDATORS; NITROGEN; CARBON; INFORMATION</t>
  </si>
  <si>
    <t>Although cephalopods play a critical role in marine food webs both as predators and prey, there is a limited knowledge of several basic aspects of their ecology, including their habitat and trophic level, in the Southern Ocean. We examined the ecological role of several Southern Ocean cephalopod species by analyzing delta C-13 and delta N-15 values in lower cephalopod beaks obtained from diet samples of wandering albatross Diomedea exulans from South Georgia (Atlantic Ocean), and from Crozet and Kerguelen Islands (Indian Ocean). Beak delta C-13 values ranged from -25.7 to -17.9 parts per thousand, and were used to assign different cephalopod species to the subtropical, sub-Antarctic or Antarctic Zones. Beak delta N-15 values were more variable among species, ranging from 2.4 to 13.3 parts per thousand, a difference of similar to 11 parts per thousand that represents approx. 3 trophic levels. Differences among islands in isotope ratios in the same cephalopod species (higher delta N-15 and lower delta C-13 values in South Georgia) were attributed to regional oceanographic processes. Antarctic cephalopods occupy niches similar to those found in some pelagic fish, seabirds and marine mammals. As cephalopods are key components in Southern Ocean food webs, these results greatly advance our understanding of the structure, energy and carbon flows in this polar ecosystem.</t>
  </si>
  <si>
    <t>[Guerreiro, Miguel; Ceia, Filipe R.; Alvito, Pedro; Xavier, Jose C.] Univ Coimbra, Fac Ciencias &amp; Tecnol, MARE Marine &amp; Environm Sci Ctr, P-3004517 Coimbra, Portugal; [Phillips, Richard A.; Xavier, Jose C.] British Antarctic Survey, Nat Environm Res Council, Cambridge CB3 0ET, England; [Cherel, Yves] Univ La Rochelle, CNRS, Ctr Etud Biol Chize, UMR 7372, F-79360 Villiers En Bois, France; [Rosa, Rui] Univ Lisbon, Fac Ciencias, Ctr Oceanog, Lab Maritimo Guia, P-2750374 Cascais, Portugal</t>
  </si>
  <si>
    <t>Universidade de Coimbra; UK Research &amp; Innovation (UKRI); Natural Environment Research Council (NERC); NERC British Antarctic Survey; Centre National de la Recherche Scientifique (CNRS); CNRS - Institute of Ecology &amp; Environment (INEE); La Rochelle Universite; Universidade de Lisboa</t>
  </si>
  <si>
    <t>Guerreiro, M (corresponding author), Univ Coimbra, Fac Ciencias &amp; Tecnol, MARE Marine &amp; Environm Sci Ctr, P-3004517 Coimbra, Portugal.</t>
  </si>
  <si>
    <t>miguerreiro24@gmail.com</t>
  </si>
  <si>
    <t>Rosa, Rui/A-4580-2009; Ceia, Filipe R./A-2196-2012; Xavier, José/KFB-6739-2024; Guerreiro, Miguel/D-8651-2015</t>
  </si>
  <si>
    <t>Rosa, Rui/0000-0003-2801-5178; Ceia, Filipe R./0000-0002-5470-5183; Guerreiro, Miguel/0000-0002-0735-9812; /0000-0002-9621-6660</t>
  </si>
  <si>
    <t>Institut Polaire Francais Paul Emile Victor [109]; Terres Australes et Antarctiques Francaises; British Antarctic Survey; Fundacao para a Ciencia e Tecnologia (FCT); Natural Environment Research Council; Natural Environment Research Council [bas0100035] Funding Source: researchfish; NERC [bas0100035] Funding Source: UKRI</t>
  </si>
  <si>
    <t>Institut Polaire Francais Paul Emile Victor; Terres Australes et Antarctiques Francaises; British Antarctic Survey; Fundacao para a Ciencia e Tecnologia (FCT)(Fundacao para a Ciencia e a Tecnologia (FCT));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</si>
  <si>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authors thank fieldworkers for collecting diet samples, Paul Rodhouse for numerous discussions on the paper and on cephalopods in general, Janet Silk for creating Fig. 1, and Alexandra Baeta for stable isotope analysis. The work at Crozet and Kerguelen was supported financially and logistically by the Institut Polaire Francais Paul Emile Victor (Programme No 109, H. Weimerskirch) and the Terres Australes et Antarctiques Francaises, and at South Georgia by the British Antarctic Survey. This work was also supported by the Fundacao para a Ciencia e Tecnologia (FCT), the British Antarctic Survey and within research projects CEPH, POLAR, PROPOLAR and inter national programs ICED and SCAR AnT-ERA. This study represents a contribution to the Ecosystems component of the British Antarctic Survey Polar Science for Planet Earth Programme, funded by the Natural Environment Research Council.</t>
  </si>
  <si>
    <t>10.3354/meps11266</t>
  </si>
  <si>
    <t>WOS:000356938800009</t>
  </si>
  <si>
    <t>Crossin, GT; Takahashi, A; Sakamoto, KQ; Trathan, PN; Williams, TD</t>
  </si>
  <si>
    <t>Crossin, Glenn T.; Takahashi, Akinori; Sakamoto, Kentaro Q.; Trathan, Phil N.; Williams, Tony D.</t>
  </si>
  <si>
    <t>Habitat selection by foraging macaroni penguins correlates with hematocrit, an index of aerobic condition</t>
  </si>
  <si>
    <t>Biologging; Time-depth recorders; GPS; Telemetry; Parental care; Eudyptes; Ocean temperature</t>
  </si>
  <si>
    <t>SEA-SURFACE TEMPERATURES; HEALTH STATE INDEXES; SOUTH GEORGIA; EUDYPTES-CHRYSOLOPHUS; BODY CONDITION; INTERANNUAL VARIABILITY; PROVISIONING BEHAVIOR; BREEDING PERFORMANCE; ANTARCTIC KRILL; EGG-PRODUCTION</t>
  </si>
  <si>
    <t>Reproductive investment during the chick-rearing period is an important contributor to lifetime fitness. Key to chick-rearing is the success of parental foraging, as food deliveries affect chick growth and survival up until fledging. For seabirds, oceanographic conditions including factors such as sea surface temperature are known to influence foraging decisions, but few studies have examined the physiological variables that might affect those decisions. We used global positioning systems (GPS), time-depth recorders (TDR), and physiological sampling techniques to explore links between ocean temperature, diving behavior, and foraging success in chick-rearing female macaroni penguins Eudyptes chrysolophus. We then explored correlations between these foraging variables and measures of individual physiological condition, specifically aerobic capacity (hematocrit) and metabolic state (corticosterone). In GPS-tracked penguins, 2 principal for aging tactics were observed: penguins made deep dives in cool, near-shore areas surrounding the breeding colony at Bird Island, South Georgia, or they traveled farther to dive shallower in warmer shelf-break areas. TDR-equipped penguins showed similar patterns. Blood sampling of TDR penguins at the onset of trips revealed strong positive correlations between hematocrit and the mean duration of foraging trips, the ocean temperature experienced during these trips, and the relative efficiency of foraging activity in terms of the number of foraging behaviors recorded per dive. These results suggest that aerobic capacity might be an important determinant of for aging trip range, as well as workload. Corticosterone was unrelated to diving behavior, which counters previous studies examining the effects of experimental increases of this hormone on foraging behavior, and we discuss reasons for this disparity.</t>
  </si>
  <si>
    <t>[Crossin, Glenn T.] Dalhousie Univ, Dept Biol, Halifax, NS B3H 4J1, Canada; [Williams, Tony D.] Simon Fraser Univ, Dept Biol Sci, Burnaby, BC V5A 1S6, Canada; [Takahashi, Akinori] Natl Inst Polar Res, Tachikawa, Tokyo 1908518, Japan; [Sakamoto, Kentaro Q.] Hokkaido Univ, Grad Sch Vet Med, Physiol Lab, Kita Ku, Sapporo, Hokkaido 0600818, Japan; [Trathan, Phil N.] British Antarctic Survey, Nat Environm Res Council, Cambridge CB3 0ET, England</t>
  </si>
  <si>
    <t>Dalhousie University; Simon Fraser University; Research Organization of Information &amp; Systems (ROIS); National Institute of Polar Research (NIPR) - Japan; Hokkaido University; UK Research &amp; Innovation (UKRI); Natural Environment Research Council (NERC); NERC British Antarctic Survey</t>
  </si>
  <si>
    <t>Crossin, GT (corresponding author), Dalhousie Univ, Dept Biol, Halifax, NS B3H 4J1, Canada.</t>
  </si>
  <si>
    <t>gtc@dal.ca</t>
  </si>
  <si>
    <t>Sakamoto, Kentaro/A-4843-2012; Sakamoto, Kentaro/N-7424-2019</t>
  </si>
  <si>
    <t>Sakamoto, Kentaro/0000-0002-8499-799X; Sakamoto, Kentaro/0000-0002-8499-799X; Takahashi, Akinori/0000-0002-9868-0408; Crossin, Glenn/0000-0003-1080-1189</t>
  </si>
  <si>
    <t>British Antarctic Survey through Antarctic Funding Initiative Collaborative Gearing Scheme; Natural Science and Engineering Research Council of Canada (NSERC) post-doctoral fellowship; NSERC Discovery Grant; JSPS KAKENHI [20310016]; Grants-in-Aid for Scientific Research [20310016] Funding Source: KAKEN; Natural Environment Research Council [bas0100035] Funding Source: researchfish; NERC [bas0100035] Funding Source: UKRI</t>
  </si>
  <si>
    <t>British Antarctic Survey through Antarctic Funding Initiative Collaborative Gearing Scheme; Natural Science and Engineering Research Council of Canada (NSERC) post-doctoral fellowship(Natural Sciences and Engineering Research Council of Canada (NSERC)); NSERC Discovery Grant(Natural Sciences and Engineering Research Council of Canada (NSERC));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</si>
  <si>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thank Stacey Adlard, Fabrice Le Bouard, David Haines, and Takashi Iwata for field assistance, and Andrew Wood for technical assistance. Financial support was provided by the British Antarctic Survey through an Antarctic Funding Initiative Collaborative Gearing Scheme. Additional support was provided by a Natural Science and Engineering Research Council of Canada (NSERC) post-doctoral fellowship to G.T.C., by an NSERC Discovery Grant to T.D.W., and by a JSPS KAKENHI grant (no. 20310016) to A.T. This study represents a contribution to the British Antarctic Survey Ecosystem Programme.</t>
  </si>
  <si>
    <t>10.3354/meps11320</t>
  </si>
  <si>
    <t>WOS:000356938800012</t>
  </si>
  <si>
    <t>Okazaki, R; Noguchi, T; Tsujimoto, S; Tobimatsu, Y; Nakamura, T; Ebihara, M; Itoh, S; Nagahara, H; Tachibana, S; Terada, K; Yabuta, H</t>
  </si>
  <si>
    <t>Okazaki, Ryuji; Noguchi, Takaaki; Tsujimoto, Shin-ichi; Tobimatsu, Yu; Nakamura, Tomoki; Ebihara, Mitsuru; Itoh, Shoichi; Nagahara, Hiroko; Tachibana, Shogo; Terada, Kentaro; Yabuta, Hikaru</t>
  </si>
  <si>
    <t>Mineralogy and noble gas isotopes of micrometeorites collected from Antarctic snow</t>
  </si>
  <si>
    <t>Antarctic micrometeorites; Noble gas; Transmission electron microscopy; Atmospheric entry heating; Solar energetic particles</t>
  </si>
  <si>
    <t>INTERPLANETARY DUST PARTICLES; SOLAR ENERGETIC PARTICLES; ATMOSPHERIC ENTRY; ACCRETION RATE; EXCESS HE-3; ITOKAWA; WIND; HELIUM; NEON; ACCELERATION</t>
  </si>
  <si>
    <t>We have investigated seven micrometeorites (MMs) from Antarctic snow collected in 2003 and 2010 by means of electron microscopy, X-ray diffraction, micro-Raman spectroscopy, transmission electron microscopy (TEM) observation, and noble-gas isotope analysis. Isotopic ratios of He and Ne indicate that the noble gases in these MMs are mostly of solar wind (SW). Based on the release patterns of SW He-4, which should reflect the degree of heating during atmospheric entry, the seven MMs were classified into three types including two least heated, three moderately heated, and two severely heated MMs. The heating degrees are well correlated to their mineralogical features determined by TEM observation. One of the least heated MMs is composed of phyllosilicates, whereas the other consists of anhydrous minerals within which solar flare tracks were observed. The two severely heated MMs show clear evidence of atmospheric heating such as partial melt of the uppermost surface layer in one and abundant patches of dendritic magnetite and Si-rich glass within an olivine grain in the other. It is noteworthy that a moderately heated MM composed of a single crystal of olivine has a He-3/He-4 ratio of 8.44 x 10(-4), which is higher than the SW value of 4.64 x 10(-4), but does not show a cosmogenic Ne-21 signature such as Ne-20/Ne-21/Ne-22 = 12.83/0.0284/1. The isotopic compositions of He and Ne in this sample cannot be explained by mixing of a galactic cosmic ray (GCR)-produced component and SW gases. The high He-3/He-4 ratio without cosmogenic Ne-21 signature likely indicates the presence of a He-3-enriched component derived from solar energetic particles.</t>
  </si>
  <si>
    <t>[Okazaki, Ryuji] Kyushu Univ, Fac Sci, Dept Earth &amp; Planetary Sci, Higashi Ku, Fukuoka 8128581, Japan; [Noguchi, Takaaki] Kyushu Univ, Fac Arts &amp; Sci, Nishi Ku, Fukuoka 8190395, Japan; [Tsujimoto, Shin-ichi] Ibaraki Univ, Coll Sci, Bunkyo Ku, Mito, Ibaraki 3108512, Japan; [Tobimatsu, Yu] Kyushu Univ, Grad Sch Sci, Dept Earth &amp; Planetary Sci, Higashi Ku, Fukuoka 8128581, Japan; [Nakamura, Tomoki] Tohoku Univ, Dept Earth &amp; Planetary Mat Sci, Sendai, Miyagi 9808578, Japan; [Ebihara, Mitsuru] Tokyo Metropolitan Univ, Dept Chem, Hachioji, Tokyo 1920397, Japan; [Itoh, Shoichi] Kyoto Univ, Fac Sci, Dept Geol &amp; Mineral, Sakyo Ku, Kyoto 6068502, Japan; [Nagahara, Hiroko] Univ Tokyo, Dept Earth &amp; Planetary Sci, Bunkyo Ku, Tokyo 1130033, Japan; [Tachibana, Shogo] Hokkaido Univ, Dept Nat Hist Sci, Kita Ku, Sapporo, Hokkaido 0600810, Japan; [Terada, Kentaro; Yabuta, Hikaru] Osaka Univ, Dept Earth &amp; Space Sci, Toyonaka, Osaka 5600043, Japan</t>
  </si>
  <si>
    <t>Kyushu University; Kyushu University; Ibaraki University; Kyushu University; Tohoku University; Tokyo Metropolitan University; Kyoto University; University of Tokyo; Hokkaido University; Osaka University</t>
  </si>
  <si>
    <t>Okazaki, R (corresponding author), Kyushu Univ, Fac Sci, Dept Earth &amp; Planetary Sci, Higashi Ku, 33 Hakozaki, Fukuoka 8128581, Japan.</t>
  </si>
  <si>
    <t>okazaki.ryuji.703@m.kyushu-u.ac.jp</t>
  </si>
  <si>
    <t>Noguchi, Takaaki/IWV-1123-2023; Nakamura, Tomoki/Y-8551-2018; Terada, Kentaro/AAN-5930-2021; Yabuta, Hikaru/S-2662-2018; Yabuta, Hikaru/M-9041-2014; Tachibana, Shogo/R-7884-2018</t>
  </si>
  <si>
    <t>Noguchi, Takaaki/0000-0001-7211-2595; Itoh, Shoichi/0000-0001-9431-0525; Tachibana, Shogo/0000-0002-4603-9440; Terada, Kentaro/0000-0003-0120-1229</t>
  </si>
  <si>
    <t>[22224010]; [23684046]; Grants-in-Aid for Scientific Research [24684040, 25247091, 22224010, 25287140, 25108003, 25108006] Funding Source: KAKEN</t>
  </si>
  <si>
    <t>; ; Grants-in-Aid for Scientific Research(Ministry of Education, Culture, Sports, Science and Technology, Japan (MEXT)Japan Society for the Promotion of ScienceGrants-in-Aid for Scientific Research (KAKENHI))</t>
  </si>
  <si>
    <t>We are grateful to H. Motoyama, N. Imae, and the JARE teams for collection and transportation of the Antarctic snow. We thank A. Okubo for her assistance with the sample collection. Reviews by two anonymous reviewers resulted in significant improvements to this paper. This work was supported by Grant-in-Aid for Scientific Research (S) (No. 22224010, PI: H. Nagahara) and partly by a Grant-in-Aid for Young Scientists (A) (No. 23684046, PI: R. Okazaki).</t>
  </si>
  <si>
    <t>JUN 17</t>
  </si>
  <si>
    <t>10.1186/s40623-015-0261-8</t>
  </si>
  <si>
    <t>CK8ZU</t>
  </si>
  <si>
    <t>WOS:000356529800001</t>
  </si>
  <si>
    <t>Martin, MB; Bruce, NL; Nowak, BF</t>
  </si>
  <si>
    <t>Martin, Melissa B.; Bruce, Niel L.; Nowak, Barbara F.</t>
  </si>
  <si>
    <t>Review of the buccal-attaching fish parasite genus Glossobius Schioedte &amp; Meinert, 1883 (Crustacea: Isopoda: Cymothoidae)</t>
  </si>
  <si>
    <t>Cymothoidae; Glossobius; southern Africa; Australia; fish parasite; Beloniformes</t>
  </si>
  <si>
    <t>SP-N ISOPODA; HEMIRAMPHUS-BRASILIENSIS; MARINE ISOPOD; CERATOTHOA; REDESCRIPTION; FABRICIUS; SMENISPA; HISTORY; BLEEKER</t>
  </si>
  <si>
    <t>Two species of Glossobius Schioedte &amp; Meinert, 1883 are known from Australia: Glossobius anctus Bruce &amp; Bowman, 1989 and Glossobius impressus (Say, 1818), the latter recorded here for the first time from Australia and southern Africa. Glossobius ogasawarensis Nunomura, 1994 is here placed in synonymy with Glossobius auritus Bovallius, 1885; whereas Glossobius crassa (Dana, 1853) is removed from synonymy with G. auritus and placed into nomen dubium. Glossobius arimae Nunomura, 2001 is transferred to the genus Ceratothoa Dana, 1852. A key to the species of Glossobius is presented.</t>
  </si>
  <si>
    <t>[Martin, Melissa B.; Nowak, Barbara F.] Univ Launceston, Inst Marine &amp; Antarct Studies, Launceston, Tas 7250, Australia; [Martin, Melissa B.; Bruce, Niel L.] Queensland Museum, Museum Trop Queensland, Townsville, Qld 4810, Australia; [Martin, Melissa B.] Univ Malaysia Terengganu, Sch Marine Sci &amp; Environm, Kuala Terengganu 21030, Malaysia; [Bruce, Niel L.] James Cook Univ, Coll Marine &amp; Environm Sci, Townsville, Qld, Australia; [Bruce, Niel L.] North West Univ, Unit Environm Sci &amp; Management, Water Res Grp Ecol, ZA-2520 Potchefstroom, South Africa</t>
  </si>
  <si>
    <t>Queensland Museum; Universiti Malaysia Terengganu; James Cook University; North West University - South Africa</t>
  </si>
  <si>
    <t>Martin, MB (corresponding author), Univ Launceston, Inst Marine &amp; Antarct Studies, Launceston, Tas 7250, Australia.</t>
  </si>
  <si>
    <t>Melissa.Martin@utas.edu.au; niel.bruce@qm.qld.gov.au; B.Nowak@utas.edu.au</t>
  </si>
  <si>
    <t>Martin, Melissa Beata/H-8941-2019; Nowak, Barbara/J-7261-2014</t>
  </si>
  <si>
    <t>MARTIN, MELISSA BEATA/0000-0003-2605-9898; Nowak, Barbara/0000-0002-0347-643X</t>
  </si>
  <si>
    <t>Australian Museum; Institute of Marine and Antarctic Studies, Launceston; University of Tasmania; Public Service Department of the Malaysian Government</t>
  </si>
  <si>
    <t>We thank Dr Stephen Keable (Australian Museum) and the late Dr Ian Whittington (South Australian Museum) for access to the cymothoid collections. We thank Dr T. Yamauchi (Toyama Institute of Health) for providing pictures of Glossobius arimae Nunomura, 2001. We are grateful to The Museum of Tropical Queensland-Queensland Museum for the provision of facilities and collections. MBM thanks the Australian Museum for the Geddes Postgraduate Award, the Institute of Marine and Antarctic Studies, Launceston and University of Tasmania for travel cost to Townsville and proofreading this manuscript and the Public Service Department of the Malaysian Government for awarding MBM a postgraduate scholarship.</t>
  </si>
  <si>
    <t>10.11646/zootaxa.3973.2.8</t>
  </si>
  <si>
    <t>CK8AA</t>
  </si>
  <si>
    <t>WOS:000356458100008</t>
  </si>
  <si>
    <t>Warner, NA; Krogseth, IS; Whelan, MJ</t>
  </si>
  <si>
    <t>Warner, Nicholas A.; Krogseth, Ingjerd S.; Whelan, Mick J.</t>
  </si>
  <si>
    <t>Comment on Unexpected Occurrence of Volatile Dimethylsiloxanes in Antarctic Soils, Vegetation, Phytoplankton, and Krill</t>
  </si>
  <si>
    <t>CHROMATOGRAPHY-MASS SPECTROMETRY; LONG-RANGE TRANSPORT; METHYL SILOXANES; LATITUDINAL DISTRIBUTION; MODELING ASSESSMENT; REACTION-PRODUCTS; LINEAR SILOXANES; METHYLSILOXANES; FATE; DECAMETHYLCYCLOPENTASILOXANE</t>
  </si>
  <si>
    <t>[Warner, Nicholas A.; Krogseth, Ingjerd S.] NILU Norwegian Inst Air Res, Fram Ctr, NO-9296 Tromso, Norway; [Whelan, Mick J.] Univ Leicester, Dept Geog, Leicester LE1 7RH, Leics, England</t>
  </si>
  <si>
    <t>NILU; University of Leicester</t>
  </si>
  <si>
    <t>Warner, NA (corresponding author), NILU Norwegian Inst Air Res, Fram Ctr, POB 6606 Langnes, NO-9296 Tromso, Norway.</t>
  </si>
  <si>
    <t>nicholas.warner@nilu.no</t>
  </si>
  <si>
    <t>; Whelan, Michael/K-9871-2016</t>
  </si>
  <si>
    <t>Warner, Nicholas/0000-0003-0327-2514; Whelan, Michael/0000-0003-0277-9559; Krogseth, Ingjerd Sunde/0000-0002-6063-6655</t>
  </si>
  <si>
    <t>JUN 16</t>
  </si>
  <si>
    <t>10.1021/acs.est.5b01612</t>
  </si>
  <si>
    <t>CL2EA</t>
  </si>
  <si>
    <t>WOS:000356755200048</t>
  </si>
  <si>
    <t>Mackay, D; Gobas, F; Solomon, K; Macleod, M; McLachlan, M; Powell, DE; Xu, SH</t>
  </si>
  <si>
    <t>Mackay, Donald; Gobas, Frank; Solomon, Keith; Macleod, Matthew; McLachlan, Michael; Powell, David E.; Xu, Shihe</t>
  </si>
  <si>
    <t>CYCLIC SILOXANES; METHYL SILOXANES; TROPHIC MAGNIFICATION; ORGANIC POLLUTANTS; WASTE-WATER; FOOD-WEB; METHYLSILOXANES; SORPTION; CANADA; BIOTA</t>
  </si>
  <si>
    <t>[Mackay, Donald] Trent Univ, Canadian Environm Modeling Ctr, Peterborough, ON K9J 7B8, Canada; [Gobas, Frank] Simon Fraser Univ, Sch Resource &amp; Environm Management, Burnaby, BC V5A 1S6, Canada; [Solomon, Keith] Univ Guelph, Ctr Toxicol, Sch Environm Sci, Guelph, ON N1G 2W1, Canada; [Macleod, Matthew; McLachlan, Michael] Stockholm Univ, Dept Environm Sci &amp; Analyt Chem ACES, S-11418 Stockholm, Sweden; [Powell, David E.; Xu, Shihe] Dow Corning Corp, Hlth &amp; Environm Sci, Midland, MI 48686 USA</t>
  </si>
  <si>
    <t>Trent University; Simon Fraser University; University of Guelph; Stockholm University; Corning Inc; Dow Chemical Company; Dow Corning</t>
  </si>
  <si>
    <t>Xu, SH (corresponding author), Dow Corning Corp, Hlth &amp; Environm Sci, Midland, MI 48686 USA.</t>
  </si>
  <si>
    <t>Shihe.xu@dowcorning.com</t>
  </si>
  <si>
    <t>Mackay, Donald/GRS-6052-2022; Solomon, Keith/AAF-4510-2020; MacLeod, Matthew/D-5919-2013; McLachlan, Michael/O-4540-2014</t>
  </si>
  <si>
    <t>MacLeod, Matthew/0000-0003-2562-7339; McLachlan, Michael/0000-0001-9159-6652</t>
  </si>
  <si>
    <t>10.1021/acs.est.5b01936</t>
  </si>
  <si>
    <t>WOS:000356755200049</t>
  </si>
  <si>
    <t>Sanchís, J; Cabrerizo, A; Galbán-Malagón, C; Barceló, D; Farré, M; Dachs, J</t>
  </si>
  <si>
    <t>Sanchis, Josep; Cabrerizo, Ana; Galban-Malagon, Cristobal; Barcelo, Damia; Farre, Marinella; Dachs, Jordi</t>
  </si>
  <si>
    <t>Response to Comments on Unexpected Occurrence of Volatile Dimethylsiloxanes in Antarctic Soils, Vegetation, Phytoplankton and Krill</t>
  </si>
  <si>
    <t>METHYL SILOXANES; POLYCHLORINATED-BIPHENYLS; SEAWATER; SNOW; FATE</t>
  </si>
  <si>
    <t>[Sanchis, Josep; Cabrerizo, Ana; Galban-Malagon, Cristobal; Barcelo, Damia; Farre, Marinella; Dachs, Jordi] CSIC, IDAEA, Dept Environm Chem, ES-08034 Barcelona, Catalonia, Spain; [Barcelo, Damia] Univ Girona, Catalan Inst Water Res ICRA, Girona 17003, Catalonia, Spain</t>
  </si>
  <si>
    <t>Consejo Superior de Investigaciones Cientificas (CSIC); CSIC - Centro de Investigacion y Desarrollo Pascual Vila (CID-CSIC); CSIC - Instituto de Diagnostico Ambiental y Estudios del Agua (IDAEA); Universitat de Girona; Institut Catala de Recerca de l'Aigua (ICRA)</t>
  </si>
  <si>
    <t>Farré, M (corresponding author), CSIC, IDAEA, Dept Environm Chem, Jordi Girona 18-26, ES-08034 Barcelona, Catalonia, Spain.</t>
  </si>
  <si>
    <t>mfuqam@cid.csic.es</t>
  </si>
  <si>
    <t>Galbán-Malagón, Cristobal/J-2384-2015; BARCELO, DAMIA/O-4558-2016; Cabrerizo, Ana/AAA-9050-2020; Galbán-Malagón, Cristobal/B-2170-2017; Cabrerizo, Ana/D-8256-2018</t>
  </si>
  <si>
    <t>Galbán-Malagón, Cristobal/0000-0001-8397-5804; BARCELO, DAMIA/0000-0002-8873-0491; Dachs, Jordi/0000-0002-4237-169X; Sanchis Sandoval, Josep Angel/0000-0002-6812-9981; Cabrerizo, Ana/0000-0002-5933-1483; Farre, Marinella/0000-0001-8391-6257</t>
  </si>
  <si>
    <t>10.1021/acs.est.5b02184</t>
  </si>
  <si>
    <t>WOS:000356755200050</t>
  </si>
  <si>
    <t>Favier, L; Pattyn, F</t>
  </si>
  <si>
    <t>Favier, Lionel; Pattyn, Frank</t>
  </si>
  <si>
    <t>Antarctic ice rise formation, evolution, and stability</t>
  </si>
  <si>
    <t>ice rise; deglaciation; modeling</t>
  </si>
  <si>
    <t>WEST ANTARCTICA; EAST ANTARCTICA; SHEET COLLAPSE; SHELF; GLACIER; MODEL; DEFORMATION; SOUTHERN; RETREAT</t>
  </si>
  <si>
    <t>Antarctic ice rises originate from the contact between ice shelves and one of the numerous topographic highs emerging from the edge of the continental shelf. While investigations of the Raymond effect indicate their millennial-scale stability, little is known about their formation and their role in ice shelf stability. Here we present for the first time the simulation of an ice rise using the BISICLES model. The numerical results successfully reproduce several field-observable features, such as the substantial thinning downstream of the ice rise and the successive formation of a promontory and ice rise with stable radial ice flow center, showing that ice rises are formed during the ice sheet deglaciation. We quantify the ice rise buttressing effect, found to be mostly transient, delaying grounding line retreat significantly but resulting in comparable steady state positions. We demonstrate that ice rises are key in controlling simulations of Antarctic deglaciation.</t>
  </si>
  <si>
    <t>[Favier, Lionel; Pattyn, Frank] Univ Libre Bruxelles, Lab Glaciol, Brussels, Belgium</t>
  </si>
  <si>
    <t>Favier, L (corresponding author), Univ Libre Bruxelles, Lab Glaciol, Brussels, Belgium.</t>
  </si>
  <si>
    <t>lionel.favier@ulb.ac.be</t>
  </si>
  <si>
    <t>Pattyn, Frank/AAA-9640-2019</t>
  </si>
  <si>
    <t>Pattyn, Frank/0000-0003-4805-5636; favier, lionel/0000-0002-5392-3031</t>
  </si>
  <si>
    <t>Belgian Research Programme on the Antarctic (Belgian Federal Science Policy Office) [SD/CA/06A]; U.S. Department of Energy; UK Natural Environment Research Council</t>
  </si>
  <si>
    <t>Belgian Research Programme on the Antarctic (Belgian Federal Science Policy Office); U.S. Department of Energy(United States Department of Energy (DOE)); UK Natural Environment Research Council(UK Research &amp; Innovation (UKRI)Natural Environment Research Council (NERC))</t>
  </si>
  <si>
    <t>This paper forms a contribution to the Belgian Research Programme on the Antarctic (Belgian Federal Science Policy Office), project SD/CA/06A (Constraining Ice Mass Change in Antarctica, IceCon). BISICLES development is led by D.F. Martin at Lawrence Berkeley National Laboratory, California, USA, and S.L. Cornford at the University of Bristol, UK, with financial support provided by the U.S. Department of Energy and the UK Natural Environment Research Council. Simulations were carried out using the computational facilities of the HPC computing center at Universite Libre de Bruxelles.</t>
  </si>
  <si>
    <t>10.1002/2015GL064195</t>
  </si>
  <si>
    <t>CM2LI</t>
  </si>
  <si>
    <t>WOS:000357511200026</t>
  </si>
  <si>
    <t>Ito, T; Bracco, A; Deutsch, C; Frenzel, H; Long, M; Takano, Y</t>
  </si>
  <si>
    <t>Ito, Takamitsu; Bracco, Annalisa; Deutsch, Curtis; Frenzel, Hartmut; Long, Matthew; Takano, Yohei</t>
  </si>
  <si>
    <t>Sustained growth of the Southern Ocean carbon storage in a warming climate</t>
  </si>
  <si>
    <t>ocean carbon uptake; Southern Ocean; climate change; CMIP-5; MITgcm</t>
  </si>
  <si>
    <t>ANTHROPOGENIC CARBON; NATURAL CARBON; DIOXIDE; SINK</t>
  </si>
  <si>
    <t>We investigate the mechanisms controlling the evolution of Southern Ocean carbon storage under a future climate warming scenario. A subset of Coupled Model Intercomparison Project Phase 5 models predicts that the inventory of biologically sequestered carbon south of 40 degrees S increases about 18-34PgC by 2100 relative to the preindustrial condition. Sensitivity experiments with an ocean circulation and biogeochemistry model illustrates the impacts of the wind and buoyancy forcings under a warming climate. Intensified and poleward shifted westerly wind strengthens the upper overturning circulation, not only leading to an increased uptake of anthropogenic CO2 but also releasing biologically regenerated carbon to the atmosphere. Freshening of Antarctic Surface Water causes a slowdown of the lower overturning circulation, leading to an increased Southern Ocean biological carbon storage. The rectified effect of these processes operating together is the sustained growth of the carbon storage in the Southern Ocean, even under the warming climate with a weaker global ocean carbon uptake.</t>
  </si>
  <si>
    <t>[Ito, Takamitsu; Bracco, Annalisa; Takano, Yohei] Georgia Inst Technol, Sch Earth &amp; Atmospher Sci, Atlanta, GA 30332 USA; [Deutsch, Curtis; Frenzel, Hartmut] Univ Washington, Sch Oceanog, Seattle, WA 98195 USA; [Long, Matthew] Natl Ctr Atmospher Res, Climate &amp; Global Dynam Div, Boulder, CO 80307 USA</t>
  </si>
  <si>
    <t>University System of Georgia; Georgia Institute of Technology; University of Washington; University of Washington Seattle; National Center Atmospheric Research (NCAR) - USA</t>
  </si>
  <si>
    <t>Ito, T (corresponding author), Georgia Inst Technol, Sch Earth &amp; Atmospher Sci, Atlanta, GA 30332 USA.</t>
  </si>
  <si>
    <t>taka.ito@eas.gatech.edu</t>
  </si>
  <si>
    <t>Deutsch, Curtis A/D-1703-2011; Long, Matthew C/H-4632-2016; Ito, Takamitsu/F-3856-2010</t>
  </si>
  <si>
    <t>Deutsch, Curtis/0000-0003-3923-0797; Long, Matthew/0000-0003-1273-2957; Ito, Takamitsu/0000-0001-9873-099X; Takano, Yohei/0000-0001-7984-8810; Bracco, Annalisa/0000-0002-1619-6103</t>
  </si>
  <si>
    <t>NSF [OPP-1142009]; Div Atmospheric &amp; Geospace Sciences; Directorate For Geosciences [1502208] Funding Source: National Science Foundation; Office of Polar Programs (OPP); Directorate For Geosciences [1142009] Funding Source: National Science Foundation</t>
  </si>
  <si>
    <t>NSF(National Science Foundation (NSF)); Div Atmospheric &amp; Geospace Sciences; Directorate For Geosciences(National Science Foundation (NSF)NSF - Directorate for Geosciences (GEO)); Office of Polar Programs (OPP); Directorate For Geosciences(National Science Foundation (NSF)NSF - Directorate for Geosciences (GEO))</t>
  </si>
  <si>
    <t>This work is a result of the collaboration through the joint US-CLIVAR/OCB working group on the Ocean Carbon Uptake. Two anonymous reviewers provided helpful comments to improve the earlier version of this manuscript. We acknowledge the World Climate Research Programme's Working Group on Coupled Modelling, which is responsible for CMIP, and we thank the climate modeling groups (listed in Table S1 in supporting information)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All model diagnostics are archived by the corresponding author and can be provided by request. T.I. and Y.T. are supported by NSF OPP-1142009.</t>
  </si>
  <si>
    <t>10.1002/2015GL064320</t>
  </si>
  <si>
    <t>WOS:000357511200033</t>
  </si>
  <si>
    <t>Jones, PD; Lister, DH</t>
  </si>
  <si>
    <t>Jones, P. D.; Lister, D. H.</t>
  </si>
  <si>
    <t>Antarctic near-surface air temperatures compared with ERA-Interim values since 1979</t>
  </si>
  <si>
    <t>Antarctica; surface air temperature; reanalysis</t>
  </si>
  <si>
    <t>ERA-Interim reanalysis for near-surface air temperature agrees well with land stations in most regions with the principal exception of the Antarctic. Here we compare annual and monthly values from 40 manned and automatic weather stations (AWSs) with ERA-Interim between 1979 and 2013. In terms of absolute differences between ERA-Interim and the station observations, ERA-Interim is biased warm (by up to 5 degrees C) at the few inland stations, but biased cool at lower latitudes between 65 degrees S and 78 degrees S (by up to 6 degrees C) at some locations. These biases tend to reduce between the period 1979-1990 and 2002-2013 at many sites, but they increase at three sites on the Antarctic Peninsula. Comparisons of differences in variability show one or nine stations have standard deviation values for ERA-Interim 20% less or more than the station series. Time series agreement in terms of monthly correlations of anomalies is good (r 0.89) for most of the stations, but seven are below 0.80, with ten between the two thresholds. Finally, we produce an Antarctic' average time series by simple averaging of the 40 stations and ERA-Interim time series, as well as calculating an average based on all land points across the Antarctic from ERA-Interim. The series based on all land points is more variable on the year-to-year timescale and trends for the overall period are reduced.</t>
  </si>
  <si>
    <t>[Jones, P. D.; Lister, D. H.] Univ E Anglia, Sch Environm Sci, Climat Res Unit, Norwich NR4 7TJ, Norfolk, England; [Jones, P. D.] King Abdulaziz Univ, Ctr Excellence Climate Change Res, Dept Meteorol, Jeddah 21413, Saudi Arabia</t>
  </si>
  <si>
    <t>University of East Anglia; King Abdulaziz University</t>
  </si>
  <si>
    <t>Jones, PD (corresponding author), Univ E Anglia, Sch Environm Sci, Climat Res Unit, Norwich NR4 7TJ, Norfolk, England.</t>
  </si>
  <si>
    <t>p.jones@uea.ac.uk</t>
  </si>
  <si>
    <t>Jones, Philip Douglas/C-8718-2009</t>
  </si>
  <si>
    <t>Jones, Philip Douglas/0000-0001-5032-5493</t>
  </si>
  <si>
    <t>USDoE [DE-SC0005689]; U.S. Department of Energy (DOE) [DE-SC0005689] Funding Source: U.S. Department of Energy (DOE)</t>
  </si>
  <si>
    <t>USDoE(United States Department of Energy (DOE)); U.S. Department of Energy (DOE)(United States Department of Energy (DOE))</t>
  </si>
  <si>
    <t>This work has significantly benefitted from the thoughts of Adrian Simmons and one anonymous reviewer. This work has been supported by the USDoE (Grant DE-SC0005689). The ERA-Interim data was downloaded from the BADC and ECMWF. The authors thank Steve Cowell for help with some data series on the British Antarctic Survey (BAS) READER web site.</t>
  </si>
  <si>
    <t>JUN 15</t>
  </si>
  <si>
    <t>10.1002/joc.4061</t>
  </si>
  <si>
    <t>CK1FW</t>
  </si>
  <si>
    <t>WOS:000355953600013</t>
  </si>
  <si>
    <t>Zege, E; Malinka, A; Katsev, I; Prikhach, A; Heygster, G; Istomina, L; Birnbaum, G; Schwarz, P</t>
  </si>
  <si>
    <t>Zege, E.; Malinka, A.; Katsev, I.; Prikhach, A.; Heygster, G.; Istomina, L.; Birnbaum, G.; Schwarz, P.</t>
  </si>
  <si>
    <t>Algorithm to retrieve the Melt pond fraction and the spectral albedo of Arctic summer ice from satellite optical data</t>
  </si>
  <si>
    <t>Melt ponds; Sea-ice; Albedo; Arctic; Remote sensing</t>
  </si>
  <si>
    <t>SNOW GRAIN-SIZE; SEA-ICE; LIGHT-SCATTERING; SURFACE ALBEDO</t>
  </si>
  <si>
    <t>A new algorithm to retrieve characteristics (albedo and melt pond fraction) of summer ice in the Arctic from optical satellite data is described. In contrast to other algorithms this algorithm does not use a priori values of the spectral albedo of the sea-ice constituents (such as melt ponds, white ice etc.). Instead, it is based on an analytical solution for the reflection from sea ice surface. The algorithm includes the correction of the sought-for ice and ponds characteristics with the iterative procedure based on the Newton-Raphson method. Also, it accounts for the bi-directional reflection from the ice/snow surface, which is particularly important for Arctic regions where the sun is low. The algorithm includes an original procedure for the atmospheric correction, as well. This algorithm is implemented as computer code called Melt Pond Detector (MPD). The input to the current version of the MPD algorithm is the MERIS Level 1B data, including the radiance coefficients at ten wavelengths and the solar and observation angles (zenith and azimuth). Also, specific parameters describing surface and atmospheric state can be set in a configuration input file. The software output is the map of the melt ponds area fraction and the spectral albedo of sea-ice in HDF5 format. The numerical verification shows that the MPD algorithm provides more accurate results for the light ponds than for the dark ones. The spectral albedo is retrieved with high accuracy for any type of ice and ponds. (C) 2015 Elsevier Inc. All rights reserved.</t>
  </si>
  <si>
    <t>[Zege, E.; Malinka, A.; Katsev, I.; Prikhach, A.] Natl Acad Sci Belarus, Inst Phys, Minsk 220072, BELARUS; [Heygster, G.; Istomina, L.] Univ Bremen, Inst Environm Phys, D-28359 Bremen, Germany; [Birnbaum, G.] Helmholtz Ctr Polar &amp; Marine Res, Alfred Wegener Inst, D-27570 Bremerhaven, Germany; [Schwarz, P.] Univ Trier, Dept Environm Meteorol, D-54286 Trier, Germany</t>
  </si>
  <si>
    <t>National Academy of Sciences of Belarus (NASB); B.I. Stepanov Institute of Physics of the National Academy of Sciences of Belarus; University of Bremen; Helmholtz Association; Alfred Wegener Institute, Helmholtz Centre for Polar &amp; Marine Research; Universitat Trier</t>
  </si>
  <si>
    <t>Malinka, A (corresponding author), Natl Acad Sci Belarus, Inst Phys, Pr Nezavisimosti 68, Minsk 220072, BELARUS.</t>
  </si>
  <si>
    <t>mal@light.basnet.by</t>
  </si>
  <si>
    <t>Birnbaum, Gerit/D-4350-2014; Heygster, Georg C./B-4928-2014; Prikhach, Alexander/ABB-5719-2020; Malinka, Aleksey/AAW-3377-2021</t>
  </si>
  <si>
    <t>Birnbaum, Gerit/0000-0002-0252-6781; Malinka, Aleksey/0000-0002-0651-5115; Heygster, Georg/0000-0003-2232-7429</t>
  </si>
  <si>
    <t>European Union in the 7th Framework Programme for Research and Development [262922 SIDARUS]</t>
  </si>
  <si>
    <t>European Union in the 7th Framework Programme for Research and Development(European Union (EU))</t>
  </si>
  <si>
    <t>This work was supported by the project no. 262922 SIDARUS (Sea ice downstream services for Arctic and Antarctic Users and Stakeholders), financed by the European Union in the 7th Framework Programme for Research and Development.</t>
  </si>
  <si>
    <t>10.1016/j.rse.2015.03.012</t>
  </si>
  <si>
    <t>CJ8RN</t>
  </si>
  <si>
    <t>WOS:000355771300014</t>
  </si>
  <si>
    <t>Braasch, I; Peterson, SM; Desvignes, T; McCluskey, BM; Batzel, P; Postlethwait, JH</t>
  </si>
  <si>
    <t>Braasch, Ingo; Peterson, Samuel M.; Desvignes, Thomas; McCluskey, Braedan M.; Batzel, Peter; Postlethwait, John H.</t>
  </si>
  <si>
    <t>A new model army: Emerging fish models to study the genomics of vertebrate Evo-Devo</t>
  </si>
  <si>
    <t>JOURNAL OF EXPERIMENTAL ZOOLOGY PART B-MOLECULAR AND DEVELOPMENTAL EVOLUTION</t>
  </si>
  <si>
    <t>RAY-FINNED FISH; TRANSPOSON-MEDIATED TRANSGENESIS; PLATYFISH XIPHOPHORUS-MACULATUS; ANTARCTIC NOTOTHENIOID FISHES; PIGMENT PATTERN-FORMATION; HOX CLUSTER DUPLICATION; GENETIC-LINKAGE MAP; PROVIDES INSIGHTS; ADAPTIVE EVOLUTION; ZEBRAFISH GENOME</t>
  </si>
  <si>
    <t>Many fields of biologyincluding vertebrate Evo-Devo researchare facing an explosion of genomic and transcriptomic sequence information and a multitude of fish species are now swimming in this genomic tsunami. Here, we first give an overview of recent developments in sequencing fish genomes and transcriptomes that identify properties of fish genomes requiring particular attention and propose strategies to overcome common challenges in fish genomics. We suggest that the generation of chromosome-level genome assembliesfor which we introduce the term chromonomeshould be a key component of genomic investigations in fish because they enable large-scale conserved synteny analyses that inform orthology detection, a process critical for connectivity of genomes. Orthology calls in vertebrates, especially in teleost fish, are complicated by divergent evolution of gene repertoires and functions following two rounds of genome duplication in the ancestor of vertebrates and a third round at the base of teleost fish. Second, using examples of spotted gar, basal teleosts, zebrafish-related cyprinids, cavefish, livebearers, icefish, and lobefin fish, we illustrate how next generation sequencing technologies liberate emerging fish systems from genomic ignorance and transform them into a new model army to answer longstanding questions on the genomic and developmental basis of their biodiversity. Finally, we discuss recent progress in the genetic toolbox for the major fish models for functional analysis, zebrafish, and medaka, that can be transferred to many other fish species to study in vivo the functional effect of evolutionary genomic change as Evo-Devo research enters the postgenomic era. J. Exp. Zool. (Mol. Dev. Evol.) 324B: 316-341, 2015. (c) 2014 Wiley Periodicals, Inc.</t>
  </si>
  <si>
    <t>[Braasch, Ingo; Peterson, Samuel M.; Desvignes, Thomas; McCluskey, Braedan M.; Batzel, Peter; Postlethwait, John H.] Univ Oregon, Inst Neurosci, Eugene, OR 97403 USA</t>
  </si>
  <si>
    <t>University of Oregon</t>
  </si>
  <si>
    <t>Braasch, I (corresponding author), Univ Oregon, Inst Neurosci, Eugene, OR 97403 USA.</t>
  </si>
  <si>
    <t>ibraasch@uoneuro.uoregon.edu; jpostle@uoneuro.uoregon.edu</t>
  </si>
  <si>
    <t>Thomas, Desvignes/AAX-3526-2020; Braasch, Ingo/A-6948-2010</t>
  </si>
  <si>
    <t>Thomas, Desvignes/0000-0001-5126-8785; Braasch, Ingo/0000-0003-4766-611X</t>
  </si>
  <si>
    <t>VolkswagenStiftung, Initiative Evolutionary Biology [I/84 815]; NIH [R01OD011116, R01AG031922, R24OD011199, R24RR032670]</t>
  </si>
  <si>
    <t>VolkswagenStiftung, Initiative Evolutionary Biology; NIH(United States Department of Health &amp; Human ServicesNational Institutes of Health (NIH) - USA)</t>
  </si>
  <si>
    <t>Grant sponsor: VolkswagenStiftung, Initiative Evolutionary Biology; grant number: I/84 815; grant sponsor: NIH; grant numbers: R01OD011116, R01AG031922; grant numbers: R24OD011199, R24RR032670.</t>
  </si>
  <si>
    <t>1552-5007</t>
  </si>
  <si>
    <t>1552-5015</t>
  </si>
  <si>
    <t>J EXP ZOOL PART B</t>
  </si>
  <si>
    <t>J. Exp. Zool. Part B</t>
  </si>
  <si>
    <t>10.1002/jez.b.22589</t>
  </si>
  <si>
    <t>Evolutionary Biology; Developmental Biology; Zoology</t>
  </si>
  <si>
    <t>CI8EN</t>
  </si>
  <si>
    <t>WOS:000355002300002</t>
  </si>
  <si>
    <t>Reguero, BG; Losada, IJ; Mendez, FJ</t>
  </si>
  <si>
    <t>Reguero, B. G.; Losada, I. J.; Mendez, F. J.</t>
  </si>
  <si>
    <t>A global wave power resource and its seasonal, interannual and long-term variability</t>
  </si>
  <si>
    <t>APPLIED ENERGY</t>
  </si>
  <si>
    <t>Wave energy; Wave power; Inter-annual variability; Wave climate; Climate indices</t>
  </si>
  <si>
    <t>NORTH-ATLANTIC; OCEAN WAVES; WIND-SPEED; MODEL DATA; CLIMATE; ENERGY; REANALYSIS; HINDCAST; HEIGHT; TRENDS</t>
  </si>
  <si>
    <t>Assessments of global wave power have been receiving increasing attention currently; however, a characterization of the global resources that holistically consider the different temporal scales that influence wave climate (monthly and seasonal, interannual and long-term) is still lacking. Moreover, the debate around the global figure of available resource is still widely open. This study provides a new global wave power assessment using a dataset that covers the period from 1948 to 2008, which was corrected using altimetry data and validated with buoys in terms of wave power. This study characterizes the mean wave power globally as well as its monthly and seasonal variability. Furthermore, it provides a link with the most relevant climate indices globally. The effect of the interannual variability is especially noteworthy for the Northern Hemisphere, where the seasonality is strongest. Additionally, we detect decadal long-term changes and determine that natural variability could explain a few of the differences found between decades. Lastly, we provide an assessment of the global theoretical wave power that covers the last six decades, compare approaches and estimates, and discuss factors of discrepancy. The global offshore wave power is estimated at 32,000 TW h/yr, which is reduced to 16,000 TW h/yr when considering the direction of the energy. The historical average change is 580 TW h/decade. Our results indicate that the global natural variability could be a more relevant factor in the lifetime of wave farms than the historical long-term changes in wave energy. (C) 2015 Elsevier Ltd. All rights reserved.</t>
  </si>
  <si>
    <t>[Reguero, B. G.; Losada, I. J.; Mendez, F. J.] Univ Cantabria, IH Cantabria, Environm Hydraul Inst, Santander 39011, Spain; [Reguero, B. G.] Univ Calif Santa Cruz, Inst Marine Sci, Santa Cruz, CA 95064 USA; [Reguero, B. G.] Nature Conservancy, Arlington, VA USA</t>
  </si>
  <si>
    <t>Universidad de Cantabria; IHCantabria - Instituto de Hidraulica Ambiental de la Universidad de Cantabria; University of California System; University of California Santa Cruz; Nature Conservancy</t>
  </si>
  <si>
    <t>Losada, IJ (corresponding author), Univ Cantabria, IH Cantabria, Environm Hydraul Inst, C Isabel Torres 15,Parque Cient &amp; Tecnol Cantabri, Santander 39011, Spain.</t>
  </si>
  <si>
    <t>losadai@unican.es</t>
  </si>
  <si>
    <t>Losada, Iñigo J/F-9001-2012; Fernández, Jesús/F-5189-2011; Reguero, Borja/L-8621-2014</t>
  </si>
  <si>
    <t>Fernández, Jesús/0000-0002-3483-0008; Reguero, Borja/0000-0001-5526-7157</t>
  </si>
  <si>
    <t>Universidad de Cantabria; Spanish Ministry of Economy and Competitiveness [CTM201015009]</t>
  </si>
  <si>
    <t>Universidad de Cantabria; Spanish Ministry of Economy and Competitiveness(Spanish Government)</t>
  </si>
  <si>
    <t>The authors would like to thank the organizations that provided the data for the analysis in this study: for the buoy data: the National Oceanic and Atmospheric Administration (NOAA) and Puertos del Estado (Spanish Ministry of Public Works); and for the climate indices information: NOAA, the Climate Research Unit University of East Anglia, the Japan Marine Science and Technology Center, and the British Antarctic Survey. B.G. Reguero is indebted to the Universidad de Cantabria for funding provided during the development of this study. This study was also partially funded by the project IMAR21 (CTM201015009) from the Spanish Ministry of Economy and Competitiveness.</t>
  </si>
  <si>
    <t>0306-2619</t>
  </si>
  <si>
    <t>1872-9118</t>
  </si>
  <si>
    <t>APPL ENERG</t>
  </si>
  <si>
    <t>Appl. Energy</t>
  </si>
  <si>
    <t>10.1016/j.apenergy.2015.03.114</t>
  </si>
  <si>
    <t>Energy &amp; Fuels; Engineering, Chemical</t>
  </si>
  <si>
    <t>Energy &amp; Fuels; Engineering</t>
  </si>
  <si>
    <t>CI9AX</t>
  </si>
  <si>
    <t>WOS:000355063900035</t>
  </si>
  <si>
    <t>Stuart-Smith, RD; Edgar, GJ; Stuart-Smith, JF; Barrett, NS; Fowles, AE; Hill, NA; Cooper, AT; Myers, AP; Oh, ES; Pocklington, JB; Thomson, RJ</t>
  </si>
  <si>
    <t>Stuart-Smith, Rick D.; Edgar, Graham J.; Stuart-Smith, Jemina F.; Barrett, Neville S.; Fowles, Amelia E.; Hill, Nicole A.; Cooper, Antonia T.; Myers, Andrew P.; Oh, Elizabeth S.; Pocklington, Jacqui B.; Thomson, Russell J.</t>
  </si>
  <si>
    <t>Loss of native rocky reef biodiversity in Australian metropolitan embayments</t>
  </si>
  <si>
    <t>Temperate; Ecology; Heavy metals; Invasive species; Anthropogenic stressors; Urbanisation</t>
  </si>
  <si>
    <t>SPECIES RICHNESS; COMMUNITY STRUCTURE; MARINE COMMUNITIES; HEAVY-METALS; POLLUTION; COASTAL; IMPACTS; DIVERSITY; DENSITY; BIOMASS</t>
  </si>
  <si>
    <t>Urbanisation of the coastal zone represents a key threat to marine biodiversity, including rocky reef communities which often possess disproportionate ecological, recreational and commercial importance. The nature and magnitude of local urban impacts on reef biodiversity near three Australian capital cities were quantified using visual census methods. The most impacted reefs in urbanised embayments were consistently characterised by smaller, faster growing species, reduced fish biomass and richness, and reduced mobile invertebrate abundance and richness. Reef faunal distribution varied significantly with heavy metals, local population density, and proximity to city ports, while native fish and invertebrate communities were most depauperate in locations where invasive species were abundant. Our study adds impetus for improved urban planning and pollution management practises, while also highlighting the potential for skilled volunteers to improve the tracking of changes in marine biodiversity values and the effectiveness of management intervention. (C) 2015 Elsevier Ltd. All rights reserved.</t>
  </si>
  <si>
    <t>[Stuart-Smith, Rick D.; Edgar, Graham J.; Stuart-Smith, Jemina F.; Barrett, Neville S.; Fowles, Amelia E.; Hill, Nicole A.; Cooper, Antonia T.; Oh, Elizabeth S.; Thomson, Russell J.] Univ Tasmania, Inst Marine &amp; Antarctic Studies, Hobart, Tas 7001, Australia; [Myers, Andrew P.] OceanWatch Australia, Pyrmont, NSW 2009, Australia; [Pocklington, Jacqui B.] Tohoku Univ, Grad Sch Agr Sci, Marine Plant Lab, Sendai, Miyagi 9818555, Japan</t>
  </si>
  <si>
    <t>University of Tasmania; OceanWatch Australia; Tohoku University</t>
  </si>
  <si>
    <t>Stuart-Smith, RD (corresponding author), Univ Tasmania, Inst Marine &amp; Antarctic Studies, Hobart, Tas 7001, Australia.</t>
  </si>
  <si>
    <t>rstuarts@utas.edu.au</t>
  </si>
  <si>
    <t>Stuart-Smith, Rick D/M-1829-2013; Hill, Nicole/AAI-7323-2021; Stuart-Smith, Rick/I-5214-2019; Edgar, Graham/AAY-3797-2020; Thomson, Russell/H-5653-2012; Barrett, Neville/J-7593-2014</t>
  </si>
  <si>
    <t>Stuart-Smith, Rick D/0000-0002-8874-0083; Hill, Nicole/0000-0001-9329-6717; Stuart-Smith, Rick/0000-0002-8874-0083; Edgar, Graham/0000-0003-0833-9001; Thomson, Russell/0000-0003-4949-4120; Barrett, Neville/0000-0002-6167-1356; Oh, Elizabeth/0000-0001-7061-5068</t>
  </si>
  <si>
    <t>Commonwealth Environment Research Facilities Program; Australian Research Council; Marine Biodiversity Hub; Australian Government's National Environmental Research Program; Australian Government Community Coastcare grant</t>
  </si>
  <si>
    <t>Commonwealth Environment Research Facilities Program; Australian Research Council(Australian Research Council); Marine Biodiversity Hub; Australian Government's National Environmental Research Program(Australian Government); Australian Government Community Coastcare grant(Australian Government)</t>
  </si>
  <si>
    <t>Development of the RLS program was supported by the former Commonwealth Environment Research Facilities Program, while analyses were supported by the Australian Research Council and the Marine Biodiversity Hub, a collaborative partnership supported through the Australian Government's National Environmental Research Program. Surveys and diver training undertaken as part of this study were additionally funded through a Australian Government Community Coastcare grant, with support from Leslie Diver, Jill Jones, Phillip Wierzbowski, Steffan Howe, Alan Jordan and Peter Mooney.</t>
  </si>
  <si>
    <t>10.1016/j.marpolbul.2015.03.023</t>
  </si>
  <si>
    <t>CL1YO</t>
  </si>
  <si>
    <t>WOS:000356741000047</t>
  </si>
  <si>
    <t>Prus, W; Fabianska, MJ; Labno, R</t>
  </si>
  <si>
    <t>Prus, Wojciech; Fabianska, Monika J.; Labno, Radoslaw</t>
  </si>
  <si>
    <t>Geochemical markers of soil anthropogenic contaminants in polar scientific stations nearby (Antarctica, King George Island)</t>
  </si>
  <si>
    <t>SCIENCE OF THE TOTAL ENVIRONMENT</t>
  </si>
  <si>
    <t>Antarctica soil contamination; Gas chromatography-mass spectrometry (GC-MS); Geochemical biomarkers; Anthropogenic compounds</t>
  </si>
  <si>
    <t>MARINE-SEDIMENTS; AROMATIC-HYDROCARBONS; BIODEGRADATION; STEROLS; OIL; DIESEL; SPILLS; FATE; SALT; FUEL</t>
  </si>
  <si>
    <t>The organic contamination of Antarctic soils and terrestrial sediments from nearby of five polar scientific stations on King George Island (Antarctica) was investigated. Gas chromatography-mass spectrometry (GC-MS) was applied to find composition of dichloromethane extracts of soil and terrestrial sediments. The presence of geochemical markers, such as n-alkanes, steranes, pentacyclic triterpenoids, and alkyl PAHs, their distribution types, and values of their ratios indicates the predominating source of organic fossil fuels and products of their refining rather than from the natural Antarctic environment. Fossil fuel-originated compounds well survived in conditions of Antarctic climate over long times thus enabling to characterize geochemical features of source fossil fuel identified as petroleum expelled from kerogen II of algal/bacterial origins deposited in sub-oxic conditions and being in the middle of catagenesis. Both microbial activity and water leaching play an important role in degradation of terrestrial oil spills in the Antarctica climate, and petroleum alteration occurs lowly over long periods of time. Synthetic anthropogenic compounds found in terrestrial Antarctica sediments included diisopropylnaphthalenes, products of their sulfonates degradation in paper combustion, and organophosporus compounds used as retardants and plasticizers. (C) 2015 Elsevier B.V. All rights reserved.</t>
  </si>
  <si>
    <t>[Prus, Wojciech] Univ Bielsko Biala, PL-43309 Bielsko Biala, Poland; [Fabianska, Monika J.] Univ Silesia, Fac Earth Sci, PL-41200 Sosnowiec, Poland; [Labno, Radoslaw] Polish Acad Sci, Dept Antarct Biol, Inst Biochem &amp; Biophys, PL-02106 Warsaw, Poland</t>
  </si>
  <si>
    <t>University of Bielsko-Biala; University of Silesia in Katowice; Polish Academy of Sciences; Institute of Biochemistry &amp; Biophysics - Polish Academy of Sciences</t>
  </si>
  <si>
    <t>Prus, W (corresponding author), Univ Bielsko Biala, Ul Willowa 2, PL-43309 Bielsko Biala, Poland.</t>
  </si>
  <si>
    <t>wprus1@wp.pl</t>
  </si>
  <si>
    <t>Fabianska, Monika/0000-0002-8270-9384</t>
  </si>
  <si>
    <t>0048-9697</t>
  </si>
  <si>
    <t>1879-1026</t>
  </si>
  <si>
    <t>SCI TOTAL ENVIRON</t>
  </si>
  <si>
    <t>Sci. Total Environ.</t>
  </si>
  <si>
    <t>10.1016/j.scitotenv.2015.02.096</t>
  </si>
  <si>
    <t>CG4BL</t>
  </si>
  <si>
    <t>WOS:000353225700028</t>
  </si>
  <si>
    <t>Statham, TM; Mason, LR; Mumford, KA; Stevens, GW</t>
  </si>
  <si>
    <t>Statham, Tom M.; Mason, Lachlan R.; Mumford, Kathryn A.; Stevens, Geoffrey W.</t>
  </si>
  <si>
    <t>The specific reactive surface area of granular zero-valent iron in metal contaminant removal: Column experiments and modelling</t>
  </si>
  <si>
    <t>WATER RESEARCH</t>
  </si>
  <si>
    <t>Ground water remediation; Heavy metal; Low temperature; Mass transfer; Mathematical model; PRB</t>
  </si>
  <si>
    <t>CASEY STATION; MASS-TRANSFER; FIXED-BED; WASTE-WATER; IN-SITU; REDUCTION; KINETICS; TRANSPORT; BARRIER; COPPER</t>
  </si>
  <si>
    <t>A series of dynamic-flow kinetic experiments were conducted to assess the removal rates of aqueous Cu2+ and Zn2+ ions by zero-valent iron (ZVI), a promising material for inclusion in cold-climate remediation applications. The influence of experimental parameters on contaminant removal rates, including aqueous flow rate, operating temperature, and the concentrations of ZVI, salt and dissolved oxygen, was investigated. A mass transport model has been developed that accounts (i) aqueous-phase dispersion processes, (ii) film diffusion of contaminant ions to the reactive ZVI surface and (iii) the reactive removal mechanism itself. Regression to the experimental data indicated that when oxygen is present in the solution feed Cu2+ and Zn2+ removal processes were limited by film diffusion. In de-aerated solutions film diffusion still controls Cu2+ removal but a first-order surface reaction provides a better model for Zn2+ kinetics. Using air as the equilibrium feed gas, the reactive proportion of the total surface area for contaminant removal was calculated to be 97% and 64% of the active spherically-assumed geometric area associated with ZVI media for Cu2+ and Zn2+, respectively. Relative to a gas absorption area, determined in previous studies, the reactive proportion is less than 0.41% of the unreacted ZVI total surface area. These findings suggest that only part of the iron oxyhydroxide surface is reacting during ZVI based metal contaminant removal. (c) 2015 Elsevier Ltd. All rights reserved.</t>
  </si>
  <si>
    <t>[Statham, Tom M.; Mason, Lachlan R.; Mumford, Kathryn A.; Stevens, Geoffrey W.] Univ Melbourne, Dept Chem &amp; Biomol Engn, Melbourne, Vic 3010, Australia</t>
  </si>
  <si>
    <t>Mumford, KA (corresponding author), Univ Melbourne, Dept Chem &amp; Biomol Engn, Melbourne, Vic 3010, Australia.</t>
  </si>
  <si>
    <t>Mumford, Kathryn A/M-6566-2015; Mason, Lachlan R/C-2335-2011</t>
  </si>
  <si>
    <t>Stevens, Geoffrey/0000-0002-5788-4682; Mason, Lachlan/0000-0002-7644-931X; Statham, Tom/0000-0003-3130-2135</t>
  </si>
  <si>
    <t>Financial support from Australian Antarctic Science Grant 4029 is gratefully acknowledged. The Particulate Fluids Processing Centre, a Special Research Centre of the Australian Research Council, is thanked for provision of experimental equipment. T. S. and L. M. acknowledge support from the Australian Postgraduate Award.</t>
  </si>
  <si>
    <t>0043-1354</t>
  </si>
  <si>
    <t>WATER RES</t>
  </si>
  <si>
    <t>Water Res.</t>
  </si>
  <si>
    <t>10.1016/j.watres.2015.03.007</t>
  </si>
  <si>
    <t>Engineering, Environmental; Environmental Sciences; Water Resources</t>
  </si>
  <si>
    <t>Engineering; Environmental Sciences &amp; Ecology; Water Resources</t>
  </si>
  <si>
    <t>CI8RS</t>
  </si>
  <si>
    <t>WOS:000355040000003</t>
  </si>
  <si>
    <t>Le Guillou, C; Changela, HG; Brearley, AJ</t>
  </si>
  <si>
    <t>Le Guillou, Corentin; Changela, Hitesh G.; Brearley, Adrian J.</t>
  </si>
  <si>
    <t>Widespread oxidized and hydrated amorphous silicates in CR chondrites matrices: Implications for alteration conditions and H2 degassing of asteroids</t>
  </si>
  <si>
    <t>cosmochemistry; CR chondrites; aqueous alteration; iron redox; amorphous silicate; scanning transmission X-ray microscopy</t>
  </si>
  <si>
    <t>PROGRESSIVE AQUEOUS ALTERATION; FINE-GRAINED RIMS; CARBONACEOUS CHONDRITE; OXYGEN-ISOTOPE; ORGANIC-MATTER; PARENT BODIES; REDOX STATE; CM; MINERALOGY; WATER</t>
  </si>
  <si>
    <t>The CR chondrites carry one of the most pristine records of the solar nebula materials that accreted to form planetesimals. They have experienced very variable degrees of aqueous alteration, ranging from incipient alteration in their matrices to the complete hydration of all of their components. In order to constrain their chemical alteration pathways and the conditions Of alteration, we have investigated the mineralogy and Fe oxidation state of silicates in the matrices of 8 CR chondrites, from type 3 to type 1. Fe-L edge X-ray Absorption Near Edge Structure (XANES) was performed on matrix FIB sections using synchrotron-based scanning transmission X-ray microscopy (STXM). The Fe3+/Sigma Fe ratio of submicron silicate particles was obtained and coordinated with TEM observations. In all the least altered CR chondrites (QUE 99177, EET 87770, EET 92042, LAP 02342, GRA 95229 and Renazzo), we find that the matrices consist of abundant submicron Fe-rich hydrated amorphous silicate grains, mixed with nanometer-sized phyllosilicates. The Fe3+/Sigma Fe ratios of both amorphous and nanocrystalline regions are very high with values ranging from 68 to 78%. In the most altered samples (Al Rais and GRO 95577), fine-grained phyllosilicates also have a high Fe3+/Sigma Fe ratio (around 70%), whereas the coarse, micrometer-sized phyllosilicates are less oxidized (down to 55%) and have a lower iron content. These observations suggest the following sequence: submicron Fe2+-amorphous silicate particles were the building blocks of CR matrices; after accretion they were quickly hydrated and oxidized, leading to a metastable, amorphous gel-like phase. Nucleation and growth of crystalline phyllosilicates was kinetically-limited in most type 3 and 2 CRs, but increased as alteration became more extensive in Al Rais and GRO 95577. The decreasing Fe3+/Sigma Fe ratio is interpreted as a result of the transfer of Fe3+ from silicates to oxides during growth, while aqueous alteration progressed (higher temperature, longer duration, change of fluid composition). In a fully closed system, equilibrium thermodynamics suggest that the water to rock ratios, typically assumed to be low (&lt;1) for chondrites, should primarily control the iron valency of the silicates and predict a lower Fe3+/Sigma Fe ratio. Such a high Fe3+/Sigma Fe value could be accounted for, however, if the system was partially open, at least with respect to H-2 (and other gases as well). Rapid degassing of the fluid would have favored more oxidizing fluid conditions. Recently proposed scenarios involving some degree of water D/H increase through Rayleigh isotopic fractionation are supported by these results. (C) 2015 Elsevier B.V. All rights reserved.</t>
  </si>
  <si>
    <t>[Le Guillou, Corentin] Ruhr Univ Bochum, Inst Geol Mineral &amp; Geophys, Bochum, Germany; [Changela, Hitesh G.; Brearley, Adrian J.] Univ New Mexico, Dept Earth &amp; Planetary Sci, Albuquerque, NM 87131 USA</t>
  </si>
  <si>
    <t>Ruhr University Bochum; University of New Mexico</t>
  </si>
  <si>
    <t>Le Guillou, C (corresponding author), Ruhr Univ Bochum, Inst Geol Mineral &amp; Geophys, Univ Str 150, Bochum, Germany.</t>
  </si>
  <si>
    <t>corentin.san@gmail.com</t>
  </si>
  <si>
    <t>; Le Guillou, Corentin/D-4982-2013</t>
  </si>
  <si>
    <t>Brearley, Adrian/0000-0002-7364-8815; Le Guillou, Corentin/0000-0002-7118-4607</t>
  </si>
  <si>
    <t>State of New Mexico; NSF; NASA; NASA Cosmochemistry Program [NNG06GG37G, NNX11AK51G]; Deutsche Forschungsgemeinschaft [5PP1385, GU1298/1-1]; NASA [NNX11AK51G, 143207] Funding Source: Federal RePORTER</t>
  </si>
  <si>
    <t>State of New Mexico; NSF(National Science Foundation (NSF)); NASA(National Aeronautics &amp; Space Administration (NASA)); NASA Cosmochemistry Program(National Aeronautics &amp; Space Administration (NASA)); Deutsche Forschungsgemeinschaft(German Research Foundation (DFG)); NASA(National Aeronautics &amp; Space Administration (NASA))</t>
  </si>
  <si>
    <t>We would like to acknowledge the Museum National d'Histoire Naturelle, Paris, France, for providing the Renazzo sample, the Johnson Space Center, Houston, TX, USA, and the Antarctic Meteorite Working Group for all other samples from the Antarctic Meteorite Collection. David Kilcoyne at the advanced light source in Berkeley, USA and Chithra Karunakaran and Jian Wang at the Canadian Light Source, Saskatoon, Canada, are thanked for their precious help on the STXM beamlines. Sylvain Bernard and Julien Alleon are also acknowledged for their very valuable support during STXM measurements. We warmly thank Devin Schrader and Conel Alexander for helpful and constructive reviews as well as Tim Elliot (AE) for handling the manuscript. Electron microscopy and electron microprobe analyses were carried out in the Electron Microbeam Analysis Facility in the Department of Earth and Planetary Sciences, University of New Mexico, USA, a facility that is supported by funds from the State of New Mexico, NSF, and NASA. This work was supported by NASA Cosmochemistry Program Grants NNG06GG37G and NNX11AK51G to A.J. Brearley and by the Deutsche Forschungsgemeinschaft through the special priority program The First Ten Million Years of the Solar System (5PP1385; GU1298/1-1) to C. Le Guillou and T. Muller.</t>
  </si>
  <si>
    <t>10.1016/j.epsl.2015.02.031</t>
  </si>
  <si>
    <t>CH6LU</t>
  </si>
  <si>
    <t>WOS:000354148900016</t>
  </si>
  <si>
    <t>Monforte, L; Tomás-Las-Heras, R; Del-Castillo-Alonso, MA; Martínez-Abaigar, J; Núñez-Olivera, E</t>
  </si>
  <si>
    <t>Monforte, Laura; Tomas-Las-Heras, Rafael; Del-Castillo-Alonso, Maria-Angeles; Martinez-Abaigar, Javier; Nunez-Olivera, Encarnacion</t>
  </si>
  <si>
    <t>Spatial variability of ultraviolet-absorbing compounds in an aquatic liverwort and their usefulness as biomarkers of current and past UV radiation: A case study in the Atlantic-Mediterranean transition</t>
  </si>
  <si>
    <t>Biomarkers; Biomonitoring; Bryophytes; Liverworts; UV-absorbing compounds; UV radiation</t>
  </si>
  <si>
    <t>HYDROXYCINNAMIC ACID-DERIVATIVES; EXSERTIFOLIA SUBSP CORDIFOLIA; UNCINATA HEDW. LOESKE; B RADIATION; OZONE DEPLETION; ANTARCTIC MOSS; CELL COMPARTMENTATION; SEASONAL-VARIATIONS; PHENOLIC-COMPOUNDS; QUANTUM YIELD</t>
  </si>
  <si>
    <t>The spatial variability of ultraviolet-absorbing compounds (UVACs) in the freshwater liverwort Jungermannia exsertifolia subsp. cordifolia was studied in mid-latitudes (the Atlantic-Mediterranean transition) across a wide lati-altitudinal gradient, with the aim of testing the usefulness of UVACs as biomarkers of current ambient levels of UV radiation. We analysed 17 samples from streams located in the main mountain ranges of the Iberian Peninsula, differentiating methanol-soluble (SUVACs, mainly located in the vacuoles) and methanol-insoluble (IUVACs, bound to cell walls) compounds, since they represent different manners to cope with UV radiation. In both fractions, the bulk level of UVACs and the concentrations of several individual compounds were measured. In addition, we measured F-v/F-m, DNA damage and sclerophylly index (SI) as possible additional UV biomarkers. UVACs showed a high variability, probably due not only to the gradients of macroenvironmental factors (UV radiation, PAR, and water temperature), but also to microenvironmental factors inherent to the dynamic nature of mountain streams. Two soluble coumarins were positively correlated with UV levels and could be used for ambient UV biomonitoring in the spatial scale. In contrast to the variability in UVACs, the relatively homogeneous values of F-v/F-m and the lack of any DNA damage made these variables useless for ambient UV biomonitoring, but suggested a strong acclimation capacity of this liverwort to changing environmental conditions (in particular, to UV levels). Finally, UVACs of fresh samples of the liverwort were compared to those of herbarium samples collected in the same lati-altitudinal gradient. SUVACs were significantly higher in fresh samples, whereas IUVACs generally showed the contrary. Thus, IUVACs were more stable than SUVACs and hence more adequate for retrospective UV biomonitoring. In conclusion, UVAC compartmentation should be taken into account for bryophyte-based UV biomonitoring in future studies. (C) 2015 Elsevier B.V. All rights reserved.</t>
  </si>
  <si>
    <t>[Monforte, Laura; Tomas-Las-Heras, Rafael; Del-Castillo-Alonso, Maria-Angeles; Martinez-Abaigar, Javier; Nunez-Olivera, Encarnacion] Univ La Rioja, E-26006 Logrono, Spain</t>
  </si>
  <si>
    <t>Universidad de La Rioja</t>
  </si>
  <si>
    <t>Martínez-Abaigar, J (corresponding author), Univ La Rioja, Edificio Cient Tecnol,Avda Madre Dios 51, E-26006 Logrono, Spain.</t>
  </si>
  <si>
    <t>javier.martinez@unirioja.es</t>
  </si>
  <si>
    <t>Tomas-Las-Heras, Rafael/M-2754-2018; Martinez-Abaigar, Javier/L-7000-2014; Monforte, Laura/P-3410-2014; Nunez-Olivera, Encarnacion/L-7164-2014</t>
  </si>
  <si>
    <t>Tomas-Las-Heras, Rafael/0000-0002-8496-7280; Martinez-Abaigar, Javier/0000-0002-9762-9862; DEL CASTILLO ALONSO, MARIA ANGELES/0000-0003-4027-3313; Monforte, Laura/0000-0002-7062-5650; Nunez-Olivera, Encarnacion/0000-0002-7221-3852</t>
  </si>
  <si>
    <t>Ministerio de Ciencia e Innovacion of Spain; FEDER funds [CGL2011-26977]; Gobierno de La Rioja [PRED2010/16]; Universidad de La Rioja (Plan Propio)</t>
  </si>
  <si>
    <t>Ministerio de Ciencia e Innovacion of Spain(Spanish Government); FEDER funds(European Union (EU)); Gobierno de La Rioja; Universidad de La Rioja (Plan Propio)</t>
  </si>
  <si>
    <t>We are grateful to the Ministerio de Ciencia e Innovacion of Spain and FEDER funds (Project CGL2011-26977) for financial support. Laura Monforte and Maria-Angeles Del-Castillo-Alonso benefited from respective grants of the Gobierno de La Rioja (PRED2010/16) and Universidad de La Rioja (Plan Propio 2014). Several institutions kindly authorized sample collection in protected areas of Spain: Gobierno de La Rioja (Direccion General de Medio Natural), Parque Nacional Picos de Europa, Gobierno de Cantabria (Direccion General de Biodiversidad), Diputacion Foral de Alava (Departamento de Medio Ambiente, Seccion de Parques Naturales), Diputacion Foral de Guipuzcoa (Departamento de Desarrollo del Medio Rural), Instituto Aragones de Gestion Ambiental, and Parque Nacional Sierra Nevada. Ozone data were obtained, thanks to the Atmospheric Chemistry and Dynamics Branch, (NASA Goddard Space Flight Center). Prof. D.-P. Hader (Erlangen, Germany) and Prof. Osamu Nikaido (Kanazawa University, Japan) kindly provided materials for the analysis of DNA damage. This work was integrated into the COST (European Cooperation in Science and Technology) Action FA0906 of the European Union UV-B radiation: a specific regulator of plant growth and food quality in a changing climate.</t>
  </si>
  <si>
    <t>10.1016/j.scitotenv.2015.03.006</t>
  </si>
  <si>
    <t>WOS:000353225700026</t>
  </si>
  <si>
    <t>Cantero, ALP</t>
  </si>
  <si>
    <t>Pena Cantero, Alvaro L.</t>
  </si>
  <si>
    <t>Review of some little-known benthic hydroids (Cnidaria, Hydrozoa) from the Southern Ocean</t>
  </si>
  <si>
    <t>Hydrozoans; type material; taxonomy; Antarctic Ocean; autecology; geographic distribution</t>
  </si>
  <si>
    <t>EUROPEAN ATHECATE HYDROIDS; TERRA-NOVA BAY; HYDRACTINIA-ANGUSTA; MEDUSAE HYDROZOA; SEA; CYCLE</t>
  </si>
  <si>
    <t>A number of benthic hydroid species inhabiting the Southern Ocean are insufficiently characterized. A revision of eight little-known Antarctic species of the order Anthoathecata was made, based on the study of type material. Some of the species have not been recorded since their original description a century ago. Four species (Bimeria corynopsis, Bougainvillia macloviana, ?Koellikerina belgicae and Rhizorhagium antarcticum) belong to the family Bougainvilliidae, two species (Hydractinia angusta and H. dendritica) to the family Hydractiniidae, Perarella clavata to the family Cytaeididae and, finally, Rhysia halecii to the family Rhysiidae. For each species a list of synonyms, a description, a discussion on its relationship with other species and its systematic position, and an account of its autecological data are given. All records found in the literature have been checked.</t>
  </si>
  <si>
    <t>Univ Valencia, Inst Cavanilles Biodiversidad &amp; Biol Evolut, Dept Zool, Valencia 46071, Spain</t>
  </si>
  <si>
    <t>University of Valencia</t>
  </si>
  <si>
    <t>Cantero, ALP (corresponding author), Univ Valencia, Inst Cavanilles Biodiversidad &amp; Biol Evolut, Dept Zool, Apdo Correos 22085, Valencia 46071, Spain.</t>
  </si>
  <si>
    <t>alvaro.l.pena@uv.es</t>
  </si>
  <si>
    <t>Cantero, Álvaro Luis Peña/F-7888-2016</t>
  </si>
  <si>
    <t>Pena Cantero, Alvaro/0000-0003-3056-6673</t>
  </si>
  <si>
    <t>Ministerio de Ciencia e Innovacion of Spain [CTM2009-11128ANT]; Fondo Europeo de Desarrollo Regional (FEDER)</t>
  </si>
  <si>
    <t>Ministerio de Ciencia e Innovacion of Spain(Spanish Government); Fondo Europeo de Desarrollo Regional (FEDER)(European Union (EU)Spanish Government)</t>
  </si>
  <si>
    <t>The author wishes to thank the late Prof. Dr Wim Vervoort (Nationaal Natuurhistorisch Museum, Leiden, The Netherlands) for his invaluable help in many aspects of my research and to Dr. Claude Massin (RBINS), Dr. Carsten Lueter (ZMB), Karin Sindemark (SMNH) and Miranda Lowe (NHM) for the loan of specimens. This study was developed thanks to a research project (Ref. CTM2009-11128ANT) funded by the Ministerio de Ciencia e Innovacion of Spain and the Fondo Europeo de Desarrollo Regional (FEDER).</t>
  </si>
  <si>
    <t>JUN 12</t>
  </si>
  <si>
    <t>10.11646/zootaxa.3972.3.4</t>
  </si>
  <si>
    <t>CK2EC</t>
  </si>
  <si>
    <t>WOS:000356022400004</t>
  </si>
  <si>
    <t>Brogger, MI; O'Hara, TD</t>
  </si>
  <si>
    <t>Brogger, Martin I.; O'Hara, Timothy D.</t>
  </si>
  <si>
    <t>Revision of some ophiuroid records (Echinodermata: Ophiuroidea) from Argentina</t>
  </si>
  <si>
    <t>Brittle stars; Ophiacanthidae; Amphiuridae; Amphioplus; Amphilepis; Ophiactis</t>
  </si>
  <si>
    <t>WATERS; FAUNA</t>
  </si>
  <si>
    <t>The taxonomy of some ophiuroids reported from off Argentina, western Antarctica and the SW Atlantic Ocean is reviewed. The species Amphilepis sanmatiensis, known only from the small holotype, is a synonym of Amphioplus lucyae. This synonymy removes the only reported endemic ophiuroid from Argentina. The species name Ophiacantha ingrata Koehler, 1923 used for specimens from South Georgia is invalid; the specimens are likely to belong to one of two cryptic species within the O. vivipara complex. Specimens of Amphiura joubini reported from Argentina are re-identified as Amphiura princeps, and specimens of Ophiactis amator from the Antarctic Peninsula are re-identified as Ophiactis asperula.</t>
  </si>
  <si>
    <t>[Brogger, Martin I.] Consejo Nacl Invest Cient &amp; Tecn, Museo Argentino Ciencias Nat, RA-1033 Buenos Aires, DF, Argentina; [O'Hara, Timothy D.] Museum Victoria, Melbourne, Vic 3001, Australia</t>
  </si>
  <si>
    <t>Consejo Nacional de Investigaciones Cientificas y Tecnicas (CONICET); Museo Argentino de Ciencias Naturales Bernardino Rivadavia (MACN); Museum Victoria</t>
  </si>
  <si>
    <t>Brogger, MI (corresponding author), Consejo Nacl Invest Cient &amp; Tecn, Museo Argentino Ciencias Nat, RA-1033 Buenos Aires, DF, Argentina.</t>
  </si>
  <si>
    <t>mbrogger@bg.fcen.uba.ar; tohara@museum.vic.gov.au</t>
  </si>
  <si>
    <t>Brogger, Martin/0000-0002-1229-5032</t>
  </si>
  <si>
    <t>Census of Marine Life grant (Cosmos); Agencia Nacional de Promocion Cientifica y Tecnologica [PICT 2012-0561, PICT 2013-2504]</t>
  </si>
  <si>
    <t>Census of Marine Life grant (Cosmos); Agencia Nacional de Promocion Cientifica y Tecnologica(ANPCyTSpanish Government)</t>
  </si>
  <si>
    <t>We thank a Census of Marine Life grant (Cosmos) for providing funds for TOH to visit the Museo Argentino de Ciencias Naturales Bernardino Rivadavia (MACN) in March 2013. Partial funds provided to MIB by grants from the Agencia Nacional de Promocion Cientifica y Tecnologica (PICT 2012-0561 and PICT 2013-2504). We also thank the MACN Invertebrates collection manager Alejandro Tablado for providing access to the material.</t>
  </si>
  <si>
    <t>10.11646/zootaxa.3972.3.8</t>
  </si>
  <si>
    <t>WOS:000356022400008</t>
  </si>
  <si>
    <t>Zhang, T; Yao, YF</t>
  </si>
  <si>
    <t>Zhang, Tao; Yao, Yi-Feng</t>
  </si>
  <si>
    <t>Endophytic Fungal Communities Associated with Vascular Plants in the High Arctic Zone Are Highly Diverse and Host-Plant Specific</t>
  </si>
  <si>
    <t>ROOT-ASSOCIATED FUNGI; ARBUSCULAR MYCORRHIZAL; GEOGRAPHIC STRUCTURE; DRYAS-OCTOPETALA; SYMBIOTIC FUNGI; BIODIVERSITY; TUNDRA; DISTANCE; SVALBARD; HABITAT</t>
  </si>
  <si>
    <t>This study assessed the diversity and distribution of endophytic fungal communities associated with the leaves and stems of four vascular plant species in the High Arctic using 454 pyrosequencing with fungal-specific primers targeting the ITS region. Endophytic fungal communities showed high diversity. The 76,691 sequences obtained belonged to 250 operational taxonomic units (OTUs). Of these OTUs, 190 belonged to Ascomycota, 50 to Basidiomycota, 1 to Chytridiomycota, and 9 to unknown fungi. The dominant orders were Helotiales, Pleosporales, Capnodiales, and Tremellales, whereas the common known fungal genera were Cryptococcus, Rhizosphaera, Mycopappus, Melampsora, Tetracladium, Phaeosphaeria, Mrakia, Venturia, and Leptosphaeria. Both the climate and host-related factors might shape the fungal communities associated with the four Arctic plant species in this region. These results suggested the presence of an interesting endophytic fungal community and could improve our understanding of fungal evolution and ecology in the Arctic terrestrial ecosystems.</t>
  </si>
  <si>
    <t>[Zhang, Tao] Chinese Acad Sci, Inst Microbiol, State Key Lab Mycol, Beijing, Peoples R China; [Zhang, Tao] Chinese Acad Med Sci, Inst Med Biotechnol, Beijing 100730, Peoples R China; [Zhang, Tao] Peking Union Med Coll, Beijing 100021, Peoples R China; [Yao, Yi-Feng] Chinese Acad Sci, Inst Bot, State Key Lab Systemat &amp; Evolutionary Bot, Beijing, Peoples R China</t>
  </si>
  <si>
    <t>Chinese Academy of Sciences; Institute of Microbiology, CAS; Chinese Academy of Medical Sciences - Peking Union Medical College; Institute of Medicinal Biotechnology - CAMS; Chinese Academy of Medical Sciences - Peking Union Medical College; Peking Union Medical College; Chinese Academy of Sciences; Institute of Botany, CAS</t>
  </si>
  <si>
    <t>Zhang, T (corresponding author), Chinese Acad Sci, Inst Microbiol, State Key Lab Mycol, Beijing, Peoples R China.</t>
  </si>
  <si>
    <t>zhangtaoim@126.com</t>
  </si>
  <si>
    <t>National Natural Science Foundation of China (NSFC) [31300115, 41271222]; Polar Strategic Research Foundation of China [20120302]; Chinese Arctic and Antarctic Administration, State Oceanic Administration [2013YR06006, 2013YR05005]</t>
  </si>
  <si>
    <t>National Natural Science Foundation of China (NSFC)(National Natural Science Foundation of China (NSFC)); Polar Strategic Research Foundation of China; Chinese Arctic and Antarctic Administration, State Oceanic Administration</t>
  </si>
  <si>
    <t>Funding has been provided by the National Natural Science Foundation of China (NSFC) (Nos. 31300115 and 41271222), Polar Strategic Research Foundation of China (No. 20120302), and Projects of the Chinese Arctic and Antarctic Administration, State Oceanic Administration (Nos. 2013YR06006 and 2013YR05005). The funders had role in data collection.</t>
  </si>
  <si>
    <t>e0130051</t>
  </si>
  <si>
    <t>10.1371/journal.pone.0130051</t>
  </si>
  <si>
    <t>CK6GR</t>
  </si>
  <si>
    <t>WOS:000356327000138</t>
  </si>
  <si>
    <t>Allu, NC; Tiwari, M; Yadava, MG; Dung, NC; Shen, CC; Belgaonkar, SP; Ramesh, R; Laskar, AH</t>
  </si>
  <si>
    <t>Allu, Narayana C.; Tiwari, Manish; Yadava, Madhusudan G.; Nguyen Chi Dung; Shen, Chuan-Chou; Belgaonkar, Sarang P.; Ramesh, Rengaswamy; Laskar, Amzad H.</t>
  </si>
  <si>
    <t>Stalagmite δ18O variations in southern India reveal divergent trends of Indian Summer Monsoon and East Asian Summer Monsoon during the last interglacial</t>
  </si>
  <si>
    <t>Stable oxygen isotopes; Speleothem; Paleoclimate; Paleomonsoon; East Asian monsoon; Indian monsoon</t>
  </si>
  <si>
    <t>OXYGEN MINIMUM ZONE; ARABIAN SEA; RAINFALL VARIATIONS; KYR RECORD; CLIMATE; VARIABILITY; SCALE; CAVE; SPELEOTHEMS; OSCILLATIONS</t>
  </si>
  <si>
    <t>Indian monsoon variations for the period around similar to 100 ka have not been documented from terrestrial archives, while limited data do exist from the Indian Ocean. Some paleoceanographic studies have reported abrupt and stepwise changes in the monsoon intensity during the last deglaciation, but similar observations have not been possible for earlier periods such as the interglacial to glacial transition, mainly because of the coarse resolution (similar to 500 to 1000 years) provided by marine archives of that age. Here, we report a new delta O-18 data set from a stalagmite (3-ACN) that grew in the Belum caves, Andhra Pradesh, a semi-arid region in southern India, with a resolution of similar to 85 years. Age assignment to different growth layers consistent with associated analytical errors indicates that the record could span similar to 9 ky during part of Marine Isotope Stage (MIS) 5d-c, from similar to 108 to similar to 99 ka. delta O-18 variations in this stalagmite, if interpreted using the 'amount effect', i.e., O-18 depletion of similar to 1.5% per 100 mm increase in monsoon rainfall, indicate a step-like increase during the transition from the cooler stadial MIS 5d to warmer interstadial MIS 5c, signifying an abrupt reduction in monsoon rain. The new data presented highlight divergent trends between the Indian and the East Asian Summer Monsoons for a time period for which not many high-resolution comparisons are available. (C) 2014 Elsevier Ltd and INQUA. All rights reserved.</t>
  </si>
  <si>
    <t>[Allu, Narayana C.; Belgaonkar, Sarang P.] Univ Hyderabad, Ctr Earth &amp; Space Sci, Hyderabad 500046, Andhra Pradesh, India; [Tiwari, Manish] Natl Ctr Antarctic &amp; Ocean Res NCAOR, Vasco Da Gama 403804, Goa, India; [Yadava, Madhusudan G.; Ramesh, Rengaswamy; Laskar, Amzad H.] Phys Res Lab, Geosci Div, Ahmadabad 380009, Gujarat, India; [Nguyen Chi Dung; Shen, Chuan-Chou] Natl Taiwan Univ, Dept Geosci, High Precis Mass Spectrometry &amp; Environm Change L, Taipei 10617, Taiwan</t>
  </si>
  <si>
    <t>University of Hyderabad; Ministry of Earth Sciences (MoES) - India; National Centre for Polar and Ocean Research (NCPOR); Department of Space (DoS), Government of India; Physical Research Laboratory - India; National Taiwan University</t>
  </si>
  <si>
    <t>Ramesh, R (corresponding author), Phys Res Lab, Geosci Div, Ahmadabad 380009, Gujarat, India.</t>
  </si>
  <si>
    <t>rramesh@prl.res.in</t>
  </si>
  <si>
    <t>lin, ke/GZM-8300-2022; Shen, Chuan-Chou/JCE-1989-2023; Nguyen, Dung Chi/JJF-3480-2023; Shen, Chuan-Chou/H-9642-2013; Laskar, Amzad/K-5125-2019</t>
  </si>
  <si>
    <t>Shen, Chuan-Chou/0000-0003-2833-2771; Nguyen, Dung Chi/0000-0003-3933-2646; Shen, Chuan-Chou/0000-0003-2833-2771; Laskar, Amzad/0000-0003-1875-8314; Tiwari, Manish/0000-0003-3143-1658</t>
  </si>
  <si>
    <t>Indian Space Research Organization under the Geosphere Biosphere Programme (ISRO-GBP); Taiwan ROC MOST; NTU [101-2116-M-002-009, 102-2116-M-002-016, 101R7625]</t>
  </si>
  <si>
    <t>Indian Space Research Organization under the Geosphere Biosphere Programme (ISRO-GBP); Taiwan ROC MOST; NTU(Nanyang Technological University)</t>
  </si>
  <si>
    <t>We thank the Indian Space Research Organization for funding, under the Geosphere Biosphere Programme (ISRO-GBP). MT thanks the Secretary, MoES and the Director, NCAOR for support under the project Past Climate and Oceanic Variability. U-Th dating at the HISPEC was supported by the Taiwan ROC MOST and NTU grants (101-2116-M-002-009, 102-2116-M-002-016, and 101R7625 to C.-C.S.).</t>
  </si>
  <si>
    <t>10.1016/j.quaint.2014.12.014</t>
  </si>
  <si>
    <t>CJ2RH</t>
  </si>
  <si>
    <t>WOS:000355331700019</t>
  </si>
  <si>
    <t>Van De Vijver, B; Kopalová, K; Zidarova, R</t>
  </si>
  <si>
    <t>Van De Vijver, Bart; Kopalova, Katerina; Zidarova, Ralitsa</t>
  </si>
  <si>
    <t>Three new Craticula species (Bacillariophyta) from the Maritime Antarctic Region</t>
  </si>
  <si>
    <t>PHYTOTAXA</t>
  </si>
  <si>
    <t>JAMES-ROSS-ISLAND; DIATOMS BACILLARIOPHYTA; SHETLAND ISLANDS; LAKES; PENINSULA; ALGAE; NOV</t>
  </si>
  <si>
    <t>Three new diatom taxa belonging to the genus Craticula were found during the ongoing taxonomic revision of the Antarctic freshwater and limno-terrestrial diatom flora: Craticula australis, sp. nov., C. obaesa, sp. nov and C. petradeblockiana, sp. nov. Detailed light and scanning electron microscope observations are used to better characterize the morphology and ultrastructure of these three new taxa. A fourth Craticula taxon, formerly identified as Navicula megacuspidata, described from South Georgia, is transferred to the genus Craticula and its taxonomy is briefly discussed. Comparisons with similar taxa and the ecological preferences of each species are added. The revision of these species confirms once again the endemic nature of the Antarctic diatom flora.</t>
  </si>
  <si>
    <t>[Van De Vijver, Bart] Bot Garden Meise, Dept Bryophyta &amp; Thallophyta, B-1860 Meise, Belgium; [Van De Vijver, Bart] Univ Antwerp, ECOBE, Dept Biol, B-2610 Antwerp, Belgium; [Kopalova, Katerina] Charles Univ Prague, Fac Sci, Dept Ecol, Prague 12844, Czech Republic; [Zidarova, Ralitsa] Sofia Univ St Kliment Ohridski, Fac Biol, Dept Bot, Sofia 1164, Bulgaria</t>
  </si>
  <si>
    <t>University of Antwerp; Charles University Prague; University of Sofia</t>
  </si>
  <si>
    <t>vandevijver@br.gov.be</t>
  </si>
  <si>
    <t>Zidarova, Ralitsa/I-3793-2017; Kopalova, Katerina/M-6207-2017</t>
  </si>
  <si>
    <t>Kopalova, Katerina/0000-0002-7905-4268; Zidarova, Ralitsa/0000-0002-6451-0099</t>
  </si>
  <si>
    <t>[KONTAKT ME 945]; [Czech Polar LM2010009]; [GAUK 394211]</t>
  </si>
  <si>
    <t>This work was supported by the projects KONTAKT ME 945, Czech Polar LM2010009 and GAUK 394211. The authors would also like to thank the members of expeditions to the Czech Antarctic Station J.G. Mendel for providingthe samples. Linda Nedbalova nd Daniel Nyvlt are thanked for their information on the Clearwater Mesa sample. This study was further supported by the BELSPO CCAMBIO project to visit the National History Museum in London, UK. Alex Ball, the staff of the IAC laboratory at the Natural History Museum is thanked for his help with the scanning electron microscopy. The referees and the editor are thanked for valuable comments that improved this manuscript.</t>
  </si>
  <si>
    <t>1179-3155</t>
  </si>
  <si>
    <t>1179-3163</t>
  </si>
  <si>
    <t>Phytotaxa</t>
  </si>
  <si>
    <t>JUN 11</t>
  </si>
  <si>
    <t>10.11646/phytotaxa.213.1.3</t>
  </si>
  <si>
    <t>CL0AE</t>
  </si>
  <si>
    <t>WOS:000356600000003</t>
  </si>
  <si>
    <t>Near, TJ; Dornburg, A; Harrington, RC; Oliveira, C; Pietsch, TW; Thacker, CE; Satoh, TP; Katayama, E; Wainwright, PC; Eastman, JT; Beaulieu, JM</t>
  </si>
  <si>
    <t>Near, Thomas J.; Dornburg, Alex; Harrington, Richard C.; Oliveira, Claudio; Pietsch, Theodore W.; Thacker, Christine E.; Satoh, Takashi P.; Katayama, Eri; Wainwright, Peter C.; Eastman, Joseph T.; Beaulieu, Jeremy M.</t>
  </si>
  <si>
    <t>Identification of the notothenioid sister lineage illuminates the biogeographic history of an Antarctic adaptive radiation</t>
  </si>
  <si>
    <t>BMC EVOLUTIONARY BIOLOGY</t>
  </si>
  <si>
    <t>Ancestral range estimation; Weddellian Province; Notothenioidei; Percomorpha</t>
  </si>
  <si>
    <t>FISHES TELEOSTEI; FOOD-WEB; CREEDIIDAE PERCIFORMES; PERCOMORPH PHYLOGENY; CONTINENTAL-SHELF; SOUTHERN-OCEAN; MITOCHONDRIAL; EVOLUTION; ANTIFREEZE; DIVERSIFICATION</t>
  </si>
  <si>
    <t>Background: Antarctic notothenioids are an impressive adaptive radiation. While they share recent common ancestry with several species-depauperate lineages that exhibit a relictual distribution in areas peripheral to the Southern Ocean, an understanding of their evolutionary origins and biogeographic history is limited as the sister lineage of notothenioids remains unidentified. The phylogenetic placement of notothenioids among major lineages of perciform fishes, which include sculpins, rockfishes, sticklebacks, eelpouts, scorpionfishes, perches, groupers and soapfishes, remains unresolved. We investigate the phylogenetic position of notothenioids using DNA sequences of 10 protein coding nuclear genes sampled from more than 650 percomorph species. The biogeographic history of notothenioids is reconstructed using a maximum likelihood method that integrates phylogenetic relationships, estimated divergence times, geographic distributions and paleogeographic history. Results: Percophis brasiliensis is resolved, with strong node support, as the notothenioid sister lineage. The species is endemic to the subtropical and temperate Atlantic coast of southern South America. Biogeographic reconstructions imply the initial diversification of notothenioids involved the western portion of the East Gondwanan Weddellian Province. The geographic disjunctions among the major lineages of notothenioids show biogeographic and temporal correspondence with the fragmentation of East Gondwana. Conclusions: The phylogenetic resolution of Percophis requires a change in the classification of percomorph fishes and provides evidence for a western Weddellian origin of notothenioids. The biogeographic reconstruction highlights the importance of the geographic and climatic isolation of Antarctica in driving the radiation of cold-adapted notothenioids.</t>
  </si>
  <si>
    <t>[Near, Thomas J.; Dornburg, Alex] Yale Univ, Dept Ecol &amp; Evolutionary Biol, New Haven, CT 06520 USA; [Near, Thomas J.] Yale Peabody Museum Nat Hist, New Haven, CT 06520 USA; [Harrington, Richard C.] Univ Oxford, Dept Earth Sci, Oxford OX1 3AN, England; [Oliveira, Claudio] Univ Estadual Paulista, Inst Biociencias, Dept Morfol, Botucatu, SP, Brazil; [Pietsch, Theodore W.] Univ Washington, Sch Aquat &amp; Fishery Sci, Seattle, WA 98105 USA; [Pietsch, Theodore W.] Univ Washington, Burke Museum Nat Hist &amp; Culture, Seattle, WA 98105 USA; [Thacker, Christine E.] Nat Hist Museum Los Angeles Cty, Sect Ichthyol, Res &amp; Collect, Los Angeles, CA 90007 USA; [Satoh, Takashi P.; Katayama, Eri] Natl Museum Nat &amp; Sci, Tsukuba, Ibaraki 3050005, Japan; [Wainwright, Peter C.] Univ Calif Davis, Sect Evolut &amp; Ecol, Davis, CA 95616 USA; [Eastman, Joseph T.] Ohio Univ, Dept Biomed Sci, Athens, OH 45701 USA; [Beaulieu, Jeremy M.] Univ Tennessee, Natl Inst Math &amp; Biol Synth, Knoxville, TN 37996 USA</t>
  </si>
  <si>
    <t>Yale University; Yale University; University of Oxford; Universidade Estadual Paulista; University of Washington; University of Washington Seattle; University of Washington; University of Washington Seattle; National Museum of Nature and Science; University of California System; University of California Davis; University System of Ohio; Ohio University; University of Tennessee System; University of Tennessee Knoxville</t>
  </si>
  <si>
    <t>Near, TJ (corresponding author), Yale Univ, Dept Ecol &amp; Evolutionary Biol, New Haven, CT 06520 USA.</t>
  </si>
  <si>
    <t>thomas.near@yale.edu</t>
  </si>
  <si>
    <t>Near, Thomas J./K-1204-2012; Dornburg, Alex/CAF-1206-2022; Eastman, Joseph T./O-6150-2019; Oliveira, Claudio/D-7713-2012</t>
  </si>
  <si>
    <t>Near, Thomas J./0000-0002-7398-6670; Eastman, Joseph T./0000-0003-3868-261X; Oliveira, Claudio/0000-0002-7010-8880; Dornburg, Alex/0000-0003-0863-2283</t>
  </si>
  <si>
    <t>National Science Foundation (NSF) [OPP 01-32032, ANT-1341661, ANT-0436190]; Conselho Nacional de Desenvolvimento Cientifico e Tecnologico do Brasil researcher (CNPq) [309632/2007-2]; Fundacao de Amparo a Pesquisa do Estado de Sao Paulo (FAPESP) [2008/08294-5]; Ministerio do Meio Ambiente (IBAMA) [13843-1]; Direct For Biological Sciences [1061981] Funding Source: National Science Foundation; Directorate For Geosciences; Office of Polar Programs (OPP) [1341661] Funding Source: National Science Foundation; Division Of Environmental Biology [1061981] Funding Source: National Science Foundation; Division Of Environmental Biology; Direct For Biological Sciences [1061806] Funding Source: National Science Foundation</t>
  </si>
  <si>
    <t>National Science Foundation (NSF)(National Science Foundation (NSF)); Conselho Nacional de Desenvolvimento Cientifico e Tecnologico do Brasil researcher (CNPq)(Conselho Nacional de Desenvolvimento Cientifico e Tecnologico (CNPQ)Fundacao de Apoio a Pesquisa do Distrito Federal (FAPDF)); Fundacao de Amparo a Pesquisa do Estado de Sao Paulo (FAPESP)(Fundacao de Amparo a Pesquisa do Estado de Sao Paulo (FAPESP)); Ministerio do Meio Ambiente (IBAMA); Direct For Biological Sciences(National Science Foundation (NSF)NSF - Directorate for Biological Sciences (BIO)); Directorate For Geosciences; Office of Polar Programs (OPP)(National Science Foundation (NSF)NSF - Directorate for Geosciences (GEO)); Division Of Environmental Biology(National Science Foundation (NSF)NSF - Directorate for Biological Sciences (BIO)); Division Of Environmental Biology; Direct For Biological Sciences(National Science Foundation (NSF)NSF - Directorate for Biological Sciences (BIO))</t>
  </si>
  <si>
    <t>Fieldwork in the Southern Ocean was facilitated through C. D. Jones of the United States Antarctic Marine Living Resources Program and the officers and crew of the RV Yuzhmorgeologia, and the 2004 ICEFISH cruise aboard the RVIB Nathaniel B. Palmer that was funded through a National Science Foundation (NSF) grant (OPP 01-32032) to H.W. Detrich III. Field and laboratory support was provided by H.W. Detrich, J. Kendrick, K.-H. Kock, J.A. Moore and A. L. Stewart. A. Dettai and G. Lecointre of the Museum National d'Histoire Naturelle, Paris, France and C.D. Roberts of the Museum of New Zealand Te Papa Tongarewa provided critical specimens. CO is a Conselho Nacional de Desenvolvimento Cientifico e Tecnologico do Brasil researcher (CNPq grant number 309632/2007-2) and collections in Brazil were founded by Fundacao de Amparo a Pesquisa do Estado de Sao Paulo (FAPESP grant number 2008/08294-5) and authorized by Ministerio do Meio Ambiente (IBAMA license number 13843-1). Karsten Hartel (Museum of Comparative Zoology, Harvard University), Nelson Rios and Justin Mann (Tulane University), and Katherine Maslenikov (University of Washington) provided loans of museum specimens. This research was funded from NSF grants awarded to TJN (ANT-1341661) and JTE (ANT-0436190).</t>
  </si>
  <si>
    <t>1471-2148</t>
  </si>
  <si>
    <t>BMC EVOL BIOL</t>
  </si>
  <si>
    <t>BMC Evol. Biol.</t>
  </si>
  <si>
    <t>10.1186/s12862-015-0362-9</t>
  </si>
  <si>
    <t>CK1TB</t>
  </si>
  <si>
    <t>WOS:000355989100002</t>
  </si>
  <si>
    <t>Marino, G; Rohling, EJ; Rodríguez-Sanz, L; Grant, KM; Heslop, D; Roberts, AP; Stanford, JD; Yu, J</t>
  </si>
  <si>
    <t>Marino, G.; Rohling, E. J.; Rodriguez-Sanz, L.; Grant, K. M.; Heslop, D.; Roberts, A. P.; Stanford, J. D.; Yu, J.</t>
  </si>
  <si>
    <t>Bipolar seesaw control on last interglacial sea level</t>
  </si>
  <si>
    <t>LONG-TERM VARIATIONS; PENULTIMATE GLACIAL MAXIMUM; OXYGEN ISOTOPIC COMPOSITION; EPICA DOME C; ANTARCTIC TEMPERATURE; CHRONOLOGY AICC2012; CLIMATE VARIABILITY; MEDITERRANEAN SEA; ATMOSPHERIC CO2; GLOBAL CLIMATE</t>
  </si>
  <si>
    <t>Our current understanding of ocean-atmosphere-cryosphere interactions at ice-age terminations relies largely on assessments of the most recent (last) glacial-interglacial transition(1-3), Termination I (T-I). But the extent to which T-I is representative of previous terminations remains unclear. Testing the consistency of termination processes requires comparison of time series of critical climate parameters with detailed absolute and relative age control. However, such age control has been lacking for even the penultimate glacial termination (T-II), which culminated in a sea-level highstand during the last interglacial period that was several metres above present(4). Here we show that Heinrich Stadial 11 (HS11), a prominent North Atlantic cold episode(5,6), occurred between 135 +/- 1 and 130 +/- 2 thousand years ago and was linked with rapid sea-level rise during T-II. Our conclusions are based on new and existing(6-9) data for T-II and the last interglacial that we collate onto a single, radiometrically constrained chronology. The HS11 cold episode(5,6) punctuated T-II and coincided directly with a major deglacial meltwater pulse, which predominantly entered the North Atlantic Ocean and accounted for about 70 per cent of the glacial-interglacial sea-level rise(8,9). We conclude that, possibly in response to stronger insolation and CO2 forcing earlier in T-II, the relationship between climate and ice-volume changes differed fundamentally from that of T-I. In T-I, the major sea-level rise clearly post-dates(3,10,11) Heinrich Stadial 1. We also find that HS11 coincided with sustained Antarctic warming, probably through a bipolar seesaw temperature response(12), and propose that this heat gain at high southern latitudes promoted Antarctic ice-sheet melting that fuelled the last interglacial sea-level peak.</t>
  </si>
  <si>
    <t>[Marino, G.; Rohling, E. J.; Rodriguez-Sanz, L.; Grant, K. M.; Heslop, D.; Roberts, A. P.; Yu, J.] Australian Natl Univ, Res Sch Earth Sci, Canberra, ACT 2601, Australia; [Rohling, E. J.] Univ Southampton, Ocean &amp; Earth Sci, Natl Oceanog Ctr, Southampton SO14 3ZH, Hants, England; [Stanford, J. D.] Swansea Univ, Dept Geog, Swansea SA2 8PP, W Glam, Wales</t>
  </si>
  <si>
    <t>Australian National University; University of Southampton; NERC National Oceanography Centre; Swansea University</t>
  </si>
  <si>
    <t>Marino, G (corresponding author), Australian Natl Univ, Res Sch Earth Sci, GPO Box 4, Canberra, ACT 2601, Australia.</t>
  </si>
  <si>
    <t>Gianluca.Marino@anu.edu.au</t>
  </si>
  <si>
    <t>Stanford, Jennifer/HJP-0625-2023; Marino, Gianluca/AAN-3969-2020; Heslop, David/G-6412-2011; Heslop, David/AGE-1592-2022; Roberts, Andrew P/E-6422-2010; Rohling, Eelco J/B-9736-2008; Yu, Jimin/I-7770-2012</t>
  </si>
  <si>
    <t>Marino, Gianluca/0000-0001-9795-5337; Heslop, David/0000-0001-8245-0555; Heslop, David/0000-0001-8245-0555; Rohling, Eelco J/0000-0001-5349-2158; Grant, Katharine/0000-0003-4299-5504; Rodriguez-Sanz, Laura/0000-0002-0641-0583; Roberts, Andrew P./0000-0003-0566-8117; Yu, Jimin/0000-0002-3896-1777</t>
  </si>
  <si>
    <t>Australian Research Council Australian Laureate Fellowship [FL120100050]; UK-NERC [NE/I009906/1]; NERC [NE/I009906/1, bosc01001, NE/I02044X/1] Funding Source: UKRI; Natural Environment Research Council [bosc01001, NE/I009906/1, NE/I02044X/1] Funding Source: researchfish</t>
  </si>
  <si>
    <t>Australian Research Council Australian Laureate Fellowship(Australian Research Council); UK-NERC(UK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</si>
  <si>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International Ocean Discovery Program for providing samples from Leg 161 and W. Hale for sampling assistance. M. Charidemou contributed to a pilot study on ODP975, J. Amies to preliminary stratigraphic assessment, and J. Cali to stable isotope analyses. We thank M. Bar-Matthews for providing the updated version of the Soreq Cave chronology table, R. N. Drysdale and J. Hellstrom for helpful discussions, and B. Martrat and L. Skinner for making published data available. This study was supported by Australian Research Council Australian Laureate Fellowship FL120100050 and by UK-NERC project NE/I009906/1 (E.J.R.).</t>
  </si>
  <si>
    <t>10.1038/nature14499</t>
  </si>
  <si>
    <t>CK2CI</t>
  </si>
  <si>
    <t>WOS:000356016700035</t>
  </si>
  <si>
    <t>d'Acoz, CD; Havermans, C</t>
  </si>
  <si>
    <t>d'Acoz, Cedric d'Udekem; Havermans, Charlotte</t>
  </si>
  <si>
    <t>Contribution to the systematics of the genus Eurythenes SI Smith in Scudder, 1882 (Crustacea: Amphipoda: Lysianassoidea: Eurytheneidae)</t>
  </si>
  <si>
    <t>Amphipoda; Lysianassoidea; Eurythenes; Southern Ocean; Arctic Ocean; Atlantic; bipolar species; bathyal; abyssal; reverse taxonomy; pseudocryptic species; new species</t>
  </si>
  <si>
    <t>NECROPHAGOUS AMPHIPOD; VERTICAL-DISTRIBUTION; POPULATION-STRUCTURE; NORTHEAST ATLANTIC; 1ST RECORD; GRYLLUS; PACIFIC; COLOR; URISTIDAE; PATTERNS</t>
  </si>
  <si>
    <t>The genus Eurythenes S.I. Smith in Scudder, 1882 was previously considered as consisting of three highly distinctive species: E. gryllus (Lichtenstein in Mandt, 1822), E. thurstoni Stoddart &amp; Lowry, 2004 and E. obesus (Chevreux, 1905). E. gryllus has been considered as a common cosmopolitan and eurybathic species recorded down to a depth of 7800 m. However, the analysis of DNA sequences (COI, 16S, 28S) of newly collected specimens combined with GenBank sequences revealed the existence of nine genetic lineages within E. gryllus sensu lato. Specimens were recovered by tree-construction methods in distinct, well-supported clades and were separated by genetic divergences in the same range as interspecific values documented for other lysianassoid species. Furthermore, in some cases, different lineages were found at the same sampling locality. Specimens of six of the nine clades were examined directly. With one exception, these clades are separated by small but consistent morphological differences. As a consequence, five morphospecies are recognized herein within the E. gryllus complex: E. andhakarae sp. nov. (West Antarctica, abyssal), E. gryllus (bipolar, bathyal), E. magellanicus H. Milne Edwards, 1848 (Cape Horn and Brazil Basin, abyssal), E. maldoror sp. nov. (nearly cosmopolitan, abyssal), E. sigmiferus sp. nov. (at least West Atlantic, possibly nearly cosmopolitan, abyssal).</t>
  </si>
  <si>
    <t>[d'Acoz, Cedric d'Udekem; Havermans, Charlotte] Royal Belgian Inst Nat Sci, B-1000 Brussels, Belgium</t>
  </si>
  <si>
    <t>Royal Belgian Institute of Natural Sciences</t>
  </si>
  <si>
    <t>d'Acoz, CD (corresponding author), Royal Belgian Inst Nat Sci, Rue Vautier 29, B-1000 Brussels, Belgium.</t>
  </si>
  <si>
    <t>cdudekem@naturalsciences.be; chavermans@naturalsciences.be</t>
  </si>
  <si>
    <t>Havermans, Charlotte/0000-0002-1126-4074</t>
  </si>
  <si>
    <t>Belgian Science Policy Office [BR/132/A1/vERSO]; Antarctic Science bursary</t>
  </si>
  <si>
    <t>Belgian Science Policy Office(Belgian Federal Science Policy Office); Antarctic Science bursary</t>
  </si>
  <si>
    <t>This paper has been written in the framework of an Action 1 research project Evolution of biodiversity patterns in shelf and abyssal liljeborgiid amphipods from the Polar Oceans and surrounding Seas of the first author, funded by the Federal Belgian Science Policy (contract number MO/36/022) and in the framework of a complementary Additional Scientist contract (first author, year 2014). This paper is the contribution no. 1 to the vERSO project (www.versoproject.be), funded by the Belgian Science Policy Office (contract no BR/132/A1/vERSO), in which the second author works as postdoc. Molecular work carried out by the second author was funded by an Antarctic Science bursary (2012). This publication is registered as CAML (Census of Antarctic Marine Life) publication No. 163 and contribution No. 202 to ANDEEP.</t>
  </si>
  <si>
    <t>JUN 10</t>
  </si>
  <si>
    <t>CK2DS</t>
  </si>
  <si>
    <t>WOS:000356021400001</t>
  </si>
  <si>
    <t>Richerson, K; Watters, GM; Santora, JA; Schroeder, ID; Mangel, M</t>
  </si>
  <si>
    <t>Richerson, Kate; Watters, George M.; Santora, Jarrod A.; Schroeder, Isaac D.; Mangel, Marc</t>
  </si>
  <si>
    <t>More than passive drifters: a stochastic dynamic model for the movement of Antarctic krill</t>
  </si>
  <si>
    <t>Euphausia superba; Behavior; Stochastic dynamic programming; Management; Advection; Southern Ocean</t>
  </si>
  <si>
    <t>SCALE MANAGEMENT UNITS; SOUTH SHETLAND ISLANDS; EUPHAUSIA-SUPERBA; SCOTIA SEA; VERTICAL MIGRATION; NORTHERN KRILL; VARIABILITY; PREDATORS; BEHAVIOR; GROWTH</t>
  </si>
  <si>
    <t>Antarctic krill Euphausia superba are a key part of the marine food web and are the target of the largest fishery in the Southern Ocean. Although ecosystem and management models typically assume that krill are passive drifters, their relatively large size and strong swimming ability suggest that the active movement of krill may play an important role in their spatial distribution. Thus, active swimming behavior by krill may influence spatial structure of food web interactions (e.g. feeding behavior of seabirds and marine mammals) and regional commercial fishery activity. The objective of this work was to model the potential for active movement to affect krill distribution, and consequently growth, reproductive success, and survival. We used state-dependent life history theory, implemented by stochastic dynamic programming, in combination with spatial information on food availability, current velocity, temperature, and predation risk, to predict krill swimming behavior near the northern Antarctic Peninsula. We found that including active krill behavior resulted in distribution patterns that are associated with increased survival, growth, and reproductive success compared to a model that treats krill as passive drifters. The expected reproductive success of actively behaving krill was about 70% greater than that of passively diffusing krill, suggesting that there are strong selective pressures for active behavior along oceanic drift trajectories. This modeling framework will benefit assessments of new catch limits as krill fishing grounds are partitioned into smaller spatial management units.</t>
  </si>
  <si>
    <t>[Richerson, Kate] Univ Calif Santa Cruz, Dept Ecol &amp; Evolutionary Biol, Santa Cruz, CA 95064 USA; [Richerson, Kate; Santora, Jarrod A.; Mangel, Marc] Univ Calif Santa Cruz, Dept Appl Math &amp; Stat, Ctr Stock Assessment Res, Santa Cruz, CA 95064 USA; [Watters, George M.] NOAA Fisheries, Antarctic Ecosyst Res Div, SW Fisheries Sci Ctr, La Jolla, CA 92037 USA; [Schroeder, Isaac D.] Univ Calif Santa Cruz, Div Phys &amp; Biol Sci, Santa Cruz, CA 95064 USA; [Schroeder, Isaac D.] NOAA Fisheries, Environm Res Div, SW Fisheries Sci Ctr, Pacific Grove, CA 93950 USA; [Mangel, Marc] Univ Bergen, Dept Biol, N-9020 Bergen, Norway</t>
  </si>
  <si>
    <t>University of California System; University of California Santa Cruz; University of California System; University of California Santa Cruz; National Oceanic Atmospheric Admin (NOAA) - USA; University of California System; University of California Santa Cruz; National Oceanic Atmospheric Admin (NOAA) - USA; University of Bergen</t>
  </si>
  <si>
    <t>Richerson, K (corresponding author), Univ Calif Santa Cruz, Dept Ecol &amp; Evolutionary Biol, Santa Cruz, CA 95064 USA.</t>
  </si>
  <si>
    <t>krichers@ucsc.edu</t>
  </si>
  <si>
    <t>NSF; Center for Stock Assessment Research; Southwest Fisheries Science Center; UC Santa Cruz</t>
  </si>
  <si>
    <t>NSF(National Science Foundation (NSF)); Center for Stock Assessment Research; Southwest Fisheries Science Center; UC Santa Cruz</t>
  </si>
  <si>
    <t>This work was partially supported by an NSF Graduate Research Fellowship to K.R. and by the Center for Stock Assessment Research, a training program between the Southwest Fisheries Science Center and UC Santa Cruz.</t>
  </si>
  <si>
    <t>JUN 8</t>
  </si>
  <si>
    <t>10.3354/meps11324</t>
  </si>
  <si>
    <t>CK2WU</t>
  </si>
  <si>
    <t>WOS:000356076000003</t>
  </si>
  <si>
    <t>Driscoll, RM; Reiss, CS; Hentschel, BT</t>
  </si>
  <si>
    <t>Driscoll, Ryan M.; Reiss, Christian S.; Hentschel, Brian T.</t>
  </si>
  <si>
    <t>Temperature-dependent growth of Thysanoessa macrura: inter-annual and spatial variability around Elephant Island, Antarctica</t>
  </si>
  <si>
    <t>Thysanoessa macrura; Temperature-dependent growth; Antarctica</t>
  </si>
  <si>
    <t>KRILL EUPHAUSIA-SUPERBA; LIFE-HISTORY; CHANGING CLIMATE; PHYTOPLANKTON; CRUSTACEA; PACIFICA; LENGTH; ZOOPLANKTON; PREDATORS; RESPONSES</t>
  </si>
  <si>
    <t>Somatic growth of pelagic invertebrates is controlled by temperature and food, both of which vary in space and time. Species-specific growth rate responses to environmental variability may affect populations through changes in reproductive potential; therefore, measuring spatial and temporal variability in growth rates of highly abundant zooplankton is critical to predict the impact of climate change on pelagic ecosystems. Here, we used length frequencies from bi-annual surveys conducted 1 month apart to estimate growth rates of one the most abundant euphausiids in the Southern Ocean, Thysanoessa macrura. We analyzed summer data from 4 separate years (1995, 1998, 2001, and 2004) that varied widely in temperature and primary production. Stations within the surveys were grouped by water characteristics: warm, low salinity Antarctic Circum polar Current (ACC) water, and cold, saline Bransfield Strait and Weddell Sea (MBW) water, to assess inter-annual and spatial variability in cohort growth. Mid-summer cohort growth rates of T. macrura varied between years and water masses, ranging from -0.037 mm d(-1) in MBW water in 2004 to 0.081 mm d(-1) in ACC water in 1995. Growth rates were faster in ACC water than in MBW water during all years. Growth rates were strongly correlated with temperature (R-2 = 0.82) but weakly correlated with copepod density (R-2 = 0.38), and were not correlated with chl a concentration (R-2 = 0.11). These results suggest that the growth rates of T. macrura may increase in regions exhibiting warming trends, such as the Antarctic Peninsula. This contrasts with published data on the growth rates of Euphausia superba, which is predicted to be impacted negatively by climate warming.</t>
  </si>
  <si>
    <t>[Driscoll, Ryan M.] Univ Calif Santa Cruz, Dept Ocean Sci, Santa Cruz, CA 95064 USA; [Driscoll, Ryan M.; Reiss, Christian S.] NOAA Fisheries, Antarctic Ecosyst Res Div, SW Fisheries Sci Ctr, La Jolla, CA 92037 USA; [Driscoll, Ryan M.; Hentschel, Brian T.] San Diego State Univ, Dept Biol, San Diego, CA 92182 USA; [Hentschel, Brian T.] San Diego State Univ, Coastal &amp; Marine Inst, San Diego, CA 92182 USA</t>
  </si>
  <si>
    <t>University of California System; University of California Santa Cruz; National Oceanic Atmospheric Admin (NOAA) - USA; California State University System; San Diego State University; California State University System; San Diego State University</t>
  </si>
  <si>
    <t>Driscoll, RM (corresponding author), Univ Calif Santa Cruz, Dept Ocean Sci, Santa Cruz, CA 95064 USA.</t>
  </si>
  <si>
    <t>rdriscol@ucsc.edu</t>
  </si>
  <si>
    <t>NOAA; SDSU</t>
  </si>
  <si>
    <t>NOAA(National Oceanic Atmospheric Admin (NOAA) - USA); SDSU</t>
  </si>
  <si>
    <t>This work represents part of a Master of Science thesis by the senior author. RMD thanks NOAA and SDSU for the financial support for the completion of this work. The authors thank the US AMLR Program, the crew and scientists, especially the zooplankton technicians, for their hard work collecting the years of quality data needed for this study. A special thanks to Dr. Valerie Loeb for her guidance and work in the field and to Rachel Pound for all her hours in the lab.</t>
  </si>
  <si>
    <t>10.3354/meps11291</t>
  </si>
  <si>
    <t>WOS:000356076000004</t>
  </si>
  <si>
    <t>Kruse, S; Pakhomov, EA; Hunt, BPV; Chikaraishi, Y; Ogawa, NO; Bathmann, U</t>
  </si>
  <si>
    <t>Kruse, Svenja; Pakhomov, Evgeny A.; Hunt, Brian P. V.; Chikaraishi, Yoshito; Ogawa, Nanako O.; Bathmann, Ulrich</t>
  </si>
  <si>
    <t>Uncovering the trophic relationship between Themisto gaudichaudii and Salpa thompsoni in the Antarctic Polar Frontal Zone</t>
  </si>
  <si>
    <t>Salps; Amphipods; Gut content; Nitrogen isotopic composition; Amino acids; Trophic position</t>
  </si>
  <si>
    <t>NITROGEN ISOTOPIC COMPOSITION; AQUATIC FOOD-WEB; SOUTHERN-OCEAN; AMINO-ACIDS; LAZAREV SEA; SUBTROPICAL CONVERGENCE; HYPERIID AMPHIPOD; ORGANIC-MATTER; STABLE-ISOTOPE; CARBON FLUX</t>
  </si>
  <si>
    <t>Trophic dynamics of 2 abundant macrozooplankton species Salpa thompsoni and Themisto gaudichaudii were studied during the austral summer at 2 locations near the Antarctic Polar Front with contrasting low and high chlorophyll a (chl a) concentrations. Compound-specific stable isotope analysis, complemented by gut content and bulk isotope analyses, were used to investigate trophic interactions between species, and to assess their trophic positions in the pelagic food web. The results of the compound-specific stable isotope analysis placed S. thompsoni at the second trophic level and approx. 1 trophic level below T. gaudichaudii. Two forms of T. gaudichaudii appeared to feed at different trophic levels, with T. gaudichaudii bispinosa feeding at a higher trophic level (similar to 3.3) than T. gaudichaudii compressa (similar to 2.8). Isotope data coupled with gut content analysis indicated a regular consumption of salps in both areas, although a higher contribution of gelatinous prey was encountered in a chl a poor area. The food web baseline values (bulk delta C-13) varied regionally, highlighting 2 independent food webs albeit with a similar trophic structure. Overall, our findings suggested that in areas where S. thompsoni is highly abundant, T. gaudichaudii may be a significant predator of this species.</t>
  </si>
  <si>
    <t>[Kruse, Svenja; Pakhomov, Evgeny A.; Hunt, Brian P. V.] Univ British Columbia, Dept Earth Ocean &amp; Atmospher Sci, Vancouver, BC V6T 1Z4, Canada; [Chikaraishi, Yoshito; Ogawa, Nanako O.] Japan Agcy Marine Earth Sci &amp; Technol, Yokosuka, Kanagawa 2370061, Japan; [Bathmann, Ulrich] Leibniz Inst Balt Sea Res, D-18119 Rostock, Germany</t>
  </si>
  <si>
    <t>University of British Columbia; Japan Agency for Marine-Earth Science &amp; Technology (JAMSTEC); Leibniz Institut fur Ostseeforschung Warnemunde</t>
  </si>
  <si>
    <t>Kruse, S (corresponding author), Univ British Columbia, Dept Earth Ocean &amp; Atmospher Sci, 2207 Main Mall, Vancouver, BC V6T 1Z4, Canada.</t>
  </si>
  <si>
    <t>enjak@web.de</t>
  </si>
  <si>
    <t>Chikaraishi, Yoshito/O-5250-2019; Bathmann, Ulrich/ISV-4351-2023; Ogawa, Nanako O./AAJ-6456-2020</t>
  </si>
  <si>
    <t>Chikaraishi, Yoshito/0000-0002-7506-1524; OGAWA, Nanako O/0000-0002-3823-6444</t>
  </si>
  <si>
    <t>Ale xander von Humboldt Foundation; FP7 Marie Curie fellowship [302010]</t>
  </si>
  <si>
    <t>Ale xander von Humboldt Foundation(Alexander von Humboldt Foundation); FP7 Marie Curie fellowship</t>
  </si>
  <si>
    <t>We thank the captain and the crew of the RV 'Polarstern' for their support in the collection of samples during ANT XXVIII-3. The research stay of S.K. at the University of British Columbia was supported by the Ale xander von Humboldt Foundation through a 2 yr Feodor Lynen Research Fellowship. B.P.V.H. was supported by an FP7 Marie Curie fellowship, project ISOZOO (no. 302010).</t>
  </si>
  <si>
    <t>10.3354/meps11288</t>
  </si>
  <si>
    <t>WOS:000356076000005</t>
  </si>
  <si>
    <t>Xing, S; Hou, XL; Aldahan, A; Possnert, G; Shi, KL; Yi, P; Zhou, WJ</t>
  </si>
  <si>
    <t>Xing, Shan; Hou, Xiaolin; Aldahan, Ala; Possnert, Goran; Shi, Keliang; Yi, Peng; Zhou, Weijian</t>
  </si>
  <si>
    <t>Iodine-129 in Snow and Seawater in the Antarctic: Level and Source</t>
  </si>
  <si>
    <t>ENVIRONMENTAL-SAMPLES; SPECIATION ANALYSIS; IODINE ISOTOPES; DEPOSITION; PRECIPITATION; RADIONUCLIDES; FALLOUT; WATERS; I-129/I-127; CESIUM-137</t>
  </si>
  <si>
    <t>Anthropogenic I-129 has been released to the environment in different ways and chemical species by human nuclear activities since the 1940s. These sources provide ideal tools to trace the dispersion of volatile pollutants in the atmosphere. Snow and seawater samples collected in Bellingshausen, Amundsen, and Ross Seas in Antarctica in 2011 were analyzed for I-129 and I-127, including organic forms; it was observed that I-129/I-127 atomic ratios in the Antarctic surface seawater ((6.1-13) x 10(-12)) are about 2 orders of magnitude lower than those in the Antarctic snow ((6.8-9.5) x 10(-1)0), but 4-6 times higher than the prenuclear level (1.5 x 10(-12)), indicating a predominantly anthropogenic source of I-129 in the Antarctic environment. The I-129 level in snow in Antarctica is 24 orders of magnitude lower than that in the Northern Hemisphere, but is not significantly higher than that observed in other sites in the Southern Hemisphere. This feature indicates that I-129 in Antarctic snow mainly originates from atmospheric nuclear weapons testing from 1945 to 1980; resuspension and re-emission of the fallout I-129 in the Southern Hemisphere maintains the I-129 level in the Antarctic atmosphere. I-129 directly released to the atmosphere and re-emitted marine discharged I-129 from reprocessing plants in Europe might not significantly disperse to Antarctica.</t>
  </si>
  <si>
    <t>[Xing, Shan; Hou, Xiaolin; Zhou, Weijian] Chinese Acad Sci, Inst Earth Environm, Shaanxi Key Lab Accelerator Mass Spectrometry Tec, Xian AMS Ctr,SKLLQG, Xian 710061, Peoples R China; [Hou, Xiaolin; Shi, Keliang] Tech Univ Denmark, Ctr Nucl Technol, DK-4000 Roskilde, Denmark; [Aldahan, Ala; Yi, Peng] United Arab Emirates Univ, Dept Geol, Al Ain, U Arab Emirates; [Possnert, Goran] Uppsala Univ, Tandem Lab, S-75120 Uppsala, Sweden; [Xing, Shan] Univ Chinese Acad Sci, Beijing 100049, Peoples R China; [Aldahan, Ala] Uppsala Univ, Dept Earth Sci, S-75120 Uppsala, Sweden; [Shi, Keliang] Lanzhou Univ, Sch Nucl Sci &amp; Technol, Lanzhou 73000, Peoples R China; [Yi, Peng] Hohai Univ, Coll Hydrol &amp; Water Resources, Nanjing 210098, Jiangsu, Peoples R China</t>
  </si>
  <si>
    <t>Chinese Academy of Sciences; Institute of Earth Environment, CAS; Technical University of Denmark; United Arab Emirates University; Uppsala University; Chinese Academy of Sciences; University of Chinese Academy of Sciences, CAS; Uppsala University; Lanzhou University; Hohai University</t>
  </si>
  <si>
    <t>Hou, XL (corresponding author), Chinese Acad Sci, Inst Earth Environm, Shaanxi Key Lab Accelerator Mass Spectrometry Tec, Xian AMS Ctr,SKLLQG, Xian 710061, Peoples R China.</t>
  </si>
  <si>
    <t>xiho@dtu.dk</t>
  </si>
  <si>
    <t>Zhou, Weijian/T-1412-2019; Hou, Xiaolin/A-1585-2008; Zhou, Weijian/D-3393-2015</t>
  </si>
  <si>
    <t>Zhou, Weijian/0000-0001-9641-5734; Hou, Xiaolin/0000-0002-4851-4858;</t>
  </si>
  <si>
    <t>National Natural Science Foundation of China [41271512]; Chinese Academy of Sciences [KZCX2-YW-147]; Ministry of Science and Technology of China [2012IM030200, 2015FY110800]</t>
  </si>
  <si>
    <t>National Natural Science Foundation of China(National Natural Science Foundation of China (NSFC)); Chinese Academy of Sciences(Chinese Academy of Sciences); Ministry of Science and Technology of China(Ministry of Science and Technology, China)</t>
  </si>
  <si>
    <t>Financial support from the National Natural Science Foundation of China (No. 41271512), the Chinese Academy of Sciences (Grant No. KZCX2-YW-147), and the Ministry of Science and Technology of China (No. 2012IM030200 and 2015FY110800) is gratefully acknowledged.</t>
  </si>
  <si>
    <t>JUN 2</t>
  </si>
  <si>
    <t>10.1021/acs.est.5b01234</t>
  </si>
  <si>
    <t>CJ8UN</t>
  </si>
  <si>
    <t>WOS:000355779100041</t>
  </si>
  <si>
    <t>De Simone, F; Cinnirella, S; Gencarelli, CN; Yang, X; Hedgecock, IM; Pirrone, N</t>
  </si>
  <si>
    <t>De Simone, Francesco; Cinnirella, Sergio; Gencarelli, Christian N.; Yang, Xin; Hedgecock, Ian M.; Pirrone, Nicola</t>
  </si>
  <si>
    <t>Model Study of Global Mercury Deposition from Biomass Burning</t>
  </si>
  <si>
    <t>SMOKE INJECTION HEIGHTS; EMISSIONS; FIRES; ATMOSPHERE; TRANSPORT; RESOLUTION; INVENTORY; OXIDATION; FOREST; IMPACT</t>
  </si>
  <si>
    <t>Mercury emissions from biomass burning are not well characterized and can differ significantly from year to year. This study utilizes three recent biomass burning inventories (FINNv1.0, GFEDv3.1, and GFASv1.0) and the global Hg chemistry model, ECHMERIT, to investigate the annual variation of Hg emissions, and the geographical distribution and magnitude of the resulting Hg deposition fluxes. The roles of the Hg/CO enhancement ratio, the emission plume injection height, the Hg-(g)(0) oxidation mechanism and lifetime, the inventory chosen, and the uncertainties with each were considered. The greatest uncertainties in the total Hg deposition were found to be associated with the Hg/CO enhancement ratio and the emission inventory employed. Deposition flux distributions proved to be more sensitive to the emission inventory and the oxidation mechanism chosen, than all the other model parametrizations. Over 75% of Hg emitted from biomass burning is deposited to the worlds oceans, with the highest fluxes predicted in the North Atlantic and the highest total deposition in the North Pacific. The net effect of biomass burning is to liberate Hg from lower latitudes and disperse it toward higher latitudes where it is eventually deposited.</t>
  </si>
  <si>
    <t>[De Simone, Francesco; Cinnirella, Sergio; Gencarelli, Christian N.; Hedgecock, Ian M.] UNICAL Polifunz, CNR, Inst Atmospher Pollut Res, Div Rende, I-87036 Arcavacata Di Rende, Italy; [Yang, Xin] British Antarctic Survey, Cambridge CB3 0ET, England; [Pirrone, Nicola] Area Ric Roma 1, CNR, Inst Atmospher Pollut Res, I-00015 Monterotondo, Rome, Italy</t>
  </si>
  <si>
    <t>Hedgecock, IM (corresponding author), UNICAL Polifunz, CNR, Inst Atmospher Pollut Res, Div Rende, I-87036 Arcavacata Di Rende, Italy.</t>
  </si>
  <si>
    <t>i.hedgecock@iia.cnr.it</t>
  </si>
  <si>
    <t>Pirrone, Nicola/IXD-5019-2023; CINNIRELLA, SERGIO/AAX-1934-2020; De Simone, Francesco/IZP-8333-2023; De Simone, Francesco/HDN-9081-2022; Yang, Xin/AGB-3514-2022; Hedgecock, Ian Michael/ITV-3348-2023</t>
  </si>
  <si>
    <t>CINNIRELLA, SERGIO/0000-0003-3251-5298; Yang, Xin/0000-0002-3838-9758; Hedgecock, Ian Michael/0000-0002-3743-1870; Gencarelli, Christian Natale/0000-0002-2366-661X; De Simone, Francesco/0000-0003-0252-2382</t>
  </si>
  <si>
    <t>EU [FP7-265113]; NERC [bas0100032, bas0100024] Funding Source: UKRI; Natural Environment Research Council [bas0100024, bas0100032] Funding Source: researchfish</t>
  </si>
  <si>
    <t>EU(European Union (EU)); NERC(UK Research &amp; Innovation (UKRI)Natural Environment Research Council (NERC)); Natural Environment Research Council(UK Research &amp; Innovation (UKRI)Natural Environment Research Council (NERC))</t>
  </si>
  <si>
    <t>We are grateful to Sebastian Rast and his staff at the Max Planck Institute for Meteorology in Hamburg, Germany for the distribution of their software ECHAMS and for providing the access to the processed ERA-INTERIM data. The research was performed in the framework of the EU project GMOS (FP7-265113). The authors would also like to thank the three anonymous referees whose helpful suggestions and comments contributed much to improving the original manuscript.</t>
  </si>
  <si>
    <t>10.1021/acs.est.5b00969</t>
  </si>
  <si>
    <t>WOS:000355779100043</t>
  </si>
  <si>
    <t>Higgins, JA; Kurbatov, AV; Spaulding, NE; Brook, E; Introne, DS; Chimiak, LM; Yan, YZ; Mayewski, PA; Bender, ML</t>
  </si>
  <si>
    <t>Higgins, John A.; Kurbatov, Andrei V.; Spaulding, Nicole E.; Brook, Ed; Introne, Douglas S.; Chimiak, Laura M.; Yan, Yuzhen; Mayewski, Paul A.; Bender, Michael L.</t>
  </si>
  <si>
    <t>Atmospheric composition 1 million years ago from blue ice in the Allan Hills, Antarctica</t>
  </si>
  <si>
    <t>climate change; glacial cycles; atmospheric CO2; ice cores; greenhouse gases</t>
  </si>
  <si>
    <t>CARBON-DIOXIDE CONCENTRATION; PAST 800,000 YEARS; EPICA DOME C; CLIMATE; TRANSITION; CORE; CO2; HISTORY; RECORD; LAND</t>
  </si>
  <si>
    <t>Here, we present direct measurements of atmospheric composition and Antarctic climate from the mid-Pleistocene (similar to 1 Ma) from ice cores drilled in the Allan Hills blue ice area, Antarctica. The 1-Ma ice is dated from the deficit in Ar-40 relative to the modern atmosphere and is present as a stratigraphically disturbed 12-m section at the base of a 126-m ice core. The 1-Ma ice appears to represent most of the amplitude of contemporaneous climate cycles and CO2 and CH4 concentrations in the ice range from 221 to 277 ppm and 411 to 569 parts per billion (ppb), respectively. These concentrations, together with measured delta D of the ice, are at the warm end of the field for glacial-interglacial cycles of the last 800 ky and span only about one-half of the range. The highest CO2 values in the 1-Ma ice fall within the range of interglacial values of the last 400 ka but are up to 7 ppm higher than any interglacial values between 450 and 800 ka. The lowest CO2 values are 30 ppm higher than during any glacial period between 450 and 800 ka. This study shows that the coupling of Antarctic temperature and atmospheric CO2 extended into the mid-Pleistocene and demonstrates the feasibility of discontinuously extending the current ice core record beyond 800 ka by shallow coring in Antarctic blue ice areas.</t>
  </si>
  <si>
    <t>[Higgins, John A.; Chimiak, Laura M.; Yan, Yuzhen; Bender, Michael L.] Princeton Univ, Dept Geosci, Princeton, NJ 08544 USA; [Kurbatov, Andrei V.; Spaulding, Nicole E.; Introne, Douglas S.; Mayewski, Paul A.] Univ Maine, Climate Change Inst, Orono, ME 04469 USA; [Kurbatov, Andrei V.; Mayewski, Paul A.] Univ Maine, Sch Earth &amp; Climate Sci, Orono, ME 04469 USA; [Brook, Ed] Oregon State Univ, Coll Earth Ocean &amp; Atmospher Sci, Corvallis, OR 97331 USA</t>
  </si>
  <si>
    <t>Princeton University; University of Maine System; University of Maine Orono; University of Maine System; University of Maine Orono; Oregon State University</t>
  </si>
  <si>
    <t>Higgins, JA (corresponding author), Princeton Univ, Dept Geosci, Princeton, NJ 08544 USA.</t>
  </si>
  <si>
    <t>jahiggin@princeton.edu</t>
  </si>
  <si>
    <t>Yan, Yuzhen/ABA-9897-2021; Mayewski, Paul Andrew/HRD-6969-2023</t>
  </si>
  <si>
    <t>Yan, Yuzhen/0000-0002-2612-8542; Spaulding, Nicole/0000-0001-5159-3078; Kurbatov, Andrei/0000-0002-9819-9251</t>
  </si>
  <si>
    <t>National Science Foundation [ANT-0838843, ANT-0838849]</t>
  </si>
  <si>
    <t>We would like to acknowledge US Ice Drilling Design and Operations (IDDO), driller Mike Waszkiewicz, Kristin Schild, Melissa Rohde, and Ken Borek Air for assistance with the field work. Mike Kalk and Haun Marcott assisted with the CO2 measurements. This work was funded by National Science Foundation Grants ANT-0838843 (University of Maine) and ANT-0838849 (Princeton University).</t>
  </si>
  <si>
    <t>10.1073/pnas.1420232112</t>
  </si>
  <si>
    <t>CJ9OO</t>
  </si>
  <si>
    <t>WOS:000355832200046</t>
  </si>
  <si>
    <t>Pastur, GM; Lencinas, MV; Gallo, E; de Cruz, M; Borla, ML; Esteban, RS; Anderson, CB</t>
  </si>
  <si>
    <t>Pastur, G. M.; Lencinas, M. V.; Gallo, E.; de Cruz, M.; Borla, M. L.; Esteban, R. S.; Anderson, C. B.</t>
  </si>
  <si>
    <t>Habitat-specific vegetation and seasonal drivers of bird community structure and function in southern Patagonian forests</t>
  </si>
  <si>
    <t>COMMUNITY ECOLOGY</t>
  </si>
  <si>
    <t>Diversity; Nothofagus; Tierra del Fuego National Park; Trophic ecology; Sub-Antarctic forests</t>
  </si>
  <si>
    <t>TIERRA-DEL-FUEGO; HORN BIOSPHERE RESERVE; NOTHOFAGUS-PUMILIO; AVIAN DIVERSITY; TIMBER QUALITY; ASSEMBLAGES; CONSERVATION; RETENTION; ABUNDANCE; RICHNESS</t>
  </si>
  <si>
    <t>Biodiversity conservation requires knowledge about the factors that influence the structure and function of biotic assemblages. In southern Patagonian Nothofagus forests, birds are the most abundant and diverse vertebrates and are known to have different requirements for nesting, breeding and feeding. Therefore, we chose this group to analyze key drivers of avian community dynamics; for conservation purposes, this information is requisite to manage Nothofagus forest landscapes and their associated biota. We first characterized forest structure and understory floristic composition in open and closed canopy broadleaved forests of mixed deciduous (MD) and mixed deciduous-evergreen (MDE) species on the southern coast of Tierra del Fuego National Park, Argentina. For each habitat, bird assemblages were assessed using point counts, checklists and mist-netting. We used ANOVAs and multivariate methods to analyze changes in bird species richness, density, and biomass as a function of habitat and seasonal characteristics. Forest structure and understory plant communities influenced avian assemblage and density; MDE forests had significantly greater species richness, but lower density than MD. Plus, particular species were associated with specific understory conditions, such as Anairetes parulus and Zonotrichia capensis whose presence was related to shrubs. Additionally, variations observed between seasons apparently were related to differential uses of each habitat type during certain times of year. Finally, it was not possible to define a single forest type with greater conservation value for birds; each had a specific bird species assemblage. Consequently, our results suggest the importance of a full representation of habitats to preserve the region's bird diversity, which also has been described for forest invertebrates and understory plants.</t>
  </si>
  <si>
    <t>[Pastur, G. M.; Lencinas, M. V.; Esteban, R. S.; Anderson, C. B.] Ctr Austral Invest Cient CADIC CONICET, Lab Recursos Agroforestales, RA-9410 Ushuaia, Tierra Del Fueg, Argentina; [Gallo, E.] Parque Nacl Tierra del Fuego APN, Ushuaia, Tierra Del Fueg, Argentina; [de Cruz, M.; Borla, M. L.] Magellan Nat Tours, Ushuaia, Tierra Del Fueg, Argentina; [Anderson, C. B.] Univ Nacl Tierra del Fuego, Inst Ciencias Polares Ambiente &amp; Recursos Nat, Ushuaia, Tierra Del Fueg, Argentina</t>
  </si>
  <si>
    <t>Anderson, CB (corresponding author), Ctr Austral Invest Cient CADIC CONICET, Lab Recursos Agroforestales, Houssay 200, RA-9410 Ushuaia, Tierra Del Fueg, Argentina.</t>
  </si>
  <si>
    <t>canderson@alumni.unc.edu</t>
  </si>
  <si>
    <t>Lencinas, Maria Vanessa/K-6208-2019; Anderson, Christopher B./L-3815-2014; Martínez Pastur, Guillermo J./H-8188-2014</t>
  </si>
  <si>
    <t>Lencinas, Maria Vanessa/0000-0002-2123-3976; Martínez Pastur, Guillermo J./0000-0003-2614-5403</t>
  </si>
  <si>
    <t>[APN-1094]</t>
  </si>
  <si>
    <t>The authors gratefully thank the Administracion de Parques Nacionales and the staff of Tierra del Fuego National Park. Project APN-1094 supported this research during 2010-2011, and APN has permitted this ongoing study.</t>
  </si>
  <si>
    <t>AKADEMIAI KIADO ZRT</t>
  </si>
  <si>
    <t>BUDAPEST</t>
  </si>
  <si>
    <t>BUDAFOKI UT 187-189-A-3, H-1117 BUDAPEST, HUNGARY</t>
  </si>
  <si>
    <t>1585-8553</t>
  </si>
  <si>
    <t>1588-2756</t>
  </si>
  <si>
    <t>COMMUNITY ECOL</t>
  </si>
  <si>
    <t>Community Ecol.</t>
  </si>
  <si>
    <t>JUN</t>
  </si>
  <si>
    <t>10.1556/168.2015.16.1.7</t>
  </si>
  <si>
    <t>CX8TX</t>
  </si>
  <si>
    <t>WOS:000365978200007</t>
  </si>
  <si>
    <t>Moll, E</t>
  </si>
  <si>
    <t>Moll, Ellen</t>
  </si>
  <si>
    <t>Gender, Authenticity, and Diasporic Identities in Adebayo's Moj of the Antarctic and Iizuka's 36 Views</t>
  </si>
  <si>
    <t>COMPARATIVE DRAMA</t>
  </si>
  <si>
    <t>Univ Maryland, College Pk, MD 20742 USA</t>
  </si>
  <si>
    <t>University System of Maryland; University of Maryland College Park</t>
  </si>
  <si>
    <t>Moll, E (corresponding author), Univ Maryland, College Pk, MD 20742 USA.</t>
  </si>
  <si>
    <t>WESTERN MICHIGAN UNIV</t>
  </si>
  <si>
    <t>KALAMAZOO</t>
  </si>
  <si>
    <t>DEPT ENGLISH, 1903 W MICHIGAN AVE, KALAMAZOO, MI 49008-5331 USA</t>
  </si>
  <si>
    <t>0010-4078</t>
  </si>
  <si>
    <t>1936-1637</t>
  </si>
  <si>
    <t>COMP DRAMA</t>
  </si>
  <si>
    <t>Comp. Drama</t>
  </si>
  <si>
    <t>SUM</t>
  </si>
  <si>
    <t>10.1353/cdr.2015.0014</t>
  </si>
  <si>
    <t>Theater</t>
  </si>
  <si>
    <t>Arts &amp; Humanities Citation Index (A&amp;HCI)</t>
  </si>
  <si>
    <t>CT0CH</t>
  </si>
  <si>
    <t>WOS:000362461000003</t>
  </si>
  <si>
    <t>Zhu, YQ; Toon, OB; Lambert, A; Kinnison, DE; Brakebusch, M; Bardeen, CG; Mills, MJ; English, JM</t>
  </si>
  <si>
    <t>Zhu, Yunqian; Toon, Owen B.; Lambert, Alyn; Kinnison, Douglas E.; Brakebusch, Matthias; Bardeen, Charles G.; Mills, Michael J.; English, Jason M.</t>
  </si>
  <si>
    <t>Development of a Polar Stratospheric Cloud Model within the Community Earth System Model using constraints on Type I PSCs from the 2010-2011 Arctic winter</t>
  </si>
  <si>
    <t>NITRIC-ACID TRIHYDRATE; LARGE HNO3-CONTAINING PARTICLES; CHEMICAL-TRANSPORT MODEL; OZONE LOSS; ATMOSPHERIC CHEMISTRY; CHLORINE ACTIVATION; HETEROGENEOUS REACTIONS; PHYSICAL PROCESSES; ICE PARTICLES; NAT FORMATION</t>
  </si>
  <si>
    <t>Polar stratospheric clouds (PSCs) are critical elements of Arctic and Antarctic ozone depletion. We establish a PSC microphysics model using coupled chemistry, climate, and microphysics models driven by specific dynamics. We explore the microphysical formation and evolution of STS (Supercooled Ternary Solution) and NAT (Nitric Acid Trihydrate). Characteristics of STS particles dominated by thermodynamics compare well with observations. For example, the mass of STS is close to the thermodynamic equilibrium assumption when the particle surface area is &gt;4 mu m(2)/cm(3). We derive a new nucleation rate equation for NAT based on observed denitrification in the 2010-2011 Arctic winter. The homogeneous nucleation scheme leads to supermicron NAT particles as observed. We also find that as the number density of NAT particles increases, the denitrification also increases. Simulations of the PSC lidar backscatter, denitrification, and gas phase species are generally within error bars of the observations. However, the simulations are very sensitive to temperature, which limits our ability to fully constrain some parameters (e.g., denitrification, ozone amount) based on observations.</t>
  </si>
  <si>
    <t>[Zhu, Yunqian; Toon, Owen B.; Brakebusch, Matthias; English, Jason M.] Univ Colorado, Lab Atmospher &amp; Space Phys, Dept Atmospher &amp; Ocean Sci, Boulder, CO 80309 USA; [Lambert, Alyn] CALTECH, Jet Prop Lab, Pasadena, CA USA; [Kinnison, Douglas E.; Bardeen, Charles G.; Mills, Michael J.] Natl Ctr Atmospher Res, Boulder, CO 80307 USA</t>
  </si>
  <si>
    <t>University of Colorado System; University of Colorado Boulder; California Institute of Technology; National Aeronautics &amp; Space Administration (NASA); NASA Jet Propulsion Laboratory (JPL); National Center Atmospheric Research (NCAR) - USA</t>
  </si>
  <si>
    <t>Zhu, YQ (corresponding author), Univ Colorado, Lab Atmospher &amp; Space Phys, Dept Atmospher &amp; Ocean Sci, Boulder, CO 80309 USA.</t>
  </si>
  <si>
    <t>yunqian.zhu@colorado.edu</t>
  </si>
  <si>
    <t>Lambert, Alyn/I-8415-2014; ENGLISH, JASON/E-9365-2015; Mills, Michael/B-5068-2010</t>
  </si>
  <si>
    <t>Lambert, Alyn/0000-0003-3182-1824; ENGLISH, JASON/0000-0001-9700-6860; Mills, Michael/0000-0002-8054-1346; ZHU, YUNQIAN/0000-0001-7751-397X</t>
  </si>
  <si>
    <t>NASA [NNX09AK71G]; AURA satellite project; National Science Foundation; National Science Foundation [CNS-0821794]; University of Colorado Boulder; NASA [NNX09AK71G, 114761] Funding Source: Federal RePORTER</t>
  </si>
  <si>
    <t>NASA(National Aeronautics &amp; Space Administration (NASA)); AURA satellite project; National Science Foundation(National Science Foundation (NSF)); National Science Foundation(National Science Foundation (NSF)); University of Colorado Boulder; NASA(National Aeronautics &amp; Space Administration (NASA))</t>
  </si>
  <si>
    <t>MIPAS data are from the MIPAS2D database (www.isac.cnr.it/similar to rss/mipas2d.htm). We thank E. Arnone for his help with the MIPAS data. Data are provided courtesy of the National Centre for Earth Observation via the NERC Earth Observation Data Centre (NEODC). The work at the University of Colorado was supported by NASA grant NNX09AK71G, as well as a grant from the AURA satellite project. Work at the Jet Propulsion Laboratory, California Institute of Technology, was carried out under a contract with the National Aeronautics and Space Administration. We thank Lynn Harvey for her help with the MLS data. We thank Michael Pitts for his help with the CALIPSO PSC cloud coverage retrieval. We thank Stephan Borrmann and his group for their help with the PSC size data from the RECONCILE campaign. This work utilized the Yellowstone and Janus supercomputer. We would like to acknowledge high-performance computing support from Yellowstone (ark:/85065/d7wd3xhc) provided by NCAR's Computational and Information Systems Laboratory, sponsored by the National Science Foundation. Janus is supported by the National Science Foundation (award CNS-0821794) and the University of Colorado Boulder. The Janus supercomputer is a joint effort of the University of Colorado Boulder, the University of Colorado Denver and the National Center for Atmospheric Research.</t>
  </si>
  <si>
    <t>10.1002/2015MS000427</t>
  </si>
  <si>
    <t>CQ7ZH</t>
  </si>
  <si>
    <t>WOS:000360825000010</t>
  </si>
  <si>
    <t>Suganuma, Y; Okada, M; Horie, K; Kaiden, H; Takehara, M; Senda, R; Kimura, J; Kawamura, K; Haneda, Y; Kazaoka, O; Head, MJ</t>
  </si>
  <si>
    <t>Suganuma, Yusuke; Okada, Makoto; Horie, Kenji; Kaiden, Hiroshi; Takehara, Mami; Senda, Ryoko; Kimura, Jun-Ichi; Kawamura, Kenji; Haneda, Yuki; Kazaoka, Osamu; Head, Martin J.</t>
  </si>
  <si>
    <t>Age of Matuyama-Brunhes boundary constrained by U-Pb zircon dating of a widespread tephra</t>
  </si>
  <si>
    <t>MAGNETIZATION LOCK-IN; GEOMAGNETIC REVERSAL; KAZUSA GROUP; MARINE; ICE; INSTABILITY; CHRONOLOGY; BE-10</t>
  </si>
  <si>
    <t>The youngest geomagnetic polarity reversal, the Matuyama-Brunhes boundary (MBB), provides an important datum plane for sediments, ice cores, and lavas. Its frequently cited age of 780 ka is based on orbital tuning of marine sedimentary records, and is supported by 40Ar/39Ar dating of Hawaiian lavas using recent age calibrations. Challenging this age, however, are reports of younger astrochronological ages based on oxygen isotope stratigraphy of high-sedimentation-rate marine records, and cosmogenic nuclides in marine sediments and an Antarctic ice core. Here, we present a U-Pb zircon age of 772.7 +/- 7.2 ka from a marine-deposited tephra just below the MBB in a forearc basin in Japan. U-Pb dating has a distinct advantage over 40Ar/39Ar dating in that it is relatively free from assumptions regarding standardization and decay constants. This U-Pb zircon age, coupled with a newly obtained oxygen isotope chronology, yields an MBB age of 770.2 +/- 7.3 ka. Our MBB age is consistent with those based on the latest orbitally tuned marine sediment records and on an Antarctic ice core. We provide the first direct comparison between orbital tuning, U-Pb dating, and magnetostratigraphy for the MBB, fulfilling a key requirement in calibrating the geological time scale.</t>
  </si>
  <si>
    <t>[Suganuma, Yusuke; Horie, Kenji; Kaiden, Hiroshi; Takehara, Mami; Kawamura, Kenji] Natl Inst Polar Res, Tachikawa, Tokyo 1908518, Japan; [Suganuma, Yusuke; Horie, Kenji; Kaiden, Hiroshi; Kawamura, Kenji] Grad Univ Adv Studies, SOKENDAI, Dept Polar Sci, Tachikawa, Tokyo 1908518, Japan; [Okada, Makoto; Haneda, Yuki] Ibaraki Univ, Dept Earth Sci, Mito, Ibaraki 3108512, Japan; [Horie, Kenji; Senda, Ryoko; Kimura, Jun-Ichi; Kawamura, Kenji] Japan Agcy Marine Earth Sci &amp; Technol JAMSTEC, Yokosuka, Kanagawa 2370061, Japan; [Takehara, Mami] Kyushu Univ, Dept Earth &amp; Planetary Sci, Fukuoka 8128581, Japan; [Kazaoka, Osamu] Res Inst Environm Geol, Chiba 2610005, Japan; [Head, Martin J.] Brock Univ, Dept Earth Sci, St Catharines, ON L2S 3A1, Canada</t>
  </si>
  <si>
    <t>Research Organization of Information &amp; Systems (ROIS); National Institute of Polar Research (NIPR) - Japan; Graduate University for Advanced Studies - Japan; Ibaraki University; Japan Agency for Marine-Earth Science &amp; Technology (JAMSTEC); Kyushu University; Brock University</t>
  </si>
  <si>
    <t>Suganuma, Y (corresponding author), Natl Inst Polar Res, Tachikawa, Tokyo 1908518, Japan.</t>
  </si>
  <si>
    <t>suganuma.yusuke@nipr.ac.jp</t>
  </si>
  <si>
    <t>Horie, Kenji/ABH-8197-2020; Okada, Makoto/AAZ-2715-2021; Haneda, Yuki/AAZ-7415-2021; Takehara, Mami/ABH-8196-2020; Kawamura, Kenji/C-7660-2011</t>
  </si>
  <si>
    <t>Okada, Makoto/0000-0001-5856-1925; Takehara, Mami/0000-0003-4677-5568; Kawamura, Kenji/0000-0003-1163-700X; Kimura, Jun-Ichi/0000-0002-2677-515X; suganuma, yusuke/0000-0003-3516-1317; Haneda, Yuki/0000-0002-5174-2587</t>
  </si>
  <si>
    <t>National Institute of Polar Research (NIPR), Japan; Japan Society for the Promotion of Science (KAKENHI) [22340154, 26870073, 26241011, 21671001]; Kochi Core Center through a joint use system [14A017, 14A018, 13A032, 13B026]; NIPR publication subsidy; Grants-in-Aid for Scientific Research [25241005, 22340154, 21671001, 26241011, 26870073, 25287132] Funding Source: KAKEN</t>
  </si>
  <si>
    <t>National Institute of Polar Research (NIPR), Japan(National Institute of Polar Research (NIPR) - Japan); Japan Society for the Promotion of Science (KAKENHI)(Ministry of Education, Culture, Sports, Science and Technology, Japan (MEXT)Japan Society for the Promotion of ScienceGrants-in-Aid for Scientific Research (KAKENHI)); Kochi Core Center through a joint use system; NIPR publication subsidy; Grants-in-Aid for Scientific Research(Ministry of Education, Culture, Sports, Science and Technology, Japan (MEXT)Japan Society for the Promotion of ScienceGrants-in-Aid for Scientific Research (KAKENHI))</t>
  </si>
  <si>
    <t>This study received funding from the National Institute of Polar Research (NIPR), Japan, and the Japan Society for the Promotion of Science (KAKENHI grants 22340154, 26870073, 26241011, and 21671001). We thank Kenichiro Tani and Toru Maruoka for assistance with measurements, and Minoru Ikehara and Yuhji Yamamoto who supported the isotopic and rock magnetic measurements at the Kochi Core Center through a joint use system (grants 14A017, 14A018, 13A032 and 13B026). This study was supported by an NIPR publication subsidy. Constructive comments by Ellen Thomas, Andy Roberts, Brian Jicha, and an anonymous reviewer are greatly appreciated.</t>
  </si>
  <si>
    <t>10.1130/G36625.1</t>
  </si>
  <si>
    <t>CN6VN</t>
  </si>
  <si>
    <t>WOS:000358572600011</t>
  </si>
  <si>
    <t>Egorova, EN</t>
  </si>
  <si>
    <t>Egorova, E. N.</t>
  </si>
  <si>
    <t>FOSSIL BIVALVES IN MARINE DEPOSITS OF THE VESTFOLD HILLS (EASTERN ANTARCTICA)</t>
  </si>
  <si>
    <t>bivalves; marine deposits; Pleistocene-Holocene; Vestfold Hills; Prudz Bay</t>
  </si>
  <si>
    <t>LAST GLACIAL MAXIMUM; ICE-SHEET; LATE PLEISTOCENE; HISTORY; ISLAND; COASTLINE; SEDIMENTS; CLIMATE; VALLEY</t>
  </si>
  <si>
    <t>Fossil bivalves were collected in marine deposits on lake terraces at the Vestfold Hills during the 55th Russian Antarctic expedition (2009-2010). They belong to 5 species. Presently, four of these species (Latemula elliptica, Thracia meridionalis, Adamussium colbecki, Philobrya sublaevis) are widespread on the Antarctic continent. L. elliptica is the most abundant species in the Holocene sediments: shells and their fragments were found in 7 of 8 samples. All four species were met only in one sample collected in the Deep Lake area. The fifth species, Ruthipecten tuftsensis (Turner 1967) known only from the Wright Valley (Victoria Land, McMurdo Sound) and the Vestfold Hills was also found in our material from the Pleistocene sediments of the Marine Plain. This species is absent on the Antarctic continental shelf at the present time. The presence of fossil bivalves in the Late Cenozoic marine deposits under the recent sea level is an obvious evidence of climatic and oceanic fluctuations.</t>
  </si>
  <si>
    <t>Russian Acad Sci, Inst Zool, St Petersburg 199034, Russia</t>
  </si>
  <si>
    <t>Russian Academy of Sciences; Zoological Institute of the Russian Academy of Sciences</t>
  </si>
  <si>
    <t>Egorova, EN (corresponding author), Russian Acad Sci, Inst Zool, St Petersburg 199034, Russia.</t>
  </si>
  <si>
    <t>antmol@zin.ru</t>
  </si>
  <si>
    <t>Egorova, Ekaterina N/T-5737-2018</t>
  </si>
  <si>
    <t>10.7868/S0044513415060082</t>
  </si>
  <si>
    <t>CN6PT</t>
  </si>
  <si>
    <t>WOS:000358557400002</t>
  </si>
  <si>
    <t>Roessler, A; Rhein, M; Kieke, D; Mertens, C</t>
  </si>
  <si>
    <t>Roessler, Achim; Rhein, Monika; Kieke, Dagmar; Mertens, Christian</t>
  </si>
  <si>
    <t>Long-term observations of North Atlantic Current transport at the gateway between western and eastern Atlantic</t>
  </si>
  <si>
    <t>inverted echo sounder; Gravest Empirical Mode; North Atlantic Current; North Atlantic Oscillation; satellite altimetry; subpolar gyre</t>
  </si>
  <si>
    <t>INVERTED ECHO SOUNDERS; FLORIDA CURRENT TRANSPORT; ARGO PROFILING FLOATS; SUB-ANTARCTIC FRONT; SUBPOLAR GYRE; GULF-STREAM; NEWFOUNDLAND BASIN; BOUNDARY CURRENT; CAPE-HATTERAS; TIME-SERIES</t>
  </si>
  <si>
    <t>In the western North Atlantic, warm and saline water is brought by the North Atlantic Current (NAC) from the subtropics into the subpolar gyre. Four inverted echo sounders with high precision pressure sensors (PIES) were moored between 47 degrees 40N and 52 degrees 30N to study the main pathways of the NAC from the western into the eastern basin. The array configuration that forms three segments (northern, central, and southern) allows partitioning of the NAC and some assessment of NAC flow paths through the different Mid-Atlantic Ridge fracture zones. We exploit the correlation between the NAC transport measured between 2006 and 2010 and the geostrophic velocity from altimeter data to extend the time series of NAC transports to the period from 1992 to 2013. The mean NAC transport over the entire 21 years is 275 Sv, consisting of 60% warm water of subtropical origin and 40% subpolar water. We did not find a significant trend in the total transport time series, but individual segments had opposing trends, leading to a more focused NAC in the central subsection and decreasing transports in the southern and northern segments. The spectral analysis exhibits several significant peaks. The two most prominent are around 120 days, identified as the time scale of meanders and eddies, and at 4-9 years, most likely related to the NAO. Transport composites for the years of highest and lowest NAO indices showed a significantly higher transport (+2.9 Sv) during strong NAO years, mainly in the southern segment.</t>
  </si>
  <si>
    <t>[Roessler, Achim; Rhein, Monika; Kieke, Dagmar; Mertens, Christian] Univ Bremen, Inst Environm Phys, D-28359 Bremen, Germany; [Roessler, Achim; Rhein, Monika; Kieke, Dagmar; Mertens, Christian] Univ Bremen, MARUM Ctr Marine Environm Sci, D-28359 Bremen, Germany</t>
  </si>
  <si>
    <t>University of Bremen; University of Bremen</t>
  </si>
  <si>
    <t>Roessler, A (corresponding author), Univ Bremen, Inst Environm Phys, D-28359 Bremen, Germany.</t>
  </si>
  <si>
    <t>a.roessler@uni-bremen.de</t>
  </si>
  <si>
    <t>; Rhein, Monika/P-1969-2016</t>
  </si>
  <si>
    <t>Kieke, Dagmar/0000-0002-2414-0695; Roessler, Achim/0000-0001-5322-1059; Rhein, Monika/0000-0003-1496-2828</t>
  </si>
  <si>
    <t>NASA; Cooperative Project Nordatlantik - German Federal Ministry for Education and Research [03F0443C, 03F0605C]; Cooperative Project RACE - German Federal Ministry for Education and Research [03F0443C, 03F0605C]; Excellence Cluster MARUM; Deutsche Forschungsgemeinschaft</t>
  </si>
  <si>
    <t>NASA(National Aeronautics &amp; Space Administration (NASA)); Cooperative Project Nordatlantik - German Federal Ministry for Education and Research; Cooperative Project RACE - German Federal Ministry for Education and Research; Excellence Cluster MARUM; Deutsche Forschungsgemeinschaft(German Research Foundation (DFG))</t>
  </si>
  <si>
    <t>We thank Christopher Meinen, Atlantic Oceanographic and Meteorological Laboratory, Miami, Florida, USA, for the assistance and discussions concerning the PIES and the GEM technique. The assistance and technical support from the ship crews of RV Maria S. Merian and RV Meteor are gratefully acknowledged. Argo data were collected and made freely available by the International Argo Program and the national programs that contribute to it (http://www.argo.ucsd.edu and http://argo.jcommops.org). The Argo Program is part of the Global Ocean Observing System. We thank Birgit Klein, Federal Institute of Hydrography (BSH), Hamburg, Germany, for kindly providing quality controlled Argo data from the North Atlantic. This subset was downloaded from the Coriolis data repository on 1 January 2012. The altimeter products were produced by Ssalto/Duacs and distributed by Aviso with support from CLS-Cnes (http://www.aviso.oceanobs.com/duacs/). The NAO index was calculated based on monthly NAO data provided by the Climatic Research Unit, University of East Anglia, UK, from their Web site at http://www.cru.uea.ac.uk/cru/data/nao/ and updated with the data from Tim Osborn's Web site at http://www.cru.uea.ac.uk/similar to timo/datapages/naoi.htm. The QuikScat and ASCAT data are produced by Remote Sensing Systems and sponsored by the NASA Ocean Vector Winds Science Team. The data were downloaded from http://www.ifremer.fr/cersat. PIES and shipboard CTD data will be curated by the authors and made available to everyone upon request. We thank two anonymous reviewers for their valuable and helpful comments. This work was supported by the Cooperative Projects Nordatlantik and RACE (grants 03F0443C and 03F0605C, M.R.) funded by the German Federal Ministry for Education and Research, by the Excellence Cluster MARUM (M.R.) and several grants funded by the Deutsche Forschungsgemeinschaft (M.R.).</t>
  </si>
  <si>
    <t>10.1002/2014JC010662</t>
  </si>
  <si>
    <t>CN0SP</t>
  </si>
  <si>
    <t>WOS:000358124100008</t>
  </si>
  <si>
    <t>Kelly, P; Clementson, L; Lyne, V</t>
  </si>
  <si>
    <t>Kelly, Paige; Clementson, Lesley; Lyne, Vincent</t>
  </si>
  <si>
    <t>Decadal and seasonal changes in temperature, salinity, nitrate, and chlorophyll in inshore and offshore waters along southeast Australia</t>
  </si>
  <si>
    <t>EAC; sub-Antarctic; Port Hacking; Maria Island; seasonal cycle; Tasman Front; southeast Australia</t>
  </si>
  <si>
    <t>INTERANNUAL VARIABILITY; EAST-COAST; CLIMATE; EDDY; ENRICHMENT; TASMANIA; BIOMASS; SYSTEM; OCEAN; BAY</t>
  </si>
  <si>
    <t>Sixty years of oceanographic in situ data at Port Hacking (34 degrees S) and Maria Island (42 degrees S) and 15 years of satellite-derived chlorophyll a (chl a) in inshore and offshore waters of southeast Australia show changes in the seasonality and trend of water properties consistent with long-term intensification and southerly extensions of East Australian Current (EAC) water. Decadal analyses reveal that the EAC extension water at Maria Island increased gradually from the 1940s to 1980s, followed by a rapid increase since the 1990s. This acceleration coincided with enhanced winter nitrate, implying increased injections of subantarctic water at Maria Island. Satellite-derived chl a at six coastal sites and offshore companion sites in the western Tasman Sea showed significant inshore-offshore variations in seasonal cycle and long-term trend. After 2004-2005, the Maria Island seasonal cycle became increasingly similar to those of Bass Strait and St. Helens, suggesting that the EAC extension water was extending further southward. Comparative analyses of inshore-offshore sites showed that the presence of EAC extension water declined offshore. Seasonal cycles at Maria Island show a recent shift away from the traditional spring bloom, toward increased winter biomass, and enhanced primary productivity consistent with extensions of warm, energetic EAC extension water and more frequent injections of cooler, fresher nitrate-replete waters. Overall, we find complex temporal, latitudinal, and inshore-offshore changes in multiple water masses, particularly at Maria Island, and changes in primary productivity that will profoundly impact fisheries and ecosystems.</t>
  </si>
  <si>
    <t>[Kelly, Paige; Clementson, Lesley; Lyne, Vincent] CSIRO Oceans &amp; Atmosphere, Hobart, Tas, Australia; [Kelly, Paige] Univ Tasmania, Inst Marine &amp; Antarct Studies, Hobart, Tas, Australia; [Lyne, Vincent] Scimatrix Consulting Grp, Mt Nelson, Tas, Australia</t>
  </si>
  <si>
    <t>Commonwealth Scientific &amp; Industrial Research Organisation (CSIRO); University of Tasmania</t>
  </si>
  <si>
    <t>Kelly, P (corresponding author), CSIRO Oceans &amp; Atmosphere, Hobart, Tas, Australia.</t>
  </si>
  <si>
    <t>kellyps@utas.edu.au</t>
  </si>
  <si>
    <t>Clementson, Lesley A/M-6905-2013; Lyne, Vincent/O-2110-2016</t>
  </si>
  <si>
    <t>Clementson, Lesley/0000-0003-4415-993X; Lyne, Vincent/0000-0002-7718-4050</t>
  </si>
  <si>
    <t>CSIRO</t>
  </si>
  <si>
    <t>CSIRO(Commonwealth Scientific &amp; Industrial Research Organisation (CSIRO))</t>
  </si>
  <si>
    <t>The authors thank Ken Ridgway and Kah Kiat Hong for insightful discussions, and Mark Baird and George Cresswell for helpful revisions of the original manuscript. The European Space Agency's Hermes GlobColour site (e-mail: Globcolour_order@globcolour.info) for the supply of the merged satellite chl a data used in this study, The Integrated Marine Observation System (IMOS) (e-mail: imos@imos.org.au) for the supply of temperature, salinity, and nitrate data used in this study, and Louise Bell for assistance with figure production. Paige Kelly was supported by a CSIRO vacation scholarship during this study.</t>
  </si>
  <si>
    <t>10.1002/2014JC010646</t>
  </si>
  <si>
    <t>WOS:000358124100019</t>
  </si>
  <si>
    <t>Makowski, JK; Chambers, DP; Bonin, JA</t>
  </si>
  <si>
    <t>Makowski, Jessica K.; Chambers, Don P.; Bonin, Jennifer A.</t>
  </si>
  <si>
    <t>Using ocean bottom pressure from the gravity recovery and climate experiment (GRACE) to estimate transport variability in the southern Indian Ocean</t>
  </si>
  <si>
    <t>Antarctic circumpolar current; Southern Ocean; GRACE; ocean bottom pressure</t>
  </si>
  <si>
    <t>ANTARCTIC CIRCUMPOLAR CURRENT; DRAKE PASSAGE; ANNULAR MODE; SEA; CIRCULATION; WIND; FLUCTUATIONS; TRENDS; AUSTRALIA; EDDIES</t>
  </si>
  <si>
    <t>Previous studies have suggested that ocean bottom pressure (OBP) from the Gravity Recovery and Climate Experiment (GRACE) can be used to measure the depth-averaged, or barotropic, transport variability of the Antarctic Circumpolar Current (ACC). Here, we use GRACE OBP observations to calculate transport variability in a region of the southern Indian Ocean encompassing the major fronts of the ACC. We use a statistical analysis of a simulated GRACE-like data set to determine the uncertainty of the estimated transport for the 2003.0-2013.0 time period. We find that when the transport is averaged over 60 degrees of longitude, the uncertainty (one standard error) is close to 1 Sv (1 Sv=10(6) m(3) s(-1)) for low-pass filtered transport, which is significantly smaller than the signal and lower than previous studies have found. The interannual variability is correlated with the Southern Annual mode (SAM) (0.61), but more highly correlated with circumpolar zonally averaged winds between 45 degrees S and 65 degrees S (0.88). GRACE transport reflects significant changes in transport between 2007 and 2009 that is observed in the zonal wind variations but not in the SAM index. We also find a statistically significant trend in transport (-1.00.4 Sv yr(-1), 90% confidence) that is correlated with a local deceleration in zonal winds related to an asymmetry in the SAM on multidecadal periods.</t>
  </si>
  <si>
    <t>[Makowski, Jessica K.; Chambers, Don P.; Bonin, Jennifer A.] Univ S Florida, Coll Marine Sci, St Petersburg, FL 33701 USA</t>
  </si>
  <si>
    <t>Makowski, JK (corresponding author), Univ S Florida, Coll Marine Sci, St Petersburg, FL 33701 USA.</t>
  </si>
  <si>
    <t>jmakowski@mail.usf.edu</t>
  </si>
  <si>
    <t>Chambers, Don/0000-0002-5439-0257</t>
  </si>
  <si>
    <t>NASA [NNX12AL28G]</t>
  </si>
  <si>
    <t>NASA(National Aeronautics &amp; Space Administration (NASA))</t>
  </si>
  <si>
    <t>GRACE and JPL_ECCO ocean bottom pressure products were made available by the NASA MEASURES Program, and are available at http://GRACE.jpl.nasa.gov. The Cross-Calibrated Multi-Platform (CCMP) Ocean Surface Wind data were also created under the NASA MEASURES program, and are available from http://podaac.jpl.nasa.gov. ECCO2 data were made available from http://ecco2.jpl.nasa.gov. This research was funded through NASA Grant NNX12AL28G.</t>
  </si>
  <si>
    <t>10.1002/2014JC010575</t>
  </si>
  <si>
    <t>WOS:000358124100020</t>
  </si>
  <si>
    <t>Oliveira, DM; Raeder, J</t>
  </si>
  <si>
    <t>Oliveira, Denny M.; Raeder, Joachim</t>
  </si>
  <si>
    <t>Impact angle control of interplanetary shock geoeffectiveness: A statistical study</t>
  </si>
  <si>
    <t>interplanetary shocks; substorms</t>
  </si>
  <si>
    <t>MULTIPLE SPACECRAFT OBSERVATIONS; GEOMAGNETIC-ACTIVITY; SUDDEN COMMENCEMENT; SOLAR-ACTIVITY; WIND; FIELDS; DISCONTINUITIES; PARAMETERS; SUBSTORMS; MINIMUM</t>
  </si>
  <si>
    <t>We present a survey of interplanetary (IP) shocks using Wind and ACE satellite data from January 1995 to December 2013 to study how IP shock geoeffectiveness is controlled by IP shock impact angles. A shock list covering one and a half solar cycle is compiled. The yearly number of IP shocks is found to correlate well with the monthly sunspot number. We use data from SuperMAG, a large chain with more than 300 geomagnetic stations, to study geoeffectiveness triggered by IP shocks. The SuperMAG SML index, an enhanced version of the familiar AL index, is used in our statistical analysis. The jumps of the SML index triggered by IP shock impacts on the Earth's magnetosphere are investigated in terms of IP shock orientation and speed. We find that, in general, strong (high speed) and almost frontal (small impact angle) shocks are more geoeffective than inclined shocks with low speed. The strongest correlation (correlation coefficient R = 0.78) occurs for fixed IP shock speed and for varied IP shock impact angle. We attribute this result, predicted previously with simulations, to the fact that frontal shocks compress the magnetosphere symmetrically from all sides, which is a favorable condition for the release of magnetic energy stored in the magnetotail, which in turn can produce moderate to strong auroral substorms, which are then observed by ground-based magnetometers.</t>
  </si>
  <si>
    <t>[Oliveira, Denny M.; Raeder, Joachim] Univ New Hampshire, Dept Phys, Durham, NH 03824 USA; [Oliveira, Denny M.; Raeder, Joachim] Univ New Hampshire, EOS Space Sci Ctr, Durham, NH 03824 USA</t>
  </si>
  <si>
    <t>University System Of New Hampshire; University of New Hampshire; University System Of New Hampshire; University of New Hampshire</t>
  </si>
  <si>
    <t>Oliveira, DM (corresponding author), Univ New Hampshire, Dept Phys, Durham, NH 03824 USA.</t>
  </si>
  <si>
    <t>dmz224@wildcats.unh.edu</t>
  </si>
  <si>
    <t>Oliveira, Denny M/B-9818-2015</t>
  </si>
  <si>
    <t>Oliveira, Denny M/0000-0003-2078-7229</t>
  </si>
  <si>
    <t>NASA [NNX13AK31G]; National Science Foundation [AGS-1143895]; Air Force Office of Sponsored Research [FA-9550-120264]; Direct For Mathematical &amp; Physical Scien; Division Of Physics [1229408] Funding Source: National Science Foundation; Directorate For Geosciences; Div Atmospheric &amp; Geospace Sciences [1303579] Funding Source: National Science Foundation; Directorate For Geosciences; Div Atmospheric &amp; Geospace Sciences [1143895] Funding Source: National Science Foundation; NASA [NNX13AK31G, 470785] Funding Source: Federal RePORTER</t>
  </si>
  <si>
    <t>NASA(National Aeronautics &amp; Space Administration (NASA)); National Science Foundation(National Science Foundation (NSF)); Air Force Office of Sponsored Research(United States Department of DefenseAir Force Office of Scientific Research (AFOSR)); Direct For Mathematical &amp; Physical Scien; Division Of Physics(National Science Foundation (NSF)NSF - Directorate for Mathematical &amp; Physical Sciences (MPS)); Directorate For Geosciences; Div Atmospheric &amp; Geospace Sciences(National Science Foundation (NSF)NSF - Directorate for Geosciences (GEO)); Directorate For Geosciences; Div Atmospheric &amp; Geospace Sciences(National Science Foundation (NSF)NSF - Directorate for Geosciences (GEO)); NASA(National Aeronautics &amp; Space Administration (NASA))</t>
  </si>
  <si>
    <t>This work was supported by grant NNX13AK31G from NASA, grant AGS-1143895 from the National Science Foundation, and grant FA-9550-120264 from the Air Force Office of Sponsored Research. We thank the Wind and ACE teams for the solar wind data and CDAWeb interface for data availability. We thank C.W. Smith, the ACE team, and J.C. Kasper for their list compilations. For the ground magnetometer data, we gratefully acknowledge the following: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Conners; DTU Space, PI Jrgen Matzka; South Pole and McMurdo Magnetometer, PIs Louis J. Lanzarotti and Alan T. Weatherwax; ICESTAR; RAPIDMAG; PENGUIn; British Antarctic Survey; McMac, PI Peter Chi; BGS, PI Susan Macmillan; Pushkov Institute of Terrestrial Magnetism, Ionosphere and Radio Wave Propagation (IZMIRAN); GFZ, PI Jrgen Matzka; MFGI, PI B. Heilig; IGFPAS, PI J. Reda; University of LAquila, PI M. Vellante; and SuperMAG, PI Jesper W. Gjerloev. D.M.O. thanks the SuperMAG PI J.W. Gjerloev for the straightforward SuperMAG website and its convenience of data visualization and download. The corresponding author can supply the data used in this work if contacted at dennymauricio@gmail. com.</t>
  </si>
  <si>
    <t>10.1002/2015JA021147</t>
  </si>
  <si>
    <t>CN1RZ</t>
  </si>
  <si>
    <t>WOS:000358199100016</t>
  </si>
  <si>
    <t>Lessard, MR; Lindgren, EA; Engebretson, MJ; Weaver, C</t>
  </si>
  <si>
    <t>Lessard, Marc R.; Lindgren, Erik A.; Engebretson, Mark J.; Weaver, Carol</t>
  </si>
  <si>
    <t>Solar cycle dependence of ion cyclotron wave frequencies</t>
  </si>
  <si>
    <t>plasma waves; ion cyclotron; solar cycles; magnetosphere; radiation belts; EMIC waves</t>
  </si>
  <si>
    <t>SPATIAL CHARACTERISTICS; ALFVEN WAVES; PULSATIONS; LOCATION; MODEL</t>
  </si>
  <si>
    <t>Electromagnetic ion cyclotron (EMIC) waves have been studied for decades, though remain a fundamentally important topic in heliospheric physics. The connection of EMIC waves to the scattering of energetic particles from Earth's radiation belts is one of many topics that motivate the need for a deeper understanding of characteristics and occurrence distributions of the waves. In this study, we show that EMIC wave frequencies, as observed at Halley Station in Antarctica from 2008 through 2012, increase by approximately 60% from a minimum in 2009 to the end of 2012. Assuming that these waves are excited in the vicinity of the plasmapause, the change in Kp in going from solar minimum to near solar maximum would drive increased plasmapause erosion, potentially shifting the generation region of the EMIC to lower L and resulting in the higher frequencies. A numerical estimate of the change in plasmapause location, however, implies that it is not enough to account for the shift in EMIC frequencies that are observed at Halley Station. Another possible explanation for the frequency shift, however, is that the relative density of heavier ions in the magnetosphere (that would be associated with increased solar activity) could account for the change in frequencies. In terms of effects on radiation belt dynamics, the shift to higher frequencies tends to mean that these waves will interact with less energetic electrons, although the details involved in this process are complex and depend on the specific plasma and gyrofrequencies of all populations, including electrons. In addition, the change in location of the generation region to lower L shells means that the waves will have access to higher number fluxes of resonant electrons. Finally, we show that a sunlit ionosphere can inhibit ground observations of EMIC waves with frequencies higher than similar to 0.5Hz and note that the effect likely has resulted in an underestimate of the solar-cycle-driven frequency changes described here.</t>
  </si>
  <si>
    <t>[Lessard, Marc R.; Lindgren, Erik A.; Weaver, Carol] Univ New Hampshire, Ctr Space Sci, Durham, NH 03824 USA; [Engebretson, Mark J.] Augsburg Coll, Dept Phys, Minneapolis, MN USA</t>
  </si>
  <si>
    <t>University System Of New Hampshire; University of New Hampshire; Augsburg University</t>
  </si>
  <si>
    <t>Lessard, MR (corresponding author), Univ New Hampshire, Ctr Space Sci, Durham, NH 03824 USA.</t>
  </si>
  <si>
    <t>marc.lessard@unh.edu</t>
  </si>
  <si>
    <t>British Antarctic Survey; NSF [PLR-1341677, ANT-1141987, PLR-1341493, ANT-1142045]; Directorate For Geosciences; Office of Polar Programs (OPP) [1142045, 1341677] Funding Source: National Science Foundation; Office of Polar Programs (OPP); Directorate For Geosciences [1341493] Funding Source: National Science Foundation</t>
  </si>
  <si>
    <t>British Antarctic Survey;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</si>
  <si>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gratefully acknowledge helpful discussions with D.-H. Lee and D. Knudsen. We also acknowledge the gracious support provided at Halley Station by the British Antarctic Survey. The Moldwin model was coded by UNH student Matthew Blandin. Support for this work was provided at UNH by NSF awards PLR-1341677 and ANT-1141987. Support at Augsburg College was provided by NSF awards PLR-1341493 and ANT-1142045. Data used in this study are available at space. augsburg.edu/searchcoilrequest. Links to the dynamic spectrograms are available through the Virtual Waves Observatory (VWO) at NASA/Goddard Space Flight Center, and 0.5 s cadence digital data from Halley and South Pole, Antarctica, from 2004 through 2007 are archived at the Virtual Magneospheric Observatory (VMO) at UCLA.</t>
  </si>
  <si>
    <t>10.1002/2014JA020791</t>
  </si>
  <si>
    <t>WOS:000358199100047</t>
  </si>
  <si>
    <t>Bellucci, A; Haarsma, R; Bellouin, N; Booth, B; Cagnazzo, C; van den Hurk, B; Keenlyside, N; Koenigk, T; Massonnet, F; Materia, S; Weiss, M</t>
  </si>
  <si>
    <t>Bellucci, A.; Haarsma, R.; Bellouin, N.; Booth, B.; Cagnazzo, C.; van den Hurk, B.; Keenlyside, N.; Koenigk, T.; Massonnet, F.; Materia, S.; Weiss, M.</t>
  </si>
  <si>
    <t>Advancements in decadal climate predictability: The role of nonoceanic drivers</t>
  </si>
  <si>
    <t>REVIEWS OF GEOPHYSICS</t>
  </si>
  <si>
    <t>decadal predictability; decadal variability; climate prediction; Earth system models</t>
  </si>
  <si>
    <t>ANTARCTIC SEA-ICE; ATMOSPHERE COUPLING EXPERIMENT; ATLANTIC MULTIDECADAL OSCILLATION; QUASI-BIENNIAL OSCILLATION; GREAT SALINITY ANOMALIES; SOLAR-CYCLE VARIABILITY; BLACK CARBON AEROSOLS; ASIAN SUMMER MONSOON; SOIL-MOISTURE MEMORY; VEGETATION LEAF-AREA</t>
  </si>
  <si>
    <t>We review recent progress in understanding the role of sea ice, land surface, stratosphere, and aerosols in decadal-scale predictability and discuss the perspectives for improving the predictive capabilities of current Earth system models (ESMs). These constituents have received relatively little attention because their contribution to the slow climatic manifold is controversial in comparison to that of the large heat capacity of the oceans. Furthermore, their initialization as well as their representation in state-of-the-art climate models remains a challenge. Numerous extraoceanic processes that could be active over the decadal range are proposed. Potential predictability associated with the aforementioned, poorly represented, and scarcely observed constituents of the climate system has been primarily inspected through numerical simulations performed under idealized experimental settings. The impact, however, on practical decadal predictions, conducted with realistically initialized full-fledged climate models, is still largely unexploited. Enhancing initial-value predictability through an improved model initialization appears to be a viable option for land surface, sea ice, and, marginally, the stratosphere. Similarly, capturing future aerosol emission storylines might lead to an improved representation of both global and regional short-term climatic changes. In addition to these factors, a key role on the overall predictive ability of ESMs is expected to be played by an accurate representation of processes associated with specific components of the climate system. These act as signal carriers, transferring across the climatic phase space the information associated with the initial state and boundary forcings, and dynamically bridging different (otherwise unconnected) subsystems. Through this mechanism, Earth system components trigger low-frequency variability modes, thus extending the predictability beyond the seasonal scale.</t>
  </si>
  <si>
    <t>[Bellucci, A.; Materia, S.] Ctr Euromediterraneo Cambiamenti Climat, Bologna, Italy; [Haarsma, R.; van den Hurk, B.; Weiss, M.] Royal Netherlands Meteorol Inst, NL-3730 AE De Bilt, Netherlands; [Bellouin, N.] Univ Reading, Dept Meteorol, Reading, Berks, England; [Booth, B.] Met Off Hadley Ctr, Exeter, Devon, England; [Cagnazzo, C.] CNR, Ist Sci Atmosfera &amp; Clima, Rome, Italy; [Keenlyside, N.] Univ Bergen, Geophys Inst, Bergen, Norway; [Koenigk, T.] Swedish Meteorol &amp; Hydrol Inst, S-60176 Norrkoping, Sweden; [Massonnet, F.] Catholic Univ Louvain, Louvain La Neuve, Belgium</t>
  </si>
  <si>
    <t>Royal Netherlands Meteorological Institute; University of Reading; Met Office - UK; Hadley Centre; Consiglio Nazionale delle Ricerche (CNR); Istituto di Scienze dell'Atmosfera e del Clima (ISAC-CNR); University of Bergen; Swedish Meteorological &amp; Hydrological Institute; Universite Catholique Louvain</t>
  </si>
  <si>
    <t>Bellucci, A (corresponding author), Ctr Euromediterraneo Cambiamenti Climat, Bologna, Italy.</t>
  </si>
  <si>
    <t>alessio.bellucci@cmcc.it</t>
  </si>
  <si>
    <t>Cagnazzo, Chiara/C-7194-2015; Materia, Stefano/AET-3622-2022; van den Hurk, Bart/ABI-1654-2020; Kushnir, Yochanan/B-4472-2013; Keenlyside, Noel S/E-8303-2013; Haarsma, Reindert J/D-1803-2013; Massonnet, Francois/J-5315-2014</t>
  </si>
  <si>
    <t>Materia, Stefano/0000-0001-5635-2847; van den Hurk, Bart/0000-0003-3726-7086; Keenlyside, Noel S/0000-0002-8708-6868; Haarsma, Rein/0000-0001-7171-2687; cagnazzo, chiara/0000-0002-2054-0448; Massonnet, Francois/0000-0002-4697-5781; Bellouin, Nicolas/0000-0003-2109-9559; BELLUCCI, Alessio/0000-0003-3766-1921</t>
  </si>
  <si>
    <t>Italian Ministry of Education, University and Research; Ministry for Environment, Land and Sea</t>
  </si>
  <si>
    <t>Italian Ministry of Education, University and Research(Ministry of Education, Universities and Research (MIUR)); Ministry for Environment, Land and Sea</t>
  </si>
  <si>
    <t>Data supporting Figure 2 are available at National Snow and Ice Data Center (NSIDC), Fetterer et al. [2014], Sea ice index, Electronic, available at http://nsidc.org/data/seaice_index. The authors wish to thank the EU Joint Programme Initiative-Climate for hosting, fostering, and stimulating the discussions that led to conceive this work. Comments from Adam Scaife, Doug Smith, Silvio Gualdi, Gerald Meehl, Mark Moldwin, and an anonymous reviewer are also gratefully acknowledged. A.B. and S.M. received support from the Italian Ministry of Education, University and Research and Ministry for Environment, Land and Sea through the Project GEMINA.</t>
  </si>
  <si>
    <t>8755-1209</t>
  </si>
  <si>
    <t>1944-9208</t>
  </si>
  <si>
    <t>REV GEOPHYS</t>
  </si>
  <si>
    <t>Rev. Geophys.</t>
  </si>
  <si>
    <t>10.1002/2014RG000473</t>
  </si>
  <si>
    <t>CN3JO</t>
  </si>
  <si>
    <t>WOS:000358322200001</t>
  </si>
  <si>
    <t>Davies, D; Dilley, BJ; Bond, AL; Cuthbert, RJ; Ryan, PG</t>
  </si>
  <si>
    <t>Davies, Delia; Dilley, Ben J.; Bond, Alexander L.; Cuthbert, Richard J.; Ryan, Peter G.</t>
  </si>
  <si>
    <t>Trends and tactics of mouse predation on Tristan Albatross Diomedea dabbenena chicks at Gough Island, South Atlantic Ocean</t>
  </si>
  <si>
    <t>AVIAN CONSERVATION AND ECOLOGY</t>
  </si>
  <si>
    <t>eradication; house mouse Mus musculus; predation; Tristan Albatross Diomedea dabbenena</t>
  </si>
  <si>
    <t>HOUSE MICE; BREEDING SUCCESS; POPULATION-DYNAMICS; GIANT PETRELS; MARION ISLAND; EXULANS; CONSERVATION; IMPACTS; BIOLOGY; REPRODUCTION</t>
  </si>
  <si>
    <t>The critically endangered Tristan Albatross Diomedea dabbenena breeds almost exclusively on Gough Island, in the central South Atlantic, where breeding success is much lower than other great albatrosses (Diomedea spp.) worldwide. Most breeding failures occur during the chick-rearing stage, when other great albatrosses suffer few failures. This unusual pattern of breeding failure is assumed to be largely due to predation by introduced house mice Mus musculus, but there have been few direct observations of mouse attacks. We closely monitored the fates of 20 chicks in the Gonydale study colony (123 chicks in 2014) using motion-activated cameras to determine the causes of chick mortality. Only 5 of 20 chicks survived to fledge, and of the 15 failures, 14 (93%) were due to mouse predation. One mouse-wounded chick was killed by a Southern Giant Petrel Macronectes giganteus; the rest died outright from their wounds within 3.9 +/- 1.2 days of the first attack. Despite this high impact, most chicks were attacked by only 1-2 mice at once (maximum 9). The remaining 103 chicks in the study colony were checked less frequently, but the timing of failures was broadly similar to the 20 closely monitored nests, and the presence of mouse wounds on other chicks strongly suggests that mice were responsible for most chick deaths. Breeding success in the Gonydale study colony averages 28% from 2001 to 2014; far lower than the normal range of breeding success of Diomedea species occurring on islands free from introduced predators. Island-wide breeding success fell below 10% for the first time in 2014, making it even more urgent to eradicate mice from Gough Island.</t>
  </si>
  <si>
    <t>[Davies, Delia; Dilley, Ben J.; Ryan, Peter G.] Univ Cape Town, Percy Fitzpatrick Inst African Ornithol, DST NRF Ctr Excellence, ZA-7701 Cape Town, South Africa; [Bond, Alexander L.; Cuthbert, Richard J.] Royal Soc Protect Birds, RSPB Ctr Conservat Sci, Sandy SG19 2DL, Beds, England; [Cuthbert, Richard J.] Wildlife Conservat Soc, Goroka, Papua N Guinea</t>
  </si>
  <si>
    <t>National Research Foundation - South Africa; University of Cape Town; Royal Society for Protection of Birds</t>
  </si>
  <si>
    <t>Dilley, BJ (corresponding author), Univ Cape Town, Percy Fitzpatrick Inst African Ornithol, ZA-7701 Cape Town, South Africa.</t>
  </si>
  <si>
    <t>dilleyben@gmail.com</t>
  </si>
  <si>
    <t>Bond, Alexander L/A-3786-2010</t>
  </si>
  <si>
    <t>Bond, Alexander/0000-0003-2125-7238</t>
  </si>
  <si>
    <t>South African Department of Environmental Affairs, through the South African National Antarctic Programme (SANAP); National Research Foundation; University of Cape Town; Royal Society for the Protection of Birds (RSPB); UK Foreign and Commonwealth Office</t>
  </si>
  <si>
    <t>We thank Erica Sommer, Andrea Angel, Ross Wan less, Karen Bourgeois, Sylvain Dromzee, Marie-Helene Burle, Ross Cowlin, Henk Louw, Paul Visser, Jeroen Lurling, Nic le Maitre, Graham Parker, Kalinka Rexer-Huber, Chris Bell, Mara Nydegger, Chris Jones, Michelle Risi, Werner Kuntz, the numerous South African meteorological staff volunteers for assistance in the field, and volunteers who assisted with the fledgling ground counts during the relief voyages. Thanks also to Rob Crawford and Bruce Dyer for the use of nest cameras; to the Tristan Conservation Department, and Tristan Island Council and Island Administrator for permission to undertake the work on Gough, and to Trevor Glass, George Swain, and Alex Mitham for their assistance in 2014. Susie Cunningham assisted with statistical analyses. Logistical and financial support was provided by the South African Department of Environmental Affairs, through the South African National Antarctic Programme (SANAP), the National Research Foundation, the University of Cape Town, and the Royal Society for the Protection of Birds (RSPB). Long-term monitoring on Gough Island was established with a grant from the UK Foreign and Commonwealth Office with further support over the years from the UK Government's Overseas Territories Environment Programme (OTEP) and Darwin Initiative programme, the RSPB, and the Agreement on the Conservation of Albatrosses and Petrels. Comments from two anonymous reviewers were greatly appreciated and improved previous drafts.</t>
  </si>
  <si>
    <t>RESILIENCE ALLIANCE</t>
  </si>
  <si>
    <t>WOLFVILLE</t>
  </si>
  <si>
    <t>ACADIA UNIV, BIOLOGY DEPT, WOLFVILLE, NS B0P 1X0, CANADA</t>
  </si>
  <si>
    <t>1712-6568</t>
  </si>
  <si>
    <t>AVIAN CONSERV ECOL</t>
  </si>
  <si>
    <t>Avian Conserv. Ecol.</t>
  </si>
  <si>
    <t>10.5751/ACE-00738-100105</t>
  </si>
  <si>
    <t>Biodiversity Conservation; Ecology; Ornithology</t>
  </si>
  <si>
    <t>Biodiversity &amp; Conservation; Environmental Sciences &amp; Ecology; Zoology</t>
  </si>
  <si>
    <t>CM3ZA</t>
  </si>
  <si>
    <t>WOS:000357622700006</t>
  </si>
  <si>
    <t>Shi, G; Teng, J; Ma, H; Li, Y; Sun, B</t>
  </si>
  <si>
    <t>Shi, G.; Teng, J.; Ma, H.; Li, Y.; Sun, B.</t>
  </si>
  <si>
    <t>Metals and metalloids in precipitation collected during CHINARE campaign from Shanghai, China, to Zhongshan Station, Antarctica: Spatial variability and source identification</t>
  </si>
  <si>
    <t>metal; metalloid; precipitation; ocean; source</t>
  </si>
  <si>
    <t>ATMOSPHERIC WET DEPOSITION; TOTAL GASEOUS MERCURY; SOUTH INDIAN-OCEAN; TRACE-METALS; CHEMICAL-COMPOSITION; DRY DEPOSITION; ATLANTIC-OCEAN; HEAVY-METALS; MARINE-ENVIRONMENT; LAKE MICHIGAN</t>
  </si>
  <si>
    <t>Metals and metalloids in continental precipitation have been widely observed, but the data over open oceans are still very limited. Investigation of metals and metalloids in marine precipitation is of great significance to understand global transport of these elements in the atmosphere and their input fluxes to the oceans. So shipboard sampling of precipitation was conducted during a Chinese National Antarctic Research Expedition campaign from Shanghai, China, to Zhongshan Station, East Antarctica, and 22 samples (including 17 rainfall and 5 snowfall events) were collected and analyzed for concentrations of Pb, Ni, Cr, Cu, Co, Hg, As, Cd, Sb, Se, Zn, Mn, and Ti. Results show that concentrations of both metals and metalloids vary considerably along the cruise, with higher concentrations at coastal sites and lower values on the south Indian Ocean. Although only soluble fractions were determined for elements, concentrations in this study are generally comparable to the reported values of marine rain. Enrichment factor analysis shows that most of metals and metalloids are enriched versus crustal sources, even in the samples collected from remote south Indian Ocean. In addition, metals and metalloids in precipitation are also very enriched above sea-salt abundance, indicating that impacts of sea-salt aerosols on their concentrations are negligible. Main sources of metals and metalloids were explored with the aid of multivariate statistical analyses. The results show that human emissions have far-reaching distribution, which may exert an important influence on the solubility of elements in precipitation. This investigation provides valuable information on spatial variation and possible sources of trace elements in precipitation over the open oceans corresponding to understudied region.</t>
  </si>
  <si>
    <t>[Shi, G.; Ma, H.; Li, Y.; Sun, B.] Polar Res Inst China, SOA Key Lab Polar Sci, Shanghai, Peoples R China; [Shi, G.] Brown Univ, Dept Earth Environm &amp; Planetary Sci, Providence, RI 02912 USA; [Teng, J.] Shanghai Chongming Dongtan Natl Nat Reserve, Shanghai, Peoples R China</t>
  </si>
  <si>
    <t>Polar Research Institute of China; Brown University</t>
  </si>
  <si>
    <t>Shi, G (corresponding author), Polar Res Inst China, SOA Key Lab Polar Sci, Shanghai, Peoples R China.</t>
  </si>
  <si>
    <t>gt_shi@163.com</t>
  </si>
  <si>
    <t>National Science Foundation of China [41206188, 41276202]; Twelfth Five-Year Plan for Polar Science (CHINARE) [2015-04-01, 2015-02-02]; Shanghai Municipal Natural Science Foundation [11ZR1441100]</t>
  </si>
  <si>
    <t>National Science Foundation of China(National Natural Science Foundation of China (NSFC)); Twelfth Five-Year Plan for Polar Science (CHINARE); Shanghai Municipal Natural Science Foundation</t>
  </si>
  <si>
    <t>For data request, please contact gt_shi@163.com (G.S.). This project was supported by the National Science Foundation of China (grants 41206188 and 41276202), the Twelfth Five-Year Plan for Polar Science (grants CHINARE 2015-04-01, 2015-02-02), and Shanghai Municipal Natural Science Foundation (grant 11ZR1441100). The authors express their appreciation to the members of CHINARE providing their help during sampling. The authors would like to thank Mary-Elena Carr and the two anonymous reviewers for their help in the development and improvement of this paper.</t>
  </si>
  <si>
    <t>10.1002/2014GB005060</t>
  </si>
  <si>
    <t>CM8NE</t>
  </si>
  <si>
    <t>WOS:000357957600003</t>
  </si>
  <si>
    <t>Picotti, S; Vuan, A; Carcione, JM; Horgan, HJ; Anandakrishnan, S</t>
  </si>
  <si>
    <t>Picotti, Stefano; Vuan, Alessandro; Carcione, Jose M.; Horgan, Huw J.; Anandakrishnan, Sridhar</t>
  </si>
  <si>
    <t>Anisotropy and crystalline fabric of Whillans Ice Stream (West Antarctica) inferred from multicomponent seismic data</t>
  </si>
  <si>
    <t>JOURNAL OF GEOPHYSICAL RESEARCH-SOLID EARTH</t>
  </si>
  <si>
    <t>seismic anisotropy; crystalline fabric; ice stream</t>
  </si>
  <si>
    <t>SUBGLACIAL LAKE WHILLANS; ACTIVE RESERVOIR BENEATH; SHEAR-WAVE VELOCITY; C-AXIS FABRICS; SIPLE-DOME; NUMERICAL EXPERIMENTS; POLAR ICE; INVERSION; FLOW; DENSIFICATION</t>
  </si>
  <si>
    <t>Crystal orientation fabric (COF) describes the intrinsic anisotropic nature of ice and is an important parameter for modeling glacier flow. We present the results of three-component active-source seismic observations from the Whillans Ice Stream (WIS), a fast-flowing ice stream in West Antarctica. Surface-wave dispersion analysis, ray tracing, and traveltime inversion of compressional (P) and shear (S) waves reveal the presence of transversely isotropic ice with a vertical axis of symmetry (VTI) beneath approximately 65m of isotropic firn. The ice stream is characterized by weak anisotropy, involving an average ice thickness of approximately 780m. The analysis indicates that about 95% of the ice mass is anisotropic, and the crystalline c axes span within an average broad cone angle of 73 10 degrees with respect to the vertical axis. Moreover, the mean temperature T (below the firn) estimated from seismic data is -15 5 degrees C. These data do not show evidence of englacial seismic reflectivity, which indicates the lack of abrupt changes in the COF. The presence of azimuthal anisotropy due to transversely compressive flow or fractures aligned along a preferential direction is also excluded. We suggest that the observed VTI ice structure is typical of large ice streams in regions where basal sliding and bed deformation dominate over internal glacial deformation.</t>
  </si>
  <si>
    <t>[Picotti, Stefano; Vuan, Alessandro; Carcione, Jose M.] Ist Nazl Oceanog &amp; Geofis Sperimentale OGS, Trieste, Italy; [Horgan, Huw J.] Victoria Univ Wellington, Antarctic Res Ctr, Kelburn Pde, Acc Wellington, New Zealand; [Anandakrishnan, Sridhar] Penn State Univ, Dept Geosci, University Pk, PA 16802 USA; [Anandakrishnan, Sridhar] Penn State Univ, Environm Syst Inst, University Pk, PA 16802 USA</t>
  </si>
  <si>
    <t>Istituto Nazionale di Oceanografia e di Geofisica Sperimentale;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</si>
  <si>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Picotti, S (corresponding author), Ist Nazl Oceanog &amp; Geofis Sperimentale OGS, Trieste, Italy.</t>
  </si>
  <si>
    <t>spicotti@ogs.trieste.it</t>
  </si>
  <si>
    <t>Horgan, Huw/I-5847-2019; Carcione, Jose M/T-9660-2019; Vuan, Alessandro/GLR-3168-2022; Anandakrishnan, Sridhar/JCN-5026-2023; Vuan, Alessandro/AAC-9665-2021; Vuan, Alessandro/B-7115-2014</t>
  </si>
  <si>
    <t>Horgan, Huw/0000-0002-4836-0078; Carcione, Jose M/0000-0002-2839-705X; Vuan, Alessandro/0000-0001-5536-1717; picotti, stefano/0000-0001-7341-1095</t>
  </si>
  <si>
    <t>Italian National Program of Antarctic Research (PNRA-WISSLAKE); U.S. National Science Foundation (WISSARD) [NSF 0944794, 0632198, 0424589]</t>
  </si>
  <si>
    <t>Italian National Program of Antarctic Research (PNRA-WISSLAKE); U.S. National Science Foundation (WISSARD)(National Science Foundation (NSF))</t>
  </si>
  <si>
    <t>This work was supported by the Italian National Program of Antarctic Research (PNRA-WISSLAKE Project) and the U.S. National Science Foundation (WISSARD Program-NSF 0944794, 0632198, and 0424589). The data for this paper are available by contacting the corresponding author. We thank Mauro Pavan, David S. Heeszel, Jacob I. Walter, Knut Christianson, and Robert W. Jacobel for their contribution in the field. We also thank Marion Bougamont for providing her ice sheet models, which were useful to validate the results of this work. Finally, we thank Olaf Eisen for his useful suggestions, and Marco Peronio for his picking program (SPIC).</t>
  </si>
  <si>
    <t>2169-9313</t>
  </si>
  <si>
    <t>2169-9356</t>
  </si>
  <si>
    <t>J GEOPHYS RES-SOL EA</t>
  </si>
  <si>
    <t>J. Geophys. Res.-Solid Earth</t>
  </si>
  <si>
    <t>10.1002/2014JB011591</t>
  </si>
  <si>
    <t>CM8ZG</t>
  </si>
  <si>
    <t>WOS:000357993000014</t>
  </si>
  <si>
    <t>Florindo, F; Gennari, R; Persico, D; Turco, E; Villa, G; Lurcock, PC; Roberts, AP; Winkler, A; Carter, L; Pekar, SF</t>
  </si>
  <si>
    <t>Florindo, Fabio; Gennari, Rocco; Persico, Davide; Turco, Elena; Villa, Giuliana; Lurcock, Pontus C.; Roberts, Andrew P.; Winkler, Aldo; Carter, Lionel; Pekar, Stephen F.</t>
  </si>
  <si>
    <t>New magnetobiostratigraphic chronology and paleoceanographic changes across the Oligocene-Miocene boundary at DSDP Site 516 (Rio Grande Rise, SW Atlantic)</t>
  </si>
  <si>
    <t>DSDP Site 516; Rio Grande Rise; magnetobiostratigraphy; Oligocene-Miocene; Mi-1 glacial event</t>
  </si>
  <si>
    <t>MAGNETIC PARTICLE-SYSTEMS; REVERSAL CURVE DIAGRAMS; ANTARCTIC ICE-SHEET; CALCAREOUS NANNOFOSSILS; PLANKTONIC-FORAMINIFERA; SOUTHWEST ATLANTIC; WATER CIRCULATION; EOCENE-OLIGOCENE; PACIFIC-OCEAN; WALVIS RIDGE</t>
  </si>
  <si>
    <t>New magnetobiostratigraphic data for the late Oligocene through early Miocene at Deep Sea Drilling Project (DSDP) Hole 516F provide a significantly revised age model, which permits reevaluation of developments that led to the Mi-1 glacial event at the Oligocene-Miocene boundary. Our new high-resolution paleomagnetic study, which is supported by quantitative calcareous nannofossil and planktonic foraminiferal analyses, significantly refines previous age models for Oligocene-Miocene sediments from DSDP Hole 516F, with ages that are systematically younger than those previously determined. In some parts of the Oligocene, the discrepancy with previous studies exceeds 450kyr. Based on this new age model, we infer a progressive increase in sedimentation rate and paleoproductivity between circa 23.9Ma and circa 22.9Ma, with the highest rate coinciding with the Mi-1 glacial event at the Oligocene-Miocene boundary. This productivity increase would have resulted in higher rates of carbon burial and in turn a drawdown of atmospheric CO2. Immediately afterward, an abrupt decrease in sedimentation rate and paleoproductivity suggests that the Mi-1 deglaciation was associated with decreased carbon input into the ocean. Elevated sedimentation rates are also documented at similar to 24.5Ma, coincident with the Oi2D glacioeustatic event. The presence of volcanic material within the sediments during these glacial events is interpreted to have resulted from redeposition of sediment scoured from nearby sites on the Rio Grande Rise due to transient variations in bottom water flow patterns.</t>
  </si>
  <si>
    <t>[Florindo, Fabio; Lurcock, Pontus C.; Winkler, Aldo] Ist Nazl Geofis &amp; Vulcanol, Rome, Italy; [Gennari, Rocco; Persico, Davide; Turco, Elena; Villa, Giuliana] Univ Parma, Dipartimento Fis &amp; Sci Terra, I-43100 Parma, Italy; [Roberts, Andrew P.] Australian Natl Univ, Res Sch Earth Sci, Canberra, ACT, Australia; [Carter, Lionel] Victoria Univ Wellington, Antarctic Res Ctr, Wellington, New Zealand; [Pekar, Stephen F.] Queens Coll, Sch Earth &amp; Environm Sci, Flushing, NY USA; [Pekar, Stephen F.] Columbia Univ, Lamont Doherty Earth Observ, New York, NY USA</t>
  </si>
  <si>
    <t>Istituto Nazionale Geofisica e Vulcanologia (INGV); University of Parma; Australian National University; Victoria University Wellington; City University of New York (CUNY) System; Queens College NY (CUNY); Columbia University</t>
  </si>
  <si>
    <t>Florindo, F (corresponding author), Ist Nazl Geofis &amp; Vulcanol, Rome, Italy.</t>
  </si>
  <si>
    <t>fabio.florindo@ingv.it</t>
  </si>
  <si>
    <t>Roberts, Andrew P/E-6422-2010; Florindo, Fabio/M-1459-2019; Gennari, Rocco/S-4631-2019; Florindo, Fabio/F-4119-2010; Winkler, Aldo/AGG-8501-2022; Florindo, Fabio/AAU-2548-2021; Turco, Elena/G-7748-2012; Lurcock, Pontus/M-1470-2014</t>
  </si>
  <si>
    <t>Florindo, Fabio/0000-0002-6058-9748; Gennari, Rocco/0000-0002-3517-3126; Florindo, Fabio/0000-0002-6058-9748; Winkler, Aldo/0000-0002-0653-0059; Persico, Davide/0000-0001-5194-9724; Lurcock, Pontus/0000-0001-6994-071X; Roberts, Andrew P./0000-0003-0566-8117</t>
  </si>
  <si>
    <t>U.S. National Science Foundation (NSF); Joint Oceanographic Institutions (JOI), Inc.; NSF; Japan's MEXT; ECORD; People's Republic of China Ministry of Science and Technology</t>
  </si>
  <si>
    <t>U.S. National Science Foundation (NSF)(National Science Foundation (NSF)); Joint Oceanographic Institutions (JOI), Inc.; NSF(National Science Foundation (NSF)); Japan's MEXT(Ministry of Education, Culture, Sports, Science and Technology, Japan (MEXT)); ECORD; People's Republic of China Ministry of Science and Technology</t>
  </si>
  <si>
    <t>We thank the IODP for granting permission to work on the studied cores, and IODP personnel at the Bremen Core Repository and Christian Ohneiser for their assistance with sampling. The IODP is sponsored by the U.S. National Science Foundation (NSF) and participating countries under management of Joint Oceanographic Institutions (JOI), Inc. IODP is supported by NSF, Japan's MEXT, ECORD, and the People's Republic of China Ministry of Science and Technology. We thank Christian Ohneiser for assistance with sampling, Diederik Liebrand for providing the delta18O data set from ODP Site 1264 (Walvis Ridge), plotted in Figure 13, Giovanna Gianelli for sample preparation and granulometric analysis and Massimo Mari for manufacturing the custom-made plexiglas sample holder. We are grateful to two anonymous reviewers for constructive review comments and Heiko Palike for efficient editorial handling. This contribution is dedicated to the memory of our colleague Peter F. Barker, Co-Chief Scientist of DSDP Leg 72. Data presented in this paper are available by contacting the corresponding author (fabio.florindo@ingv.it).</t>
  </si>
  <si>
    <t>10.1002/2014PA002734</t>
  </si>
  <si>
    <t>CM9PO</t>
  </si>
  <si>
    <t>WOS:000358041400006</t>
  </si>
  <si>
    <t>Hansen, MA; Passchier, S; Khim, BK; Song, BH; Williams, T</t>
  </si>
  <si>
    <t>Hansen, Melissa A.; Passchier, Sandra; Khim, Boo-Keun; Song, Buhan; Williams, Trevor</t>
  </si>
  <si>
    <t>Threshold behavior of a marine-based sector of the East Antarctic Ice Sheet in response to early Pliocene ocean warming</t>
  </si>
  <si>
    <t>IRD MAR; Pliocene; Southern Ocean; Antarctica; orbital insolation; climate variability</t>
  </si>
  <si>
    <t>FINE-GRAINED SEDIMENT; SOUTHERN-OCEAN; SEA-ICE; CONTINENTAL RISE; NORTH-ATLANTIC; SIZE ANALYSIS; LATE MIOCENE; DISCHARGE; WATER; VARIABILITY</t>
  </si>
  <si>
    <t>We investigate the stability of the East Antarctic Ice Sheet (EAIS) on the Wilkes Land continental margin, Antarctica, utilizing a high-resolution record of ice-rafted debris (IRD) mass accumulation rates (MAR) from Integrated Ocean Drilling Program Site U1359. The relationship between orbital variations in the IRD record and climate drivers was evaluated to capture changes in the dynamics of a marine-based ice sheet in response to early Pliocene warming. Three IRD MAR excursions were observed and confirmed via scanning electron microscope microtextural analysis of sand grains. Time series analysis of the IRD MAR reveals obliquity-paced expansions of the ice sheet to the outer shelf prior to similar to 4.6Ma. A decline in the obliquity and a transition into a dominant precession response of IRD MAR occur at similar to 4.6Ma along with a decline in the amplitude of IRD MAR maxima to low background levels between similar to 4.0 and similar to 3.5Ma. We speculate that as sea surface temperatures began to peak above 3 degrees C during the early Pliocene climatic optimum, the ice shelves thinned, leading to a greater susceptibility to precession-forced summer insolation and the onset of persistent retreat of a marine-based portion of the EAIS.</t>
  </si>
  <si>
    <t>[Hansen, Melissa A.; Passchier, Sandra] Montclair State Univ, Earth &amp; Environm Studies, Montclair, NJ 07043 USA; [Khim, Boo-Keun; Song, Buhan] Pusan Natl Univ, Dept Oceanog, Busan, South Korea; [Williams, Trevor] Columbia Univ, Lamont Doherty Earth Observ, Palisades, NY USA</t>
  </si>
  <si>
    <t>Montclair State University; Pusan National University; Columbia University</t>
  </si>
  <si>
    <t>Hansen, MA (corresponding author), Montclair State Univ, Earth &amp; Environm Studies, Montclair, NJ 07043 USA.</t>
  </si>
  <si>
    <t>hansenm8@mail.montclair.edu</t>
  </si>
  <si>
    <t>Passchier, Sandra/AAQ-2243-2021; Williams, Trevor/L-7670-2014; Passchier, Sandra/B-1993-2008; Passchier, Sandra/GYU-2381-2022</t>
  </si>
  <si>
    <t>Passchier, Sandra/0000-0001-7204-7025; Passchier, Sandra/0000-0001-7204-7025;</t>
  </si>
  <si>
    <t>National Science Foundation [OCE 1060080]; Korea International Ocean Discovery Program; Division Of Ocean Sciences; Directorate For Geosciences [1060080] Funding Source: National Science Foundation; Division Of Ocean Sciences; Directorate For Geosciences [1326927] Funding Source: National Science Foundation</t>
  </si>
  <si>
    <t>National Science Foundation(National Science Foundation (NSF)); Korea International Ocean Discovery Program; Division Of Ocean Sciences; Directorate For Geosciences(National Science Foundation (NSF)NSF - Directorate for Geosciences (GEO)); Division Of Ocean Sciences; Directorate For Geosciences(National Science Foundation (NSF)NSF - Directorate for Geosciences (GEO))</t>
  </si>
  <si>
    <t>This research was supported by the National Science Foundation (award OCE 1060080 to S.P) and partly by the Korea International Ocean Discovery Program (to B.K.K.). All samples were provided by the Integrated Ocean Drilling Program. The Expedition 318 scientists are thanked for their support. Ian Bailey and an anonymous reviewer provided constructive feedback that improved the paper. All data presented within this paper will be available from Sandra Passchier at passchiers@mail.montclair.edu upon request or at https://msuweb.montclair.edu/similar to passchiers/data_repository/data.html.</t>
  </si>
  <si>
    <t>10.1002/2014PA002704</t>
  </si>
  <si>
    <t>WOS:000358041400013</t>
  </si>
  <si>
    <t>Ruppel, AS; Läufer, A; Jacobs, J; Elburg, M; Krohne, N; Damaske, D; Lisker, F</t>
  </si>
  <si>
    <t>Ruppel, Antonia S.; Laeufer, Andreas; Jacobs, Joachim; Elburg, Marlina; Krohne, Nicole; Damaske, Detlef; Lisker, Frank</t>
  </si>
  <si>
    <t>The Main Shear Zone in SOr Rondane, East Antarctica: Implications for the late-Pan-African tectonic evolution of Dronning Maud Land</t>
  </si>
  <si>
    <t>TECTONICS</t>
  </si>
  <si>
    <t>geodynamics; Gondwana; Pan-African; East African-Antarctic Orogen; Dronning Maud Land; SOr Rondane</t>
  </si>
  <si>
    <t>EARLY PALEOZOIC TECTONISM; GRENVILLE-AGE; MOUNTAINS; METAMORPHISM; COLLISION; GONDWANA; SUTURE; OROGEN; COLLAPSE; RODINIA</t>
  </si>
  <si>
    <t>Structural investigations in western SOr Rondane, eastern Dronning Maud Land (DML), provide new insights into the tectonic evolution of East Antarctica. One of the main structural features is the approximately 120km long and several hundred meters wide WSW-ENE trending Main Shear Zone (MSZ). It is characterized by dextral high-strain ductile deformation under peak amphibolite-facies conditions. Crosscutting relationships with dated magmatic rocks bracket the activity of the MSZ between late Ediacaran to Cambrian times (circa 560 to 530Ma). The MSZ separates Pan-African greenschist- to granulite-facies metamorphic rocks with East African affinities in the north from a Rayner-age early Neoproterozoic gabbro-tonalite-trondhjemite-granodiorite complex with Indo-Antarctic affinities in the south. It is interpreted to represent an important lithotectonic strike-slip boundary at a position close to the eastern margin of the East African-Antarctic Orogen (EAAO), which is assumed to be located farther south in the ice-covered region. Together with the possibly coeval left-lateral South Orvin Shear Zone in central DML, the MSZ may be related to NE directed lateral escape of the EAAO, whereas the Heimefront Shear Zone and South Kirwanveggen Shear Zone of western DML are part of the south directed branch of this bilateral system.</t>
  </si>
  <si>
    <t>[Ruppel, Antonia S.; Laeufer, Andreas; Damaske, Detlef] Fed Inst Geosci &amp; Nat Resources, Hannover, Germany; [Jacobs, Joachim] Univ Bergen, Dept Earth Sci, Bergen, Norway; [Jacobs, Joachim] Norwegian Polar Res Inst, Tromso, Norway; [Elburg, Marlina] Univ Johannesburg, Dept Geol, Johannesburg, South Africa; [Krohne, Nicole; Lisker, Frank] Univ Bremen, Dept Geosci, D-28359 Bremen, Germany</t>
  </si>
  <si>
    <t>University of Bergen; Norwegian Polar Institute; University of Johannesburg; University of Bremen</t>
  </si>
  <si>
    <t>Ruppel, AS (corresponding author), Fed Inst Geosci &amp; Nat Resources, Hannover, Germany.</t>
  </si>
  <si>
    <t>Antonia.Ruppel@BGR.de</t>
  </si>
  <si>
    <t>Läufer, Andreas/ABC-1465-2020</t>
  </si>
  <si>
    <t>Läufer, Andreas/0000-0003-2219-0450; Elburg, Marlina/0000-0001-7154-1910; Ruppel, Antonia/0000-0001-5101-411X; Lisker, Frank/0000-0002-1615-7315</t>
  </si>
  <si>
    <t>Deutsche Forschungsgemeinschaft [LA1080/9, LI 745/15]; NRF-SANAP [SNA2011110200002]; NFR-NARE</t>
  </si>
  <si>
    <t>Deutsche Forschungsgemeinschaft(German Research Foundation (DFG)); NRF-SANAP; NFR-NARE</t>
  </si>
  <si>
    <t>This study was part of the collaborative research program Geodynamic Evolution of East Antarctica (GEA) of the German Federal Institute of Geosciences and Natural Resources (BGR) and the Alfred Wegener Institute Helmholtz Centre for Polar and Marine Research (AWI). J. Jacobs, M. Elburg, and N. Krohne are indebted to BGR for the invitation to participate in the expeditions and to AWI for providing polar clothing. We would like to express our sincere thanks to Alain Hubert and his team at the Belgian Princess Elisabeth station for the wonderful time there and support in the field. Many thanks go also to the crew of Sky Heli, Germany, who took the geological party safely to the field and back to the station. This study was supported by the Deutsche Forschungsgemeinschaft (grants LA1080/9 to A. Laufer and LI 745/15 to F. Lisker) in the framework of the priority programme 1158 Antarctic Research with comparative investigations in Arctic ice areas. M. Elburg was the recipient of an NRF-SANAP grant SNA2011110200002, which is gratefully acknowledged. J. Jacobs received funding through NFR-NARE, which is equally gratefully acknowledged. Finally, we thank Robert Thomas and Wilfried Bauer for the critical and helpful reviews. Data can be provided on request by contacting A. Ruppel or A. Laufer (BGR).</t>
  </si>
  <si>
    <t>0278-7407</t>
  </si>
  <si>
    <t>1944-9194</t>
  </si>
  <si>
    <t>Tectonics</t>
  </si>
  <si>
    <t>10.1002/2014TC003763</t>
  </si>
  <si>
    <t>CM8MB</t>
  </si>
  <si>
    <t>WOS:000357954300011</t>
  </si>
  <si>
    <t>Shatilovich, A; Stoupin, D; Rivkina, E</t>
  </si>
  <si>
    <t>Shatilovich, Anastasia; Stoupin, Daniel; Rivkina, Elizaveta</t>
  </si>
  <si>
    <t>Ciliates from ancient permafrost: Assessment of cold resistance of the resting cysts</t>
  </si>
  <si>
    <t>Colpoda steinii; Permafrost; Viability; Fluorogenic dyes; Excystation</t>
  </si>
  <si>
    <t>CRYPTOSPORIDIUM-PARVUM VIABILITY; MESERES-CORLISSI CILIOPHORA; ANTARCTIC PERMAFROST; PROPIDIUM IODIDE; SOIL; INFECTIVITY; EXCYSTATION; WATER; AGE; POPULATIONS</t>
  </si>
  <si>
    <t>There is evidence that resting cysts of soil ciliates and numerous taxa of other protists can survive in permafrost for thousands of years at subzero temperatures; however, our knowledge about mechanisms of long term cryobiosis remains incomplete. In order to better understand the means by which ancient cysts survive, we investigated resistance to cyclical supercooling stress of resting cysts of the soil ciliate Colpoda steinii (Colpodida, Ciliophora). Three clonal strains were used for comparison, isolated from Siberian tundra soil, ancient Holocene (5-7,000 y) and late Pleistocene (32-35,000 y) permafrost sediments. To determine the viability of the ancient and contemporary ciliate cysts we improved and validated a cultivation-independent method of vital fluorescent staining with a combination of two nucleic acid binding dyes, acridine orange and propidium iodide. The viability of Colpoda steinii cysts during low-temperature experiments was measured using both the proposed vital fluorescent staining method and standard germination test. Our results indicate that the dual-fluorescence technique is a more accurate, rapid, and efficient method for estimating cyst viability. We found that cysts of ancient ciliates display lower tolerance to the impact of cyclical cold compared to cysts of contemporary ciliates from Siberian permafrost affected soils. (C) 2015 Elsevier GmbH. All rights reserved.</t>
  </si>
  <si>
    <t>[Shatilovich, Anastasia; Stoupin, Daniel; Rivkina, Elizaveta] Inst Physicochem &amp; Biol Problems Soil Sci RAS, Soil Cryol Lab, Pushchino 142290, Russia; [Stoupin, Daniel] Univ Queensland, Sch Biol Sci, Brisbane, Qld 4072, Australia</t>
  </si>
  <si>
    <t>Russian Academy of Sciences; Pushchino Scientific Center for Biological Research (PSCBI) of the Russian Academy of Sciences; Institute of Physicohemical &amp; Biological Problems of Soil Science; University of Queensland</t>
  </si>
  <si>
    <t>Shatilovich, A (corresponding author), Inst Physicochem &amp; Biol Problems Soil Sci RAS, Soil Cryol Lab, Inst Skaya 2, Pushchino 142290, Russia.</t>
  </si>
  <si>
    <t>nastya.shat@rambler.ru</t>
  </si>
  <si>
    <t>Shatilovich, Anastasia/J-6013-2018; Rivkina, Elizaveta/O-5344-2014</t>
  </si>
  <si>
    <t>Shatilovich, Anastasia/0000-0003-1858-0114; Rivkina, Elizaveta/0000-0001-7949-8056</t>
  </si>
  <si>
    <t>Programme of Presidium of Russian Academy of Science [28]</t>
  </si>
  <si>
    <t>Programme of Presidium of Russian Academy of Science</t>
  </si>
  <si>
    <t>We are grateful to Dr. S. Gubin (Soil Cryology Laboratory, Institute of Physicochemical and Biological Problems in Soil Science RAS, Pushchino) for providing samples of Siberian paleosols and radiocarbon dates and Dr. Natalia Suzina (Cytology of Microorganisms Laboratory, Institute of Biochemistry and Physiology of Microorganisms RAS, Pushchino) for the images taken with the transmission electronic microscope. This study was supported by grants from the Programme of Presidium of Russian Academy of Science 28.</t>
  </si>
  <si>
    <t>10.1016/j.ejop.2015.04.001</t>
  </si>
  <si>
    <t>CL8RO</t>
  </si>
  <si>
    <t>WOS:000357242000003</t>
  </si>
  <si>
    <t>Zhou, HB; Li, LY; Wang, W; Che, Q; Li, DH; Gu, QQ; Zhu, TJ</t>
  </si>
  <si>
    <t>Zhou, Haibo; Li, Liyuan; Wang, Wei; Che, Qian; Li, Dehai; Gu, Qianqun; Zhu, Tianjiao</t>
  </si>
  <si>
    <t>Chrodrimanins I and J from the Antarctic Moss-Derived Fungus Penicillium funiculosum GWT2-24</t>
  </si>
  <si>
    <t>LIPID DROPLET FORMATION; CECIDICOLA FKI-3765-1; MOUSE MACROPHAGES; TALAROMYCES SP; PENTACECILIDES; INHIBITORS; SESQUITERPENES; ASSAY; YO-2</t>
  </si>
  <si>
    <t>Two new meroterpenoids, named chrodrimanins I and J (1 and 2), together with five known biosynthetically related chrodrimanins (3-7), were isolated from the culture of the Antarctic moss-derived fungus Penicillium funiculosum GWT2-24. Distinguished from all of the reported chrodrimanins, compounds 1 and 2 possess a unique cyclohexanone (E ring) instead of a d-lactone ring. These structures including the absolute configurations were established on the basis of MS, NMR, and X-ray crystallographic analysis. Compounds 1-7 showed no cytotoxic or antibacterial activities, while the known compounds 3, 5, and 6 exhibited inhibitory activities against influenza virus A (H1N1), with IC50 values ranged from 21 to 57 mu M.</t>
  </si>
  <si>
    <t>[Zhou, Haibo; Li, Liyuan; Wang, Wei; Che, Qian; Li, Dehai; Gu, Qianqun; Zhu, Tianjiao] Ocean Univ China, Key Lab Marine Drugs, Chinese Minist Educ, Sch Med &amp; Pharm, Qingdao 266003, Peoples R China</t>
  </si>
  <si>
    <t>Ocean University of China</t>
  </si>
  <si>
    <t>Zhu, TJ (corresponding author), Ocean Univ China, Key Lab Marine Drugs, Chinese Minist Educ, Sch Med &amp; Pharm, Qingdao 266003, Peoples R China.</t>
  </si>
  <si>
    <t>zhutj@ouc.edu.cn</t>
  </si>
  <si>
    <t>ZHOU, Haibo/M-7373-2017; Wang, Wei/W-8492-2019; Li, Dehai/G-7656-2012</t>
  </si>
  <si>
    <t>Li, Dehai/0000-0002-7191-2002</t>
  </si>
  <si>
    <t>National Natural Science Fund of China [41376147, 81001437]; Chinese Polar Environment Comprehensive Investigation &amp; Assessment Programmes [CHINARE2013-01-06-06]; Shandong Provincial Natural Science Fund for Distinguished Young Scholars [JQ201422]; Program for New Century Excellent Talents in University [NCET-12-0499]</t>
  </si>
  <si>
    <t>National Natural Science Fund of China(National Natural Science Foundation of China (NSFC)); Chinese Polar Environment Comprehensive Investigation &amp; Assessment Programmes; Shandong Provincial Natural Science Fund for Distinguished Young Scholars; Program for New Century Excellent Talents in University(Program for New Century Excellent Talents in University (NCET))</t>
  </si>
  <si>
    <t>This work was financially supported by National Natural Science Fund of China (Nos. 41376147, 81001437), Chinese Polar Environment Comprehensive Investigation &amp; Assessment Programmes (CHINARE2013-01-06-06), The Shandong Provincial Natural Science Fund for Distinguished Young Scholars (JQ201422), and the Program for New Century Excellent Talents in University (NCET-12-0499).</t>
  </si>
  <si>
    <t>10.1021/acs.jnatprod.5b00103</t>
  </si>
  <si>
    <t>CL7FQ</t>
  </si>
  <si>
    <t>WOS:000357138300034</t>
  </si>
  <si>
    <t>Aciego, SM; Aarons, SM; Sims, KWW</t>
  </si>
  <si>
    <t>Aciego, Sarah M.; Aarons, Sarah M.; Sims, Kenneth W. W.</t>
  </si>
  <si>
    <t>The uranium-isotopic composition of Saharan dust collected over the central Atlantic Ocean</t>
  </si>
  <si>
    <t>AEOLIAN RESEARCH</t>
  </si>
  <si>
    <t>Sahara; Dust; Soils; Uranium isotopes</t>
  </si>
  <si>
    <t>U-SERIES ISOTOPES; REGOLITH FORMATION; WEATHERING RATES; IN-SITU; SOIL; TRANSPORT; NUCLIDES; BEHAVIOR; SR; CONSTRAINTS</t>
  </si>
  <si>
    <t>Uranium isotopic compositions, (U-234/U-238)(activity), are utilized by earth surface disciplines as chronometers and source tracers, including in soil science where aeolian dust is a significant source to the total nutrient pool. However, the (U-234/U-238)(activity) composition of dust is under characterized due to material and analytical constraints. Here we present new uranium isotope data measured by high precision MC-ICP-MS on ten airborne dust samples collected on the M55 trans-Atlantic cruise in 2002. Two pairs of samples are presented with different size fractions, coarse (1-30 mu m) and fine (&lt;1 mu m), and all samples were processed to separate the water soluble component in order to assess the controls on the (U-234/U-238)(activity) of mineral aerosols transported from the Sahara across the Atlantic. Our results indicate (U-234/U-238)(activity) above one for both the water soluble (1.13-1.17) and the residual solid (1.06-1.18) fractions of the dust; no significant correlation is found between isotopic composition and travel distance. Residual solids indicate a slight dependance of (U-234/U-238)(activity) on particle size. Future modeling work that incorporates dust isotopic compositions into mixing or isotopic fractionation models will need to account for the wide variability in dust (U-234/U-238)(activity). (C) 2015 Elsevier B.V. All rights reserved.</t>
  </si>
  <si>
    <t>[Aciego, Sarah M.; Aarons, Sarah M.] Univ Michigan, Dept Earth &amp; Environm Sci, Ann Arbor, MI 48109 USA; [Sims, Kenneth W. W.] Univ Wyoming, Dept Geol &amp; Geophys, Laramie, WY 82071 USA</t>
  </si>
  <si>
    <t>University of Michigan System; University of Michigan; University of Wyoming</t>
  </si>
  <si>
    <t>Aciego, SM (corresponding author), Univ Michigan, Dept Earth &amp; Environm Sci, Ann Arbor, MI 48109 USA.</t>
  </si>
  <si>
    <t>Sims, Kenneth/HOC-7512-2023</t>
  </si>
  <si>
    <t>Sims, Kenneth/0000-0001-6179-6610; Aarons, Sarah/0000-0002-3580-0820</t>
  </si>
  <si>
    <t>Rackham Graduate School; Turner Award from the Department of Earth and Environmental Sciences at the University of Michigan; NSF OPP Antarctic Glaciology Award [1043367]; Office of Polar Programs (OPP); Directorate For Geosciences [1043367] Funding Source: National Science Foundation</t>
  </si>
  <si>
    <t>Rackham Graduate School; Turner Award from the Department of Earth and Environmental Sciences at the University of Michigan; NSF OPP Antarctic Glaciology Award; Office of Polar Programs (OPP); Directorate For Geosciences(National Science Foundation (NSF)NSF - Directorate for Geosciences (GEO))</t>
  </si>
  <si>
    <t>The samples for this research were kindly provided by A.R. Baker. Funding for this project was provided by grants from the Rackham Graduate School and the Turner Award from the Department of Earth and Environmental Sciences at the University of Michigan to S.M. Aarons and from NSF OPP Antarctic Glaciology Award 1043367 to S.M. Aciego.</t>
  </si>
  <si>
    <t>1875-9637</t>
  </si>
  <si>
    <t>2212-1684</t>
  </si>
  <si>
    <t>AEOLIAN RES</t>
  </si>
  <si>
    <t>Aeolian Res.</t>
  </si>
  <si>
    <t>10.1016/j.aeolia.2015.01.003</t>
  </si>
  <si>
    <t>Geography, Physical</t>
  </si>
  <si>
    <t>Physical Geography</t>
  </si>
  <si>
    <t>CL7IW</t>
  </si>
  <si>
    <t>WOS:000357146700005</t>
  </si>
  <si>
    <t>Shao, ZD; Ke, CQ</t>
  </si>
  <si>
    <t>Shao, Zhu-De; Ke, Chang-Qing</t>
  </si>
  <si>
    <t>Spring-summer albedo variations of Antarctic sea ice from 1982 to 2009</t>
  </si>
  <si>
    <t>Antarctic sea ice region; albedo; spatiotemporal variation; trend; sea ice concentration; sea surface temperature</t>
  </si>
  <si>
    <t>SURFACE ALBEDO; IN-SITU; 28 YR; TRENDS; AVHRR; VARIABILITY; SATELLITE; CLIMATE; EXTENT; FEEDBACK</t>
  </si>
  <si>
    <t>This study examined the spring-summer (November, December, January and February) albedo averages and trends using a dataset consisting of 28 years of homogenized satellite data for the entire Antarctic sea ice region and for five longitudinal sectors around Antarctica: the Weddell Sea (WS), the Indian Ocean sector (IO), the Pacific Ocean sector (PO), the Ross Sea (RS) and the Bellingshausen-Amundsen Sea (BS). Time series data of the sea ice concentrations and sea surface temperatures were used to analyse their relations to the albedo. The results indicated that the sea ice albedo increased slightly during the study period, at a rate of 0.314% per decade, over the Antarctic sea ice region. The sea ice albedos in the PO, the IO and the WS increased at rates of 2.599% per decade (confidence level 99.86%), 0.824% per decade and 0.413% per decade, respectively, and the steepest increase occurred in the PO. However, the sea ice albedo in the BS decreased at a rate of - 1.617% per decade (confidence level 95.05%) and was near zero in the RS. The spring-summer average albedo over the Antarctic sea ice region was 50.24%. The highest albedo values were mainly found on the continental coast and in the WS; in contrast, the lowest albedo values were found on the outer edge of the sea ice, the RS and the Amery Ice Shelf. The average albedo in the western Antarctic sea ice region was distinctly higher than that in the east. The albedo was significantly positively correlated with sea ice concentration (SIC) and was significantly negatively correlated with sea surface temperature (SST); these scenarios held true for all five longitudinal sectors. Spatially, the higher surface albedos follow the higher SICs and lower SST patterns. The increasing albedo means that Antarctic sea ice region reflects more solar radiation and absorbs less, leading to a decrease in temperature and much snowfall on sea ice, and further resulted in an increase in albedo. Conversely, the decreasing albedo leads to more solar radiation absorbing and sea ice melting, thus resulting in a decrease in albedo.</t>
  </si>
  <si>
    <t>[Shao, Zhu-De] Nanjing Univ, Jiangsu Prov Key Lab Geog Informat Sci &amp; Technol, Nanjing 210023, Jiangsu, Peoples R China; [Ke, Chang-Qing] Nanjing Univ, State Adm Surveying Mapping &amp; Geoinformat China, Key Lab Satellite Mapping Technol &amp; Applicat, Nanjing 210023, Jiangsu, Peoples R China; [Shao, Zhu-De; Ke, Chang-Qing] Collaborat Innovat Ctr Novel Software Technol &amp; I, Nanjing 210023, Jiangsu, Peoples R China; [Shao, Zhu-De; Ke, Chang-Qing] Collaborat Innovat Ctr South China Sea Studies, Nanjing 210023, Jiangsu, Peoples R China; [Shao, Zhu-De; Ke, Chang-Qing] Jiangsu Ctr Collaborat Innovat Geog Informat Reso, Nanjing 210023, Jiangsu, Peoples R China</t>
  </si>
  <si>
    <t>Nanjing University; Nanjing University</t>
  </si>
  <si>
    <t>Shao, ZD (corresponding author), Nanjing Univ, Jiangsu Prov Key Lab Geog Informat Sci &amp; Technol, Nanjing 210023, Jiangsu, Peoples R China.</t>
  </si>
  <si>
    <t>kecq@nju.edu.cn</t>
  </si>
  <si>
    <t>Programme for National Nature Science Foundation of China [41371391]; Programme for Chinese National Antarctic and Arctic Research Expedition [CHI-NARE2015-02-02]; Programme for Foreign Cooperation of Chinese Arctic and Antarctic Administration [IC201301]; Programme for the Specialized Research Fund for the Doctoral Program of Higher Education of China [20120091110017]</t>
  </si>
  <si>
    <t>Programme for National Nature Science Foundation of China; Programme for Chinese National Antarctic and Arctic Research Expedition; Programme for Foreign Cooperation of Chinese Arctic and Antarctic Administration; Programme for the Specialized Research Fund for the Doctoral Program of Higher Education of China</t>
  </si>
  <si>
    <t>The authors would like to thank the CM SAF team at the Deutscher Wetterdienst for processing the CLARA-A1-SAL dataset. We thank the National Snow and Ice Data Center for the sea-ice concentration data. We thank the NOAA Earth Systems Research Laboratory for providing the National Centre for Environmental Prediction-Department of Energy Reanalysis 2 data. The NOAA_OI_SST_V2 data are provided by the NOAA/OAR/ESRL PSD, Boulder, Colorado, USA, from their Web site at http://www.esrl.noaa.gov/psd/. The authors would like to thank the above data providers. This work is supported by the Programme for National Nature Science Foundation of China (No. 41371391), the Programme for Chinese National Antarctic and Arctic Research Expedition (CHI-NARE2015-02-02), the Programme for Foreign Cooperation of Chinese Arctic and Antarctic Administration (No. IC201301), and the Programme for the Specialized Research Fund for the Doctoral Program of Higher Education of China (No. 20120091110017).</t>
  </si>
  <si>
    <t>10.1088/1748-9326/10/6/064001</t>
  </si>
  <si>
    <t>CL3FK</t>
  </si>
  <si>
    <t>WOS:000356835600003</t>
  </si>
  <si>
    <t>Prerna, R; Naidu, VS; Sukumaran, S; Gajbhiye, SN</t>
  </si>
  <si>
    <t>Prerna, R.; Naidu, V. S.; Sukumaran, Soniya; Gajbhiye, S. N.</t>
  </si>
  <si>
    <t>Observed decadal changes in extent of mangroves and coral reefs in southern Gulf of Kachchh using principal component analysis and geo-spatial techniques: a case study</t>
  </si>
  <si>
    <t>JOURNAL OF COASTAL CONSERVATION</t>
  </si>
  <si>
    <t>Mangroves; LISS IV; Coral reefs; Temporal change; PCA</t>
  </si>
  <si>
    <t>The identification of temporal change in the extent of coral reefs and mangroves patches along the Narara and Kalubhar islands was performed using multi-temporal data from 1999 to 2010 (LISS III and LISS IV (MX)). For extracting coral reefs, the reflectances of the feature were studied and using a few sample locations identified by sea-truthing, the reflectances of the corals were observed in different bands. Since these values were not normally distributed, it was considered best to use the modal value of the dataset. The final range was taken as +/- 1 from the mode, which was used for the extraction of coral pixels. The findings suggested that the coral cover depleted from 19.35 to 9.11 km(2) in the study area. The second objective of extracting the mangroves was accomplished by employing the technique of Principal Component Analysis (PCA). This technique gave better results as it not only identified the mangrove swamps but also differentiated between the dense and sparse. The greatest variance in the dataset could be identified by this method, thereby making it easier to outline the variations existing within the mangroves. The findings highlighted that out of the total area mangroves covered 38.81 km(2) in 2010 while in 1999, they covered only 30.69 km(2) ascertaining the impact of mangrove restoration projects functioning in the area.</t>
  </si>
  <si>
    <t>[Prerna, R.; Naidu, V. S.; Sukumaran, Soniya; Gajbhiye, S. N.] Natl Inst Oceanog, Reg Ctr, Andheri W Mumbai 400053, India</t>
  </si>
  <si>
    <t>Council of Scientific &amp; Industrial Research (CSIR) - India; CSIR - National Institute of Oceanography (NIO)</t>
  </si>
  <si>
    <t>Prerna, R (corresponding author), Natl Ctr Antarctic &amp; Ocean Res, Vasco Da Gama 403804, Goa, India.</t>
  </si>
  <si>
    <t>prerna.geoinfo@gmail.com</t>
  </si>
  <si>
    <t>Ramesh, Prerna/0000-0001-6894-3951</t>
  </si>
  <si>
    <t>1400-0350</t>
  </si>
  <si>
    <t>1874-7841</t>
  </si>
  <si>
    <t>J COAST CONSERV</t>
  </si>
  <si>
    <t>J. Coast. Conserv.</t>
  </si>
  <si>
    <t>10.1007/s11852-015-0385-9</t>
  </si>
  <si>
    <t>Biodiversity Conservation; Environmental Sciences; Marine &amp; Freshwater Biology; Water Resources</t>
  </si>
  <si>
    <t>Biodiversity &amp; Conservation; Environmental Sciences &amp; Ecology; Marine &amp; Freshwater Biology; Water Resources</t>
  </si>
  <si>
    <t>CL5YB</t>
  </si>
  <si>
    <t>WOS:000357040100001</t>
  </si>
  <si>
    <t>Sun, T; Socki, RA; Bish, DL; Harvey, RP; Bao, HM; Niles, PB; Cavicchioli, R; Tonui, E</t>
  </si>
  <si>
    <t>Sun, Tao; Socki, Richard A.; Bish, David L.; Harvey, Ralph P.; Bao, Huiming; Niles, Paul B.; Cavicchioli, Ricardo; Tonui, Eric</t>
  </si>
  <si>
    <t>Lost cold Antarctic deserts inferred from unusual sulfate formation and isotope signatures</t>
  </si>
  <si>
    <t>TRANSANTARCTIC MOUNTAINS; SULFUR ISOTOPES; DRY VALLEYS; ICE-SHEET; OXYGEN; REDUCTION; FRACTIONATION; BACTERIAL; WATER; EXCHANGE</t>
  </si>
  <si>
    <t>The Antarctic ice cap significantly affects global ocean circulation and climate. Continental glaciogenic sedimentary deposits provide direct physical evidence of the glacial history of the Antarctic interior, but these data are sparse. Here we investigate a new indicator of ice sheet evolution: sulfates within the glaciogenic deposits from the Lewis Cliff Ice Tongue of the central Transantarctic Mountains. The sulfates exhibit unique isotope signatures, including delta S-34 up to + 50% for mirabilite evaporites, Delta O-17 up to + 2.3% for dissolved sulfate within contemporary melt-water ponds, and extremely negative delta O-18 as low as -22.2%. The isotopic data imply that the sulfates formed under environmental conditions similar to today's McMurdo Dry Valleys, suggesting that ice-free cold deserts may have existed between the South Pole and the Transantarctic Mountains since the Miocene during periods when the ice sheet size was smaller than today, but with an overall similar to modern global hydrological cycle.</t>
  </si>
  <si>
    <t>[Sun, Tao; Bao, Huiming] Louisiana State Univ, Baton Rouge, LA 70803 USA; [Sun, Tao; Niles, Paul B.] NASA, Johnson Space Ctr, Houston, TX 77058 USA; [Socki, Richard A.] NASA, Johnson Space Ctr, ESCG, Houston, TX 77058 USA; [Bish, David L.] Indiana Univ, Indianapolis, IN 47405 USA; [Harvey, Ralph P.] Case Western Reserve Univ, Cleveland, OH 44106 USA; [Cavicchioli, Ricardo] Univ New S Wales, Sydney, NSW 2052, Australia; [Tonui, Eric] BP Amer, Upstream Technol, Houston, TX 77079 USA</t>
  </si>
  <si>
    <t>Louisiana State University System; Louisiana State University; National Aeronautics &amp; Space Administration (NASA); National Aeronautics &amp; Space Administration (NASA); NASA Johnson Space Center; Indiana University System; Indiana University-Purdue University Indianapolis; University System of Ohio; Case Western Reserve University; University of New South Wales Sydney; BP</t>
  </si>
  <si>
    <t>Sun, T (corresponding author), Univ Houston, Dept Earth &amp; Atmospher Sci, Houston, TX 77204 USA.</t>
  </si>
  <si>
    <t>tsun9@central.uh.edu</t>
  </si>
  <si>
    <t>Bao, Huiming/C-1069-2012; Bish, David/AAY-7618-2020; Cavicchioli, Ricardo/D-4341-2013</t>
  </si>
  <si>
    <t>Cavicchioli, Ricardo/0000-0001-8989-6402; Sun, Tao/0000-0001-6266-3350</t>
  </si>
  <si>
    <t>NASA's Mars Fundamental Research Program [NNF05GL75G]; National Science Foundation's Office of Polar Programs, Division of Infrastructure and Logistics; Economic Development Assistantship from Louisiana State Board of Regents; NASA Postdoctoral Fellowship; Australian Research Council; Australian Antarctic Science program</t>
  </si>
  <si>
    <t>NASA's Mars Fundamental Research Program(National Aeronautics &amp; Space Administration (NASA)); National Science Foundation's Office of Polar Programs, Division of Infrastructure and Logistics; Economic Development Assistantship from Louisiana State Board of Regents; NASA Postdoctoral Fellowship; Australian Research Council(Australian Research Council); Australian Antarctic Science program</t>
  </si>
  <si>
    <t>We acknowledge funding from NASA's Mars Fundamental Research Program (grant #NNF05GL75G) to conduct this research. The National Science Foundation's Office of Polar Programs, Division of Infrastructure and Logistics provided outstanding field support. T.S. is supported by Economic Development Assistantship from Louisiana State Board of Regents and a NASA Postdoctoral Fellowship. The research performed by R.C. is supported by the Australian Research Council and the Australian Antarctic Science program. We also thank Michael Kaplan and Sarah Feakins for helpful discussions.</t>
  </si>
  <si>
    <t>10.1038/ncomms8579</t>
  </si>
  <si>
    <t>CL7VX</t>
  </si>
  <si>
    <t>WOS:000357181300001</t>
  </si>
  <si>
    <t>Tomasi, C; Petkov, BH; Mazzola, M; Ritter, C; di Sarra, AG; di Iorio, T; del Guasta, M</t>
  </si>
  <si>
    <t>Tomasi, Claudio; Petkov, Boyan H.; Mazzola, Mauro; Ritter, Christoph; di Sarra, Alcide G.; di Iorio, Tatiana; del Guasta, Massimo</t>
  </si>
  <si>
    <t>Seasonal Variations of the Relative Optical Air Mass Function for Background Aerosol and Thin Cirrus Clouds at Arctic and Antarctic Sites</t>
  </si>
  <si>
    <t>GROUND-BASED LIDAR; DEPTH; EXTINCTION; PROFILES</t>
  </si>
  <si>
    <t>New calculations of the relative optical air mass function are made over the 0 degrees-87 degrees range of apparent solar zenith angle theta, for various vertical profiles of background aerosol, diamond dust and thin cirrus cloud particle extinction coefficient in the Arctic and Antarctic atmospheres. The calculations were carried out by following the Tomasi and Petkov (2014) procedure, in which the above-mentioned vertical profiles derived from lidar observations were used as weighting functions. Different sets of lidar measurements were examined, recorded using: (i) the Koldewey-Aerosol-Raman Lidar (KARL) system (AWI, Germany) at Ny-angstrom lesund (Spitsbergen, Svalbard) in January, April, July and October 2013; (ii) the Cloud-Aerosol Lidar and Infrared Pathfinder Satellite Observations (CALIPSO) satellite-based sensor over Barrow (Alaska), Eureka (Nunavut, Canada) and Sodankyla (northern Finland), and Neumayer III, Mario Zucchelli and Mirny coastal stations in Antarctica in the local summer months of the last two years; (iii) the National Institute of Optics (INO), National Council of Research (CNR) Antarctic lidar at Dome C on the Antarctic Plateau for a typical diamond dust case; and (iv) the KARL lidar at Ny-angstrom lesund and the University of Rome/National Agency for New Technologies, Energy and Sustainable Economic Development (ENEA) lidar at Thule (northwestern Greenland) for some cirrus cloud layers in the middle and upper troposphere. The relative optical air mass calculations are compared with those obtained by Tomasi and Petkov (2014) to define the seasonal changes produced by aerosol particles, diamond dust and cirrus clouds. The results indicate that the corresponding air mass functions generally decrease as angle theta increases with rates that are proportional to the increase in the pure aerosol, diamond dust and cirrus cloud particle optical thickness.</t>
  </si>
  <si>
    <t>[Tomasi, Claudio; Petkov, Boyan H.; Mazzola, Mauro] Natl Council Res CNR, Inst Atmospher Sci &amp; Climate ISAC, Climate Change Div, I-40129 Bologna, Italy; [Ritter, Christoph] Alfred Wegener Inst Polar &amp; Marine Res AWI, Climate Syst Div, D-14473 Potsdam, Germany; [di Sarra, Alcide G.; di Iorio, Tatiana] Natl Agcy New Technol Energy &amp; Sustainable Econ D, Lab Earth Observat &amp; Anal UTMEA TER, I-00123 Rome, Italy; [del Guasta, Massimo] Natl Council Res CNR, Natl Inst Opt INO, I-50019 Florence, Italy</t>
  </si>
  <si>
    <t>Consiglio Nazionale delle Ricerche (CNR); Istituto di Scienze dell'Atmosfera e del Clima (ISAC-CNR); Helmholtz Association; Alfred Wegener Institute, Helmholtz Centre for Polar &amp; Marine Research; Italian National Agency New Technical Energy &amp; Sustainable Economics Development; Consiglio Nazionale delle Ricerche (CNR); Istituto Nazionale di Ottica (INO-CNR)</t>
  </si>
  <si>
    <t>Tomasi, C (corresponding author), Natl Council Res CNR, Inst Atmospher Sci &amp; Climate ISAC, Climate Change Div, I-40129 Bologna, Italy.</t>
  </si>
  <si>
    <t>c.tomasi@isac.cnr.it; b.petkov@isac.cnr.it; m.mazzola@isac.cnr.it; Christoph.Ritter@awi.de; alcide.disarra@enea.it; tatiana.diiorio@enea.it; massimo.delguasta@ino.it</t>
  </si>
  <si>
    <t>Mazzola, Mauro/K-9376-2016; Di Iorio, Tatiana/O-8700-2015; di Sarra, Alcide/J-1491-2016</t>
  </si>
  <si>
    <t>Mazzola, Mauro/0000-0002-8394-2292; Di Iorio, Tatiana/0000-0001-8872-8917; Petkov, Boyan/0000-0002-8328-340X; di Sarra, Alcide/0000-0002-2405-2898</t>
  </si>
  <si>
    <t>Programma Nazionale di Ricerca in Antartide (PNRA) [2006/6.01]; PNRA [2009/A3.04, 2009/B.06]</t>
  </si>
  <si>
    <t>Programma Nazionale di Ricerca in Antartide (PNRA); PNRA</t>
  </si>
  <si>
    <t>The present research activity has been supported by the Programma Nazionale di Ricerca in Antartide (PNRA) as a part of the subproject 2006/6.01 POLAR-AOD: a network to characterize the means, variability and trends of the climate-forcing properties of aerosols in polar regions. The University of Rome/ENEA lidar measurements conducted at Thule were supported by PNRA under grant 2009/A3.04. Radiosoudings conducted at Mario Zucchelli and Concordia were supported by PNRA under grant 2009/B.06.</t>
  </si>
  <si>
    <t>10.3390/rs70607157</t>
  </si>
  <si>
    <t>CM3NS</t>
  </si>
  <si>
    <t>WOS:000357589800028</t>
  </si>
  <si>
    <t>Elliott, EJ</t>
  </si>
  <si>
    <t>Elliott, Elizabeth J.</t>
  </si>
  <si>
    <t>Atrial septal defect: a coincidental finding on a screening medical</t>
  </si>
  <si>
    <t>DIVING AND HYPERBARIC MEDICINE</t>
  </si>
  <si>
    <t>Right-to-left shunt; cardiovascular; radiological imaging; treatment; occupational health; case reports</t>
  </si>
  <si>
    <t>DEVICE CLOSURE</t>
  </si>
  <si>
    <t>An otherwise fit, healthy medical practitioner who was a recreational diver underwent a medical assessment for a remote posting as an Antarctic Medical Practitioner at which a coincidental finding of an atrial septal defect (ASD) was made. ASDs can have health implications in extreme environments such as high altitude and is contraindicated in scuba diving. ASDs are common, being present in 1: 1,500 live births and comprise 10% of all cardiac abnormalities. In this case, a percutaneous occlusive device was inserted under general anaesthetic with subsequent improvements in the practitioner's exercise capacity, return to diving and full employment, including Antarctic deployment, and right-sided heart remodelling 18 months post closure.</t>
  </si>
  <si>
    <t>[Elliott, Elizabeth J.] Royal Hobart Hosp, Dept Diving &amp; Hyperbar Med, Hobart, Tas, Australia</t>
  </si>
  <si>
    <t>Royal Hobart Hospital</t>
  </si>
  <si>
    <t>Elliott, EJ (corresponding author), POB 744, North Hobart, Tas 7002, Australia.</t>
  </si>
  <si>
    <t>drlizzie@gmail.com</t>
  </si>
  <si>
    <t>SOUTH PACIFIC UNDERWATER MED SOC</t>
  </si>
  <si>
    <t>MELBOURNE</t>
  </si>
  <si>
    <t>C/O AUSTRALIAN &amp; NEW ZEALAND COLL ANAESTHETISTS, 630 ST KILDA RD, MELBOURNE, VIC 3004, AUSTRALIA</t>
  </si>
  <si>
    <t>1833-3516</t>
  </si>
  <si>
    <t>DIVING HYPERB MED</t>
  </si>
  <si>
    <t>Diving Hyperb. Med.</t>
  </si>
  <si>
    <t>CL4RE</t>
  </si>
  <si>
    <t>WOS:000356940200011</t>
  </si>
  <si>
    <t>McDowell, RE; Amsler, MO; Li, Q; Lancaster, JR; Amsler, CD</t>
  </si>
  <si>
    <t>McDowell, Ruth E.; Amsler, Margaret O.; Li, Qian; Lancaster, Jack R., Jr.; Amsler, Charles D.</t>
  </si>
  <si>
    <t>THE IMMEDIATE WOUND-INDUCED OXIDATIVE BURST OF SACCHARINA LATISSIMA DEPENDS ON LIGHT VIA PHOTOSYNTHETIC ELECTRON TRANSPORT</t>
  </si>
  <si>
    <t>electron transport; hydrogen peroxide; kelp; light; oxidative burst; photosynthesis; reactive oxygen species; Saccharina latissima; Wounding</t>
  </si>
  <si>
    <t>PENTOSE-PHOSPHATE PATHWAY; REACTIVE OXYGEN; NADPH OXIDASE; HYDROGEN-PEROXIDE; OXIDIZED 3,3-DIAMINOBENZIDINE; RESPIRATORY BURST; PHOTOSYSTEM-I; WALL DAMAGE; SUPEROXIDE; REDUCTION</t>
  </si>
  <si>
    <t>Reactive oxygen species (ROS) produced by an oxidative burst are an important component of the wound response in algae, vascular plants, and animals. In all taxa, ROS production is usually attributed solely to a defense-related enzyme like NADPH-oxidase (Nox). However, here we show that the initial, wound-induced oxidative burst of the kelp Saccharina latissima depends on light and photosynthetic electron transport. We measured oxygen evolution and ROS production at different light levels and in the presence of a photosynthetic inhibitor, and we used spin trapping and electron paramagnetic resonance as an orthogonal method. Using an in vivo chemical probe, we provide data suggesting that wound-induced ROS production in two distantly related and geographically isolated species of Antarctic macroalgae may be light dependent as well. We propose that electron transport chains are an important and as yet unaddressed component of the wound response, not just for photosynthetic organisms, but for animals via mitochondria as well. This component may have been obscured by the historic use of diphenylene iodonium, which inhibits not only Noxes but also photosynthetic and respiratory electron transport as well. Finally, we anticipate physiological and/or ecological consequences of the light dependence of macroalgal wound-induced ROS since pathogens and grazers do not disappear in the dark.</t>
  </si>
  <si>
    <t>[McDowell, Ruth E.; Amsler, Margaret O.; Amsler, Charles D.] Univ Alabama Birmingham, Dept Biol, Birmingham, AL 35294 USA; [McDowell, Ruth E.; Amsler, Margaret O.; Li, Qian; Lancaster, Jack R., Jr.; Amsler, Charles D.] Univ Alabama Birmingham, Ctr Free Rad Biol, Birmingham, AL 35294 USA; [Li, Qian; Lancaster, Jack R., Jr.] Univ Alabama Birmingham, Dept Anesthesiol, Birmingham, AL 35294 USA; [Lancaster, Jack R., Jr.] Univ Pittsburgh Sch Med, Dept Pharmacol &amp; Chem Biol, Pittsburgh, PA 15213 USA; [Lancaster, Jack R., Jr.] Univ Pittsburgh Sch Med, Dept Surg, Pittsburgh, PA 15213 USA; [Lancaster, Jack R., Jr.] Univ Pittsburgh Sch Med, Dept Med, Pittsburgh, PA 15213 USA</t>
  </si>
  <si>
    <t>University of Alabama System; University of Alabama Birmingham; University of Alabama System; University of Alabama Birmingham; University of Alabama System; University of Alabama Birmingham; Pennsylvania Commonwealth System of Higher Education (PCSHE); University of Pittsburgh; Pennsylvania Commonwealth System of Higher Education (PCSHE); University of Pittsburgh; Pennsylvania Commonwealth System of Higher Education (PCSHE); University of Pittsburgh</t>
  </si>
  <si>
    <t>McDowell, RE (corresponding author), Univ Alabama Birmingham, Dept Biol, Birmingham, AL 35294 USA.</t>
  </si>
  <si>
    <t>mcdowellruth@gmail.com</t>
  </si>
  <si>
    <t>McDowell, Ruth/KHX-0075-2024</t>
  </si>
  <si>
    <t>Richard &amp; Megumi Strathmann; Patricia Dudley Fellowship; Sigma Xi; National Science Foundation [ANT-0838773, ANT-1041022]</t>
  </si>
  <si>
    <t>Richard &amp; Megumi Strathmann; Patricia Dudley Fellowship; Sigma Xi; National Science Foundation(National Science Foundation (NSF))</t>
  </si>
  <si>
    <t>We are grateful to Emily Carrington for use of Oxygraph equipment and fluorometer, Judith Winston at the Virginia Museum of Natural History for identifying the bryozoan N. flagellata, as well as Hilary Hayford, Rebecca Guenther, and Katie Dobkowski for laboratory assistance. Funding was provided by both a Richard &amp; Megumi Strathmann and a Patricia Dudley Fellowship awarded for research at Friday Harbor Laboratories (REM), a grant in aid of research from Sigma Xi (REM), and National Science Foundation awards ANT-0838773 and ANT-1041022 (CDA).</t>
  </si>
  <si>
    <t>10.1111/jpy.12302</t>
  </si>
  <si>
    <t>CL0IZ</t>
  </si>
  <si>
    <t>WOS:000356627000004</t>
  </si>
  <si>
    <t>Ibañez, AE; Najle, R; Larsen, K; Montalti, D</t>
  </si>
  <si>
    <t>Ibanez, Andres E.; Najle, Roberto; Larsen, Karen; Montalti, Diego</t>
  </si>
  <si>
    <t>Hematology, Biochemistry and Serum Protein Analyses of Antarctic and non-Antarctic Skuas</t>
  </si>
  <si>
    <t>WATERBIRDS</t>
  </si>
  <si>
    <t>words. Antarctic; biochemistry; hematology; protein electrophoresis; skuas</t>
  </si>
  <si>
    <t>SOUTH POLAR SKUA; BLOOD; BROWN; HYBRIDIZATION; MACCORMICKI; HEMATOCRIT; PENGUINS; PATTERNS; DIET</t>
  </si>
  <si>
    <t>Determination of hematological and biochemical parameters provides important data to assess the physiological condition in wild birds. Therefore, to carry out ecophysiology or conservation studies it is essential to establish baseline physiological parameters and how these change with age and life history events. Hematological (hematocrit, hemoglobin and erythrocyte sedimentation) and biochemical (glucose, total lipids and proteins, aspartate and alanine aminotransferase activities and electrolyte concentration) reference values were determined in two Antarctic migratory bird species, the Brown Skua (Stercorarius antarcticus) and Stinth Polar Skua (S. maccormickz), from South Shetland Island during breeding season. Also, hematological data (hematocrit) were determined for non-Antarctic skuas, with Chilean (S. chilensis) and Falkland (S. antarcticas antarcticus) skuas sampled in the Beagle Channel islands (Tierra del Fuego Province) and Viana Island (Chubut Province),Argentina, respectively. Differences between adult Antarctic skua species were observed in hemoglobin, erythrocyte sedimentation, total lipids and aspartate aminotransferase activity. In addition, age-related differences in Antarctic skuas in hematocrit, hemoglobin, glucose and total protein values were observed. Serum reference protein fractions (Albumin, alpha(1), alpha(2), beta and gamma globulins) were assessed by electrophoresis for Antarctic and non-Antarctic skuas. Similar protein patterns were observed between South Polar and Chilean skuas as well between Falkland Skua and Brown Skua. The differences between adult sympatric Antarctic skuas may be related to their nutritional status and species-specific migrations, feeding habits and the differential use of the breeding niches, while the age variation may be related to physiological development processes in chicks or to the energy expenditure in adults during breeding.</t>
  </si>
  <si>
    <t>[Ibanez, Andres E.; Montalti, Diego] UNLP CONICET, Fac Ciencias Nat &amp; Museo, Div Zool Vertebrados, Secc Ornitol, Buenos Aires, DF, Argentina; [Najle, Roberto; Larsen, Karen] Univ Nacl, Fac Ciencias Vet, Ctr Prov Buenos Aires, Lab Biol Celular &amp; Ecotoxicol, Tandil, Argentina</t>
  </si>
  <si>
    <t>Ibañez, AE (corresponding author), UNLP CONICET, Fac Ciencias Nat &amp; Museo, Div Zool Vertebrados, Secc Ornitol, Paseo Bosque S-N,B1900FWA La Plata, Buenos Aires, DF, Argentina.</t>
  </si>
  <si>
    <t>aeibanez@fcnym.unlp.edu.ar</t>
  </si>
  <si>
    <t>Larsen, Karen/0000-0002-8542-6697</t>
  </si>
  <si>
    <t>The fieldwork was supported by the Instituto Antartico Argentino, and the protocol of ethical conditions under which this research was carried out was approved by the Program of Environmental Management and Tourism (Instituto Antartico Argentino Ministerio de Relaciones Exteriores, Comercio Internacional y Culto, Argentina). We also thank the reviewers for their helpful critiques of this manuscript.</t>
  </si>
  <si>
    <t>WATERBIRD SOC</t>
  </si>
  <si>
    <t>NATL MUSEUM NATURAL HISTORY SMITHSONIAN INST, WASHINGTON, DC 20560 USA</t>
  </si>
  <si>
    <t>1524-4695</t>
  </si>
  <si>
    <t>1938-5390</t>
  </si>
  <si>
    <t>Waterbirds</t>
  </si>
  <si>
    <t>10.1675/063.038.0204</t>
  </si>
  <si>
    <t>CL0OT</t>
  </si>
  <si>
    <t>WOS:000356642700004</t>
  </si>
  <si>
    <t>Lange, PK; Tenenbaum, DR; Tavano, VM; Paranhos, R; Campos, LD</t>
  </si>
  <si>
    <t>Lange, Priscila Kienteca; Tenenbaum, Denise Rivera; Tavano, Virginia Maria; Paranhos, Rodolfo; Campos, Lucia De Siqueira</t>
  </si>
  <si>
    <t>Shifts in microphytoplankton species and cell size at Admiralty Bay, Antarctica</t>
  </si>
  <si>
    <t>Antarctic Oscillation Index; diatoms; dinoflagellates; ice melt; temperature rise</t>
  </si>
  <si>
    <t>KING-GEORGE-ISLAND; SOUTH-SHETLAND ISLANDS; PHYTOPLANKTON BIOMASS; POTTER COVE; SEASONAL-VARIATION; EUPHAUSIA-SUPERBA; PENINSULA; OCEAN; ASSEMBLAGES; VARIABILITY</t>
  </si>
  <si>
    <t>Phytoplankton (&gt; 15 mu m) was investigated in three shallow coastal areas at Admiralty Bay (AB) between the summers of 2002-03 and 2008-09. Phytoplankton abundance was low (10(3) cells l(-1)) and, over time, the prevailing cell size decreased due to a shift in phytoplankton dominant species from diatoms to dinoflagellates. In situ and remote sensing data showed that oscillations in sea surface temperature, precipitation, ice formation/melting, irradiance (cloud cover) and bottom circulation (indexed by the Antarctic Oscillation Index; AAO) were shown to govern the structure of the phytoplankton. Under negative AAO, diatoms prevailed, with the dominance of large (&gt; 80 mu m) benthic diatoms (e.g. Corethron pennatum and Navicula directa) in periods of low production (10(2) cells l(-1) in 2002-03), and medium-sized (31-80 mu m) centrics (e.g. Thalassiosira spp. and Stellarima microtrias) when the abundance was higher (10(4) cells l(-1) in 2003-04). Conversely, positive AAO led to the co-dominance of dinoflagellates and planktonic diatoms (e.g. Pseudo-nitzschia spp.) in the summers of 2007-08 and 2008-09. These results suggest that the AAO can be a good predictor of phytoplankton in coastal areas around the western Antarctic Peninsula, and may help our understanding of changes in other trophic levels of the food web.</t>
  </si>
  <si>
    <t>[Lange, Priscila Kienteca; Tavano, Virginia Maria] Univ Fed Rio Grande FURG, Inst Oceanog, Lab Fitoplancton &amp; Microorganismos Marinhos, BR-96201900 Rio Grand, Brazil; [Lange, Priscila Kienteca; Tenenbaum, Denise Rivera; Paranhos, Rodolfo; Campos, Lucia De Siqueira] Univ Fed Rio de Janeiro, Inst Biol, BR-21949902 Rio De Janeiro, Brazil</t>
  </si>
  <si>
    <t>Universidade Federal do Rio Grande; Universidade Federal do Rio de Janeiro</t>
  </si>
  <si>
    <t>Lange, PK (corresponding author), Univ Fed Rio Grande FURG, Inst Oceanog, Lab Fitoplancton &amp; Microorganismos Marinhos, Ave Italia,Km 8, BR-96201900 Rio Grand, Brazil.</t>
  </si>
  <si>
    <t>prilange@gmail.com</t>
  </si>
  <si>
    <t>Lange, Priscila/Q-4106-2019; Tavano, Virginia/C-5241-2013</t>
  </si>
  <si>
    <t>Tavano, Virginia/0000-0003-0039-8111; Kienteca Lange, Priscila/0000-0003-2136-2273</t>
  </si>
  <si>
    <t>Brazilian Ministry of Environment (MMA); Ministry of Science and Technology (MCT); National Council for Research and Development (CNPq); Interministerial Secretariat for the Sea Resources (SECIRM) within the framework of the Brazilian Antarctic Programme</t>
  </si>
  <si>
    <t>Brazilian Ministry of Environment (MMA); Ministry of Science and Technology (MCT); National Council for Research and Development (CNPq)(Conselho Nacional de Desenvolvimento Cientifico e Tecnologico (CNPQ)); Interministerial Secretariat for the Sea Resources (SECIRM) within the framework of the Brazilian Antarctic Programme</t>
  </si>
  <si>
    <t>This study first integrated the project Implementation of a Strategy for Assessment of Environmental Impacts on Coastal Shallow Water Benthic Fauna of AB (CNPq Process No. 55.0356/2002-9) and later the project Marine Antarctic Biodiversity in Relation to Environmental Heterogeneity at Admiralty Bay, and adjacent areas (CNPq Process No. 52.0293/2006-1) in contribution to the South American Consortium on Marine Biodiversity for the Census of Antarctic Marine Life (LA CAML) during the International Polar Year (IPY 2007-08). This work has been supported by the Brazilian Ministry of Environment (MMA), Ministry of Science and Technology (MCT), National Council for Research and Development (CNPq), and Interministerial Secretariat for the Sea Resources (SECIRM) within the framework of the Brazilian Antarctic Programme. We thank Dr Elisabete de Santis Braga for the analyses of salinity, nutrients and chlorophyll during the summers of 2002-03 and 2003-04, and Rafael B. de Moura for the AB figure. We are also very grateful to Dr Irene R. Schloss, Dr Clarisse Odebrecht and Dr Eduardo Secchi for the important advice and suggestions to this manuscript.</t>
  </si>
  <si>
    <t>10.1017/S0954102014000571</t>
  </si>
  <si>
    <t>CK8MM</t>
  </si>
  <si>
    <t>WOS:000356492300002</t>
  </si>
  <si>
    <t>Bugoni, L; Naves, LC; Furness, RW</t>
  </si>
  <si>
    <t>Bugoni, Leandro; Naves, Liliana C.; Furness, Robert W.</t>
  </si>
  <si>
    <t>Moult of three Tristan da Cunha seabird species sampled at sea</t>
  </si>
  <si>
    <t>Atlantic yellow-nosed albatross; great shearwater; Procellaria conspicillata; Puffinus gravis; spectacled petrel; Thalassarche chlororhynchos</t>
  </si>
  <si>
    <t>SHEARWATERS PUFFINUS-GRAVIS; WING-MOLT; FULMARS; ALBATROSSES; STRATEGIES; TRADEOFFS; FEATHERS</t>
  </si>
  <si>
    <t>Primary, tail and body moult of three seabirds from Tristan da Cunha archipelago were studied by castnetting offshore south Brazil from February 2006 to August 2007. Timing, duration and synchronization of primary and tail moult are described relative to the annual calendar. Body moult overlapped breeding in Atlantic yellow-nosed albatrosses (Thalassarche chlororhynchos), but tail and primary moult did not. Spectacled petrels (Procellaria conspicillata) had protracted body moult, whereas primary and tail moult were completed by August. We documented onset of primary moult during chick-rearing in spectacled petrels and great shearwaters (Puffinus gravis) of unknown breeding status, and suggest that the south-west Atlantic Ocean holds important numbers of moulting birds of both species during the summer-early autumn. The albatrosses and the spectacled petrels replaced rectrices alternately. Great shearwaters replaced rectrices outward, starting at the central pair. Primary, tail and body moult largely overlap in all three species, suggesting that the metabolic costs of primary moult may not be overly restrictive. Metabolic and nutritional ability to afford simultaneous moult of different feather tracts support the idea that impaired flight caused by wing moult is a strong factor driving no overlap of primary moult and breeding.</t>
  </si>
  <si>
    <t>[Bugoni, Leandro; Furness, Robert W.] Univ Glasgow, Coll Med Vet &amp; Life Sci, Glasgow G12 8QQ, Lanark, Scotland; [Bugoni, Leandro; Naves, Liliana C.] Univ Fed Rio Grande FURG, Inst Biol Sci, Waterbirds &amp; Sea Turtle Lab, BR-96203900 Rio Grande, RS, Brazil</t>
  </si>
  <si>
    <t>University of Glasgow; Universidade Federal do Rio Grande</t>
  </si>
  <si>
    <t>Bugoni, L (corresponding author), Univ Glasgow, Coll Med Vet &amp; Life Sci, Graham Kerr Bldg, Glasgow G12 8QQ, Lanark, Scotland.</t>
  </si>
  <si>
    <t>lbugoni@pq.cnpq.br</t>
  </si>
  <si>
    <t>Bugoni, Leandro/F-9539-2012</t>
  </si>
  <si>
    <t>Bugoni, Leandro/0000-0003-0689-7026</t>
  </si>
  <si>
    <t>Brazilian Agency; Brazilian Council for Scientific and Technological Development (Conselho Nacional de Desenvolvimento Cientifico e Tecnologico, CNPq) [308697/2012-0]</t>
  </si>
  <si>
    <t>Brazilian Agency; Brazilian Council for Scientific and Technological Development (Conselho Nacional de Desenvolvimento Cientifico e Tecnologico, CNPq)(Conselho Nacional de Desenvolvimento Cientifico e Tecnologico (CNPQ))</t>
  </si>
  <si>
    <t>We thank Captain Celso Oliveira and crews of the fishing vessels Ana Amaral I and Akira V for their offshore logistical support. LB had a scholarship from the Brazilian Agency for the Support and Evaluation of Graduate Education (Coordenacao de Aperfeicoamento de Pessoal de Nivel Superior, CAPES) and currently has a fellowship from the Brazilian Council for Scientific and Technological Development (Conselho Nacional de Desenvolvimento Cientifico e Tecnologico, CNPq; Proc. #308697/2012-0). Bird capture and banding were conducted under permit no. 023/2006 from the Brazilian Center for Bird Research and Conservation (Centro Nacional de Pesquisa e Conservacao de Aves Silvestres, CEMAVE). Authors are grateful to two anonymous reviewers, who provided insights in data analysis and discussion.</t>
  </si>
  <si>
    <t>10.1017/S0954102014000583</t>
  </si>
  <si>
    <t>WOS:000356492300003</t>
  </si>
  <si>
    <t>Wege, M; Nevoux, M; De Bruyn, PJN; Bester, MN</t>
  </si>
  <si>
    <t>Wege, M.; Nevoux, M.; De Bruyn, P. J. N.; Bester, M. N.</t>
  </si>
  <si>
    <t>Multi-state mark-recapture models as a novel approach to estimate factors affecting attendance patterns of lactating subantarctic fur seals from Marion Island</t>
  </si>
  <si>
    <t>Arctocephalus tropicalis; detection probability; pup sex; seasonal effects; transition probability</t>
  </si>
  <si>
    <t>ARCTOCEPHALUS-TROPICALIS; PUP GROWTH; INTERANNUAL VARIABILITY; POPULATION-CHANGES; BEHAVIOR; GAZELLA; EXPENDITURE; STRATEGIES; PREDATOR</t>
  </si>
  <si>
    <t>Observer-based studies often underestimate key ecological parameters. Here a fresh approach was used to analyse six years (2006-11) of attendance cycles to estimate foraging trip lengths of a lactating flipper-tagged otariid: subantarctic fur seals at Marion Island. Multi-state mark-recapture models were used to calculate detection failures of females, correct estimates accordingly, and investigate the effects of year, season, pup sex and the presence of a telemetry device on attendance cycle parameters. There were no differences between corrected and uncorrected attendance data. This is attributed to the high capture probability across all seasons (range: 83-98%). This illustrates that observer-based studies are useful to augment telemetry studies. Only season and pup sex had a significant impact on female provisioning rates. In winter, foraging trip durations were longer (t-value = 25.22, P &lt; 0.0001) and attendance durations shorter (t-value = -2.15, P = 0.01) than during summer. Females with female pups spent a higher proportion of their time on land (chi(2) = 6.6, P &lt; 0.05). Male pups have higher growth demands and are larger which suggests they can deplete female milk-stores faster.</t>
  </si>
  <si>
    <t>[Wege, M.; Nevoux, M.; De Bruyn, P. J. N.; Bester, M. N.] Univ Pretoria, Dept Zool &amp; Entomol, Mammal Res Inst, ZA-0028 Hatfield, South Africa; [Nevoux, M.] Agrocampus Ouest, F-35042 Rennes, France</t>
  </si>
  <si>
    <t>University of Pretoria; Institut Agro; Agrocampus Ouest</t>
  </si>
  <si>
    <t>Wege, M (corresponding author), Univ Pretoria, Dept Zool &amp; Entomol, Mammal Res Inst, Private Bag X20, ZA-0028 Hatfield, South Africa.</t>
  </si>
  <si>
    <t>mwege@zoology.up.ac.za</t>
  </si>
  <si>
    <t>Wege, Mia/B-1103-2016; de Bruyn, P. J. Nico/E-4176-2010; Bester, Marthán N/E-5387-2010</t>
  </si>
  <si>
    <t>Wege, Mia/0000-0002-9022-3069; de Bruyn, P. J. Nico/0000-0002-9114-9569;</t>
  </si>
  <si>
    <t>Department of Science and Technology, through the National Research Foundation (NRF)</t>
  </si>
  <si>
    <t>Department of Science and Technology, through the National Research Foundation (NRF)(Department of Science &amp; Technology (India))</t>
  </si>
  <si>
    <t>C. Tosh, C. Oosthuizen, M. Phalanndwa, R. Reisinger, T. Mufanadzo, M. Postma, D. van der Merwe, J. Purdon, H. Purdon and T. Scott are gratefully acknowledged for their hard work with field data collection. We also thank the anonymous reviewers, who improved the paper considerably through their constructive and detailed comments. The Department of Environmental Affairs supplied logistical support within the South African National Antarctic Programme. Financial support was provided by the Department of Science and Technology, through the National Research Foundation (NRF), in support of the Marion Island Marine Mammal Programme (MIMMP) of the MRI.</t>
  </si>
  <si>
    <t>10.1017/S0954102014000716</t>
  </si>
  <si>
    <t>WOS:000356492300004</t>
  </si>
  <si>
    <t>Cury, JC; Jurelevicius, DA; Villela, HDM; Jesus, HE; Peixoto, RS; Schaefer, CEGR; Bícego, MC; Seldin, L; Rosado, AS</t>
  </si>
  <si>
    <t>Cury, Juliano C.; Jurelevicius, Diogo A.; Villela, Helena D. M.; Jesus, Hugo E.; Peixoto, Raquel S.; Schaefer, Carlos E. G. R.; Bicego, Marcia C.; Seldin, Lucy; Rosado, Alexandre S.</t>
  </si>
  <si>
    <t>Microbial diversity and hydrocarbon depletion in low and high diesel-polluted soil samples from Keller Peninsula, South Shetland Islands</t>
  </si>
  <si>
    <t>Antarctic soil; bacterial; archaeal and microeukaryotic communities; bioremediation; diversity of microorganisms; oil</t>
  </si>
  <si>
    <t>DEGRADING BACTERIAL COMMUNITIES; OIL BIODEGRADATION; ARCTIC SOILS; GENES; IDENTIFICATION; DEGRADATION; ASSEMBLAGES; HEXADECANE; SEQUENCES; NUMBER</t>
  </si>
  <si>
    <t>The bioremediation of Antarctic soils is a challenge due to the harsh conditions found in this environment. To characterize better the effect of total petroleum hydrocarbon (TPH) concentrations on bacterial, archaeal and microeukaryotic communities in low (LC) and high (HC) hydrocarbon-contaminated soil samples from the Maritime Antarctic clone libraries (small-subunit rRNA genes) were constructed. The results showed that a high concentration of hydrocarbons resulted in a decrease in bacterial and eukaryotic diversity; however, no effect of the TPH concentration was observed for the archaeal community. The HC soil samples demonstrated a high relative abundance of bacterial operational taxonomic units (OTUs) affiliated with unclassified group TM7 and eukaryotic OTUs affiliated with unclassified fungi from Pezizomycotina subphyla. Chemical analyses of the LC and HC soil samples revealed the presence of negligible amounts of nitrogen, thereby justifying the use of biostimulation to remediate these Antarctic soils. Microcosm experiments showed that the application of fertilizers led to an increase of up to 27.8% in the TPH degradation values. The data presented here constitute the first step towards developing the best method to deploy bioremediation in Antarctic soils and provide information to indicate an appropriate action plan for immediate use in the case of new accidents.</t>
  </si>
  <si>
    <t>[Cury, Juliano C.] Univ Fed Sao Joao Del Rei, Sete Lagoas, MG, Brazil; [Cury, Juliano C.; Villela, Helena D. M.; Jesus, Hugo E.; Peixoto, Raquel S.; Rosado, Alexandre S.] Univ Fed Rio de Janeiro, Lab Ecol Microbiana Mol, Rio De Janeiro, Brazil; [Jurelevicius, Diogo A.; Seldin, Lucy] Univ Fed Rio de Janeiro, Lab Genet Microbiana, Rio De Janeiro, Brazil; [Schaefer, Carlos E. G. R.] Univ Fed Vicosa, Dept Solos, Vicosa, MG, Brazil; [Bicego, Marcia C.] Univ Sao Paulo, Inst Oceanog, Sao Paulo, Brazil</t>
  </si>
  <si>
    <t>Universidade Federal de Sao Joao del-Rei; Universidade Federal do Rio de Janeiro; Universidade Federal do Rio de Janeiro; Universidade Federal de Vicosa; Universidade de Sao Paulo</t>
  </si>
  <si>
    <t>Seldin, L (corresponding author), Univ Fed Rio de Janeiro, Lab Genet Microbiana, Rio De Janeiro, Brazil.</t>
  </si>
  <si>
    <t>lseldin@micro.ufrj.br</t>
  </si>
  <si>
    <t>Seldin, Lucy/S-2530-2019; Rosado, Alexandre Soares/G-1955-2012; Peixoto, Raquel/V-2554-2019; Bicego, Marcia C/D-1996-2013; Jurelevicius, Diogo A/I-8235-2014; Schaefer, Carlos Ernesto/AAY-4977-2020; Cury, J C/F-8034-2014</t>
  </si>
  <si>
    <t>Seldin, Lucy/0000-0002-4992-6395; Rosado, Alexandre Soares/0000-0001-5135-1394; Ernesto Goncalves Reynaud Schaefer, Carlos/0000-0001-7060-1598; Peixoto, Raquel/0000-0002-9536-3132; Cury, Juliano/0000-0002-1450-5726; Ernesto Goncalves Reynaud Schaefer, Carlos/0000-0001-5735-3227; Bicego, Marcia/0000-0002-9939-9853</t>
  </si>
  <si>
    <t>National Council for Research and Development (CNPq) [574018/2008-5]; Carlos Chagas Research Support Foundation of the State of Rio de Janeiro (FAPERJ) [E-16/170.023/2008]; Brazilian Ministry of Science, Technology and Innovation (MCTI); Brazilian Ministry of Environment (MMA); Brazilian Ministry of Inter-Ministry Commission for Sea Resources (CIRM); CAPES (Coordenacao de Aperfeicoamento de Pessoal de Nivel Superior)/ FAPERJ; CNPq; FAPERJ</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</si>
  <si>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Ministry of Science, Technology and Innovation (MCTI); Brazilian Ministry of Environment (MMA); Brazilian Ministry of Inter-Ministry Commission for Sea Resources (CIRM); CAPES (Coordenacao de Aperfeicoamento de Pessoal de Nivel Superior)/ FAPERJ; CNPq(Conselho Nacional de Desenvolvimento Cientifico e Tecnologico (CNPQ)); FAPERJ(Fundacao Carlos Chagas Filho de Amparo a Pesquisa do Estado do Rio De Janeiro (FAPERJ))</t>
  </si>
  <si>
    <t>This study integrates the National Institute of Science and Technology Antarctic Environmental Research (INCTAPA) which receives financial support from the National Council for Research and Development (CNPq process: no. 574018/2008-5) and Carlos Chagas Research Support Foundation of the State of Rio de Janeiro (FAPERJ no. E-16/170.023/2008). The authors also acknowledge the support of the Brazilian Ministries of Science, Technology and Innovation (MCTI), of Environment (MMA) and Inter-Ministry Commission for Sea Resources (CIRM). JCC was supported by a postdoctoral fellowship from CAPES (Coordenacao de Aperfeicoamento de Pessoal de Nivel Superior)/ FAPERJ. ASR, RSP, and LS are also supported by CNPq and FAPERJ. The authors also thank Dr Yara Traub-Cseko and Dr Alberto Davila for the use of IOC/FIOCRUZ facilities, and both reviewers who provided some very helpful suggestions for the improvement of the manuscript.</t>
  </si>
  <si>
    <t>10.1017/S0954102014000728</t>
  </si>
  <si>
    <t>WOS:000356492300005</t>
  </si>
  <si>
    <t>Negrete, J; Soibelzon, LH; Soibelzon, E; Márquez, MEI; Loza, CM; Acosta, W; Lusky, J; Pecoraro, M</t>
  </si>
  <si>
    <t>Negrete, Javier; Soibelzon, Leopoldo H.; Soibelzon, Esteban; Marquez, Maria E. I.; Loza, Cleopatra M.; Acosta, Walter; Lusky, Jorge; Pecoraro, Marcelo</t>
  </si>
  <si>
    <t>Aggregation of mummified adult crabeater seals (Pinnipedia: Phocidae) in the eastern Antarctic Peninsula: age and sex structure, taphonomy and cause of death</t>
  </si>
  <si>
    <t>Lobodon carcinophaga; marine mammal stranding; seal disorientation; Seymour Island; virology</t>
  </si>
  <si>
    <t>CETACEAN STRANDING RECORD; PACK-ICE SEALS; LOBODON-CARCINOPHAGUS; BREEDING-SEASON; SOUTHERN-OCEAN; CRABEATER SEAL; MCMURDO SOUND; ABUNDANCE; CARCASSES; RESERVOIR</t>
  </si>
  <si>
    <t>In Antarctica, crabeater seals tend to strand as immature animals with disorientation, due to their inexperience, given as the probable cause. In 2012 and 2013, we examined a group of 80 mummified crabeater seals on Seymour Island (Marambio). The age and gender of 28 seals was determined, and virology and stomach content analyses were performed in order to determine the cause of stranding. Around 82% of the seals examined were adults and 79% were females, some of which were pregnant. All of the seals sampled tested negative for Morbillivirus, suggesting that the stranding was not related to the mass mortality event reported in the 1950s in the region. Most seals had empty stomachs and thin blubber suggesting that they died from starvation. The state of the carcasses suggests multiple stranding events. Most of the seals were located along an ice-covered stream, suggesting that this may act as a natural trap', isolating the seals from the open ocean. This is exceptional as it is the first report of mostly adult female seals to strand in Antarctica and refutes the theory that only young animals are prone to stranding.</t>
  </si>
  <si>
    <t>[Negrete, Javier; Marquez, Maria E. I.] Inst Antartico Argentino, Dept Biol Predadores Tope, Buenos Aires, DF, Argentina; [Soibelzon, Leopoldo H.; Soibelzon, Esteban; Loza, Cleopatra M.] Univ Nacl La Plata, Fac Ciencias Nat &amp; Museo, Div Paleontol Vertebrados, Museo La Plata, RA-1900 La Plata, Buenos Aires, Argentina; [Soibelzon, Leopoldo H.; Soibelzon, Esteban] Consejo Nacl Invest Cient &amp; Tecn, Consejo Nacl Invest Cient, Caba, Argentina; [Acosta, Walter] Univ Nacl La Plata, Fac Ciencias Vet, Catedra Semiol, RA-1900 La Plata, Buenos Aires, Argentina; [Lusky, Jorge] Direcc Nacl Antartico, Dept Tecn &amp; Logist Polar, Buenos Aires, DF, Argentina; [Pecoraro, Marcelo] Univ Nacl La Plata, Fac Ciencias Vet, Catedra Virol, RA-1900 La Plata, Buenos Aires, Argentina</t>
  </si>
  <si>
    <t>Instituto Antartico Argentino; National University of La Plata; Museo La Plata; Consejo Nacional de Investigaciones Cientificas y Tecnicas (CONICET); National University of La Plata; National University of La Plata</t>
  </si>
  <si>
    <t>Negrete, J (corresponding author), Inst Antartico Argentino, Dept Biol Predadores Tope, Cerrito 1248,C1010AAZ, Buenos Aires, DF, Argentina.</t>
  </si>
  <si>
    <t>negretejavi@hotmail.com</t>
  </si>
  <si>
    <t>Negrete, Javier/0000-0001-6853-8307</t>
  </si>
  <si>
    <t>UNLP [PI N700]; CONICET [PIP 0436]; IAA [16]</t>
  </si>
  <si>
    <t>UNLP(National University of La Plata); CONICET(Consejo Nacional de Investigaciones Cientificas y Tecnicas (CONICET)); IAA</t>
  </si>
  <si>
    <t>This work was made possible thanks to the logistics provided by the Instituto Antartico Argentino and the Direccion Nacional del Antartico. Many thanks to P. Campana, G. Mamani, D. Pedreira, L. Bouchet, A. Solver and D. Avalos for their assistance with logistics on the ground; to the Dotacion XLIV of Vicecomodoro Marambio base (Fuerza Aerea Argentina); and Sebastian Marinsek for academic support. Thanks also go to the reviewers for their useful comments and suggestions, especially to Dr Tracey Rogers. This contribution was funded by the UNLP (PI N700), CONICET (PIP 0436) and IAA (PJI and PI no. 16).</t>
  </si>
  <si>
    <t>10.1017/S0954102014000741</t>
  </si>
  <si>
    <t>WOS:000356492300006</t>
  </si>
  <si>
    <t>Coufalík, P; Zverina, O; Krmícek, L; Pokorny, R; Komárek, J</t>
  </si>
  <si>
    <t>Coufalik, Pavel; Zverina, Ondrej; Krmicek, Lukas; Pokorny, Richard; Komarek, Josef</t>
  </si>
  <si>
    <t>Ultra-trace analysis of Hg in alkaline lavas and regolith from James Ross Island</t>
  </si>
  <si>
    <t>basaltic volcanite; fractionation; mercury; polar region; weathered material</t>
  </si>
  <si>
    <t>ANTARCTIC PENINSULA; SKAERGAARD INTRUSION; MERCURY; ECOSYSTEMS; DEPOSITION; GREENLAND; REGION; SPECIATION</t>
  </si>
  <si>
    <t>Polar regions represent a unique environment for the study of mercury cycling in the global ecosystem. Our research was focused on the assessment of the origin and mobility of mercury in the geochemical cycle in Maritime Antarctic (James Ross Island) by means of atomic absorption spectrometry. Mercury content in a set of extrusive (subaerial, subaqueous) and intrusive (dyke) alkaline basalts ranged between 1.6 mu g kg(-1) (for samples without xenoliths) and 8 mu g kg(-1) (for samples containing crustal xenoliths). The mercury content in alkaline basalts indicates a very low concentration of mercury in peridotitic mantle sources. Samples of regolith from James Ross Island were subjected to a comprehensive analytical procedure proposed for ultra-trace mercury concentrations involving fractionation and thermal analysis. Total mercury contents in regolith (2.7-11.3 mu g kg(-1)) did not deviate from the natural background in this part of Antarctica. Additionally, the obtained results are about two orders of magnitude smaller than values formerly assumed for primary mercury contents in basaltic lavas. Our results from Antarctica were compared with mercury contents in basaltic rocks from Greenland and the findings were confirmed. It seems that the input of mercury of geological origin into the polar ecosystem is apparently lower than expected.</t>
  </si>
  <si>
    <t>[Coufalik, Pavel; Zverina, Ondrej; Komarek, Josef] Masaryk Univ, Fac Sci, CS-61137 Brno, Czech Republic; [Coufalik, Pavel] Acad Sci Czech Republic, Inst Analyt Chem, Vvi, Brno 60200, Czech Republic; [Zverina, Ondrej] Masaryk Univ, Fac Sci, Brno 62500, Czech Republic; [Krmicek, Lukas] Brno Univ Technol, Fac Civil Engn, Brno 60200, Czech Republic; [Krmicek, Lukas] Acad Sci Czech Republic, Inst Geol, Vvi, Prague 16500 6, Czech Republic; [Pokorny, Richard] Univ JE Purkyne, Fac Environm Studies, Usti Nad Labem 40096, Czech Republic</t>
  </si>
  <si>
    <t>Masaryk University Brno; Czech Academy of Sciences; Institute of Analytical Chemistry of the Czech Academy of Sciences; Masaryk University Brno; Brno University of Technology; Czech Academy of Sciences; Institute of Geology of the Czech Academy of Sciences; University of Jan Evangelista Purkyne</t>
  </si>
  <si>
    <t>Coufalík, P (corresponding author), Masaryk Univ, Fac Sci, Kotlarska 2, CS-61137 Brno, Czech Republic.</t>
  </si>
  <si>
    <t>coufalik@iach.cz</t>
  </si>
  <si>
    <t>Krmíček, Lukáš/ABB-2293-2020; Zvěřina, Ondřej/AAA-2400-2022; Krmíček, Lukáš/P-7430-2015; Zvěřina, Ondřej/AAE-5507-2019; Coufalik, Pavel/G-9819-2014; Pokorny, Richard/F-2710-2015</t>
  </si>
  <si>
    <t>Krmíček, Lukáš/0000-0003-0943-9776; Zvěřina, Ondřej/0000-0003-0035-6851; Krmíček, Lukáš/0000-0003-0943-9776; Zvěřina, Ondřej/0000-0003-0035-6851; Coufalik, Pavel/0000-0001-6332-9020; Pokorny, Richard/0000-0003-4639-8950</t>
  </si>
  <si>
    <t>Grant Agency of the Czech Republic [P503/12/0682]; Institute of Analytical Chemistry of the ASCR under the Institutional Research Plan [RVO: 68081715]; Institute of Geology of the ASCR [RVO 67985831]; [CZ.1.07/2.3.00/35.0046]; [FZP IG 1/2014]</t>
  </si>
  <si>
    <t>Grant Agency of the Czech Republic(Grant Agency of the Czech RepublicNorwegian Agency for Development Cooperation - NORAD); Institute of Analytical Chemistry of the ASCR under the Institutional Research Plan; Institute of Geology of the ASCR; ;</t>
  </si>
  <si>
    <t>We greatly appreciate editorial handling of John Smellie as well as the thoughtful reviews of two anonymous reviewers. The main financial support was provided by the Grant Agency of the Czech Republic, Project P503/12/0682. The authors are grateful to the Czech Antarctic Station J. G. Mendel, James Ross Island, Antarctica and the Arctic Station in Qeqertarsuaq, Disko Island, West Greenland for allowing them access to their facilities. The work was also supported by the Institute of Analytical Chemistry of the ASCR under the Institutional Research Plan RVO: 68081715, and by the project RVO 67985831 of the Institute of Geology of the ASCR. The involvement of Lukas Krmicek in polar research was covered by the EXCELLENT TEAMS project at Brno University of Technology; registration number CZ.1.07/2.3.00/30.0005. Richard Pokorny also acknowledges the projects CZ.1.07/2.3.00/35.0046 and FZP IG 1/2014. Special thanks go to Diana Sychova for technical assistance.</t>
  </si>
  <si>
    <t>10.1017/S0954102014000819</t>
  </si>
  <si>
    <t>WOS:000356492300007</t>
  </si>
  <si>
    <t>Weihaupt, JG; Van Der Hoeven, FG; Chambers, FB; Lorius, C; Wyckoff, JW; Castendyk, D</t>
  </si>
  <si>
    <t>Weihaupt, John G.; Van Der Hoeven, Frans G.; Chambers, Frederick B.; Lorius, Claude; Wyckoff, John W.; Castendyk, Devin</t>
  </si>
  <si>
    <t>The Wilkes Land Anomaly revisited</t>
  </si>
  <si>
    <t>Antarctic; gravity anomalies; magnetic anomalies; subglacial topography</t>
  </si>
  <si>
    <t>CHICXULUB IMPACT CRATER; GRAVITY; ANTARCTICA; TRAVERSE; SURFACE; MODEL; BASIN; CRUST; BODY; SIZE</t>
  </si>
  <si>
    <t>The Wilkes Land Gravity Anomaly, first reported in 1959-60, is located in northern Victoria Land in the Pacific Ocean sector of East Antarctica, 1400 km west of the Ross Sea and centred at 70 degrees 00'S-140 degrees 00'E. Initially described on the basis of ground-based seismic and gravity survey, and estimated at the time to have a diameter of 243 km, the original data are now supplemented by data from airborne radiosound survey, airborne gravity survey, airborne magnetic survey and satellite remote sensing. These new data enable us to expand upon the original data, and reveal that the structure has a diameter of some 510 km, is accompanied by ice streams and a chaotically disturbed region of the continental ice sheet, has a subglacial topographical relief of &gt;= 1500 m, and exhibits a negative free air gravity anomaly associated with a larger central positive free air gravity anomaly. The feature has been described as a volcanic structure, an igneous intrusion, an ancient igneous diapir, a subglacial sedimentary basin, a glacially eroded subglacial valley, a tectonic feature and a meteorite impact crater. We re-examine the feature on the basis of these collective data, with emphasis on the free air gravity anomaly signs, magnitudes and patterns, magnetic signature magnitudes and patterns, and the size, shape, dimensions and morphology of the structure. This enhanced view adds substantially to the original description provided at the time of discovery, and suggests several explanations for the origin of the Wilkes Land Anomaly. However, the importance of this feature lies not only in determining its origin but by the fact that this part of the Wilkes Subglacial Basin is one of the most prominent regional negative geoid and associated gravity anomalies of the Antarctic continent.</t>
  </si>
  <si>
    <t>[Weihaupt, John G.] Univ Colorado, Dept Geol, Denver, CO 80217 USA; [Van Der Hoeven, Frans G.] Delft Univ Technol, Dept Geophys, Delft, Netherlands; [Chambers, Frederick B.; Wyckoff, John W.] Univ Colorado, Dept Geog &amp; Environm Sci, Denver, CO 80217 USA; [Lorius, Claude] Lab Glaciol &amp; Geophys Environm, Grenoble, France; [Castendyk, Devin] Univ Colorado, Inst Arctic &amp; Alpine Res, Boulder, CO 80309 USA</t>
  </si>
  <si>
    <t>University of Colorado System; University of Colorado Denver; Delft University of Technology; University of Colorado System; University of Colorado Denver; Communaute Universite Grenoble Alpes; Universite Grenoble Alpes (UGA); University of Colorado System; University of Colorado Boulder</t>
  </si>
  <si>
    <t>Weihaupt, JG (corresponding author), Univ Colorado, Dept Geol, Denver, CO 80217 USA.</t>
  </si>
  <si>
    <t>Frederick.chambers@ucdenver.edu</t>
  </si>
  <si>
    <t>Chambers, Frederick/AAD-2301-2021</t>
  </si>
  <si>
    <t>U.S. National Science Foundation; Arctic Institute of North America; University of Colorado; Delft Technical University; Laboratoire de Glaciologie et Geophysique de Environment; Institute of Arctic and Alpine Research; University of Colorado Boulder; University of Wisconsin</t>
  </si>
  <si>
    <t>U.S. National Science Foundation(National Science Foundation (NSF)); Arctic Institute of North America; University of Colorado; Delft Technical University; Laboratoire de Glaciologie et Geophysique de Environment; Institute of Arctic and Alpine Research; University of Colorado Boulder; University of Wisconsin</t>
  </si>
  <si>
    <t>We wish to express our appreciation first to other colleagues of the United States Victoria Land Traverse who accompanied and assisted us in the field, A. W. Stuart, A.J. Heine, L. Roberts, W.M. Smith, A. Taylor, T. Baldwin and W. Jackman. We wish to thank also the Editor and reviewers of the manuscript who made valuable comments and critical suggestions. We appreciate as well the U.S. National Science Foundation, the Arctic Institute of North America, the University of Colorado, Delft Technical University, Laboratoire de Glaciologie et Geophysique de Environment, the Institute of Arctic and Alpine Research, University of Colorado Boulder, and the University of Wisconsin for administrative and financial support.</t>
  </si>
  <si>
    <t>10.1017/S0954102014000789</t>
  </si>
  <si>
    <t>WOS:000356492300008</t>
  </si>
  <si>
    <t>Russell, A; Gohlan, M; Smedley, A; Densham, M</t>
  </si>
  <si>
    <t>Russell, Andrew; Gohlan, Manmohan; Smedley, Andrew; Densham, Martin</t>
  </si>
  <si>
    <t>The ultraviolet radiation environment during an expedition across the Drake Passage and on the Antarctic Peninsula</t>
  </si>
  <si>
    <t>Avery Plateau; BSAE 2012; climate change; Loubet Coast; ozone depletion; UV dosimetry; UV erythemal daily dose</t>
  </si>
  <si>
    <t>OZONE DEPLETION; DNA-DAMAGE; EXPOSURE; THWAITES; MELANOMA</t>
  </si>
  <si>
    <t>Polysulphone ultraviolet dosimetry badges were deployed daily during a British Services Antarctic Expedition to the Antarctic Peninsula, including a cruise period across the Drake Passage. The expedition was undertaken from 20 December 2011 to 7 March 2012. Badges were successfully analysed from 46 days of the expedition with a daily mean of 1.8 kJ m(-2) erythemal daily dose (EDD) and a range of 0.3-4.3 kJ m(-2) EDD. The results indicate that the ultraviolet EDD experienced was comparable to temperate, mid-latitude locations in the spring/late summer. The variability of the badge measurements was mostly consistent with observations from a local ground-based radiometer and equivalent satellite-derived products. However, such comparisons are limited by the changing location/altitude of the expedition and known biases in the satellite data. This highlights that the new dataset of exposure experienced at the Antarctic surface complements those produced by stationary ground-based instruments or satellites and, therefore, that the badge dataset brings a new element to this issue. The highest EDD values during the expedition occurred at high altitude, and the lowest EDD values occurred at low altitude and high latitude with relatively high total ozone column concentration.</t>
  </si>
  <si>
    <t>[Russell, Andrew; Gohlan, Manmohan] Brunel Univ London, Inst Environm Hlth &amp; Soc, Uxbridge UB8 3PH, Middx, England; [Smedley, Andrew] Univ Manchester, Ctr Atmospher Sci, Manchester M13 9PL, Lancs, England; [Densham, Martin] British Serv Antarctic Expedit, Northwood HA6 3HP, Middx, England</t>
  </si>
  <si>
    <t>Brunel University; University of Manchester</t>
  </si>
  <si>
    <t>Russell, A (corresponding author), Brunel Univ London, Inst Environm Hlth &amp; Soc, Kingston Lane, Uxbridge UB8 3PH, Middx, England.</t>
  </si>
  <si>
    <t>andrew.russell@brunel.ac.uk</t>
  </si>
  <si>
    <t>Smedley, Andrew R D/N-9865-2014; Smedley, Andrew/N-7194-2019; Russell, Andrew/B-2260-2008</t>
  </si>
  <si>
    <t>Smedley, Andrew/0000-0001-7137-6628; Russell, Andrew/0000-0001-7120-8499</t>
  </si>
  <si>
    <t>Royal Meteorological Society; Royal Geographical Society</t>
  </si>
  <si>
    <t>We would like the thank the Royal Meteorological Society and the Royal Geographical Society (with the Institute of British Geographers) for their financial support in relation to the purchase and processing of the dosimetric badges. We would also like to thank NASA for making the Aura OMI and Terra MODIS data available online, and NOAA for making the Palmer EDD and UVB irradiance data available online. We are also grateful to all those involved in the BSAE who made the collection of the badge data possible. We also appreciate the excellent comments of two anonymous reviewers that markedly improved the quality of the paper.</t>
  </si>
  <si>
    <t>10.1017/S0954102014000790</t>
  </si>
  <si>
    <t>WOS:000356492300009</t>
  </si>
  <si>
    <t>Nadeau, LP; Ferrari, R</t>
  </si>
  <si>
    <t>Nadeau, Louis-Philippe; Ferrari, Raffaele</t>
  </si>
  <si>
    <t>The Role of Closed Gyres in Setting the Zonal Transport of the Antarctic Circumpolar Current</t>
  </si>
  <si>
    <t>Geographic location; entity; Southern Ocean; Circulation; Dynamics; Baroclinic flows; Channel flows; Large-scale motions; Mesoscale processes; Ocean dynamics</t>
  </si>
  <si>
    <t>SOUTHERN-OCEAN; OVERTURNING CIRCULATION; MOMENTUM BALANCE; MODEL; CHANNEL; EQUILIBRATION; STRESS</t>
  </si>
  <si>
    <t>Eddy-permitting simulations are used to show that basinlike gyres can be observed in the large-scale barotropic flow of a wind-driven channel with a meridional topographic ridge. This is confirmed using both two-layer quasigeostrophic and 25-level primitive equation models at high horizontal resolution. Comparing results from simulations with and without the topographic ridge, it is shown that the zonal baroclinic transport in the channel increases with increasing wind stress when the bottom topography is flat but not when there is a meridional ridge. The saturation of transport for increasing wind occurs in conjunction with the development of recirculating gyres in the large-scale barotropic streamfunction. This suggests that the total circulation can be thought of as a superposition of a gyre mode (which has zero circumpolar transport) and a free circumpolar mode (which contains all of the transport). Basinlike gyres arise in the channel because the topography steers the barotropic streamlines and supports a frictional boundary layer similar to the more familiar ones observed along western boundaries. The gyre mode is thus closely linked with the bottom form stress exerted by the along-ridge flow and provides the sink for the wind momentum input. In this framework, any increase in wind forcing spins a stronger gyre as opposed to feeding the circumpolar transport. This hypothesis is supported with a suite of experiments where key parameters are carried over a wide range: wind stress, wind stress curl, ridge height, channel length, and bottom friction.</t>
  </si>
  <si>
    <t>[Nadeau, Louis-Philippe; Ferrari, Raffaele] MIT, Dept Earth Atmospher &amp; Planetary Sci, Cambridge, MA 02139 USA</t>
  </si>
  <si>
    <t>Massachusetts Institute of Technology (MIT)</t>
  </si>
  <si>
    <t>Nadeau, LP (corresponding author), MIT, Dept Earth Atmospher &amp; Planetary Sci, 54-1622 Massachusetts Inst Technol, Cambridge, MA 02139 USA.</t>
  </si>
  <si>
    <t>lpnadeau@mit.edu</t>
  </si>
  <si>
    <t>Ferrari, Raffaele/C-9337-2013</t>
  </si>
  <si>
    <t>Ferrari, Raffaele/0000-0002-3736-1956</t>
  </si>
  <si>
    <t>Mathematics and Climate Research Network (MCRN) fellowship; NSF [OCE-1233832]; Division Of Ocean Sciences; Directorate For Geosciences [1233832] Funding Source: National Science Foundation</t>
  </si>
  <si>
    <t>Mathematics and Climate Research Network (MCRN) fellowship; NSF(National Science Foundation (NSF)); Division Of Ocean Sciences; Directorate For Geosciences(National Science Foundation (NSF)NSF - Directorate for Geosciences (GEO))</t>
  </si>
  <si>
    <t>We thank David Straub, Nicolas Grisouard, and David Ferreira for helpful discussions and help with the MITgcm. Thanks to David Holland and the NYU HPC team for the computing facilities at NYU. We acknowledge support from a Mathematics and Climate Research Network (MCRN) fellowship (LPN) and an NSF OCE-1233832 Award (LPN and RF).</t>
  </si>
  <si>
    <t>10.1175/JPO-D-14-0173.1</t>
  </si>
  <si>
    <t>CK4XW</t>
  </si>
  <si>
    <t>WOS:000356227700003</t>
  </si>
  <si>
    <t>Yau, AM; Bender, ML; Marchant, DR; Mackay, SL</t>
  </si>
  <si>
    <t>Yau, Audrey M.; Bender, Michael L.; Marchant, David R.; Mackay, Sean L.</t>
  </si>
  <si>
    <t>Geochemical analyses of air from an ancient debris-covered glacier, Antarctica</t>
  </si>
  <si>
    <t>Ice cores; Ar-dating; Stable isotopes; Antarctica; Dry Valleys</t>
  </si>
  <si>
    <t>TRIPLE-ISOTOPE COMPOSITION; BEACON VALLEY; POLAR ICE; ATMOSPHERIC OXYGEN; CLIMATE-CHANGE; DRY VALLEYS; FIRN; GASES; FRACTIONATION; GREENLAND</t>
  </si>
  <si>
    <t>We examined air trapped in ancient ice from three shallow cores (&lt;35 m deep) recovered from stagnant portions of the Mullins glacier, an 8 km long debris-covered alpine glacier in the McMurdo Dry Valleys that is overlain by several in-situ volcanic ash-fall deposits. Previously reported 40Ar/39Ar dates on ashfall in the vicinity of the core sites average 4.0 Ma, and underlying ice is presumably as old in some areas. We analyzed the elemental and isotopic composition of O-2, N-2, and Ar and total air content of the glacial ice. We also dated the trapped air directly to an uncertainty of +/- 220 kyr (1 sigma) by measuring its 40Ar/Ar-36 and Ar-38/Ar-36 ratios. Our results suggest that the air analyzed is likely a mixture of ancient atmosphere trapped at the time of ice formation and more recent air introduced via cracks in the ice that penetrate to at least 33 m. The isotopic signatures of gases have been complicated by gas loss, as well as a mixture of thermal and gravitational fractionation. The oldest age estimated for the trapped air dates to 1.6 Ma, indicating that the original air is at least as old as 1.6 +/- 0.2 Ma. A convergence to older ice ages with increasing depth in the deepest core analyzed (33 m) hints at the possibility that pristine air might be recovered at greater depths. Minor interstitial debris present in the glacial ice (&lt;1%), along with geochemical evidence for in-situ microbial respiration, prohibit direct analysis of CO2. We measured the triple isotopic composition of O-2 as a proxy for CO2 and infer that, in the air represented in our ice samples, CO2 concentrations are within the range observed over the last 800 ka. (C) 2015 Elsevier B.V. All rights reserved.</t>
  </si>
  <si>
    <t>[Yau, Audrey M.; Bender, Michael L.] Princeton Univ, Dept Geosci, Princeton, NJ 08540 USA; [Marchant, David R.; Mackay, Sean L.] Boston Univ, Dept Earth &amp; Environm, Boston, MA 02215 USA</t>
  </si>
  <si>
    <t>Princeton University; Boston University</t>
  </si>
  <si>
    <t>Yau, AM (corresponding author), Princeton Univ, Dept Geosci, Princeton, NJ 08540 USA.</t>
  </si>
  <si>
    <t>ayau@dri.edu</t>
  </si>
  <si>
    <t>Mackay, Sean/0000-0001-5493-3728</t>
  </si>
  <si>
    <t>National Science Foundation, Polar Programs [ANT-0636731, ANT-0739700, ANT-0944702]; Directorate For Geosciences; Division Of Polar Programs [0739700] Funding Source: National Science Foundation</t>
  </si>
  <si>
    <t>National Science Foundation, Polar Programs(National Science Foundation (NSF)); Directorate For Geosciences; Division Of Polar Programs(National Science Foundation (NSF)NSF - Directorate for Geosciences (GEO))</t>
  </si>
  <si>
    <t>This material is based upon work supported by the National Science Foundation, Polar Programs, under Grant ANT-0636731 to MLB and Grants ANT-0739700 and ANT-0944702 to DRM. Logistical support for this project in Antarctica was provided by the U.S. National Science Foundation through the U.S. Antarctic Program. And we thank Jeffrey Severinghaus for his thoughtful counsel.</t>
  </si>
  <si>
    <t>10.1016/j.quageo.2015.03.008</t>
  </si>
  <si>
    <t>CK9JJ</t>
  </si>
  <si>
    <t>WOS:000356556100003</t>
  </si>
  <si>
    <t>Michels, J; Vogt, J; Simon, P; Gorb, SN</t>
  </si>
  <si>
    <t>Michels, Jan; Vogt, Juergen; Simon, Paul; Gorb, Stanislav N.</t>
  </si>
  <si>
    <t>New insights into the complex architecture of siliceous copepod teeth</t>
  </si>
  <si>
    <t>ZOOLOGY</t>
  </si>
  <si>
    <t>Chitin fibre network; Marine copepod; Crystalline silica; Mandibular gnathobase; Resilin</t>
  </si>
  <si>
    <t>CRYSTALLINE SILICA; OPAL TEETH; DIATOMS; CHITIN; TOOLS</t>
  </si>
  <si>
    <t>Copepods belong to the dominant marine zooplankton taxa and play an important role in particle and energy fluxes of the marine water column. Their mandibular gnathobases possess tooth-like structures, so-called teeth. In species feeding on large proportions of diatoms these teeth often contain silica, which is very probably the result of a coevolution with the siliceous diatom frustules. Detailed knowledge of the morphology and composition of the siliceous teeth is essential for understanding their functioning and their significance in the context of feeding interactions between copepods and diatoms. Based on analyses of the gnathobases of the Antarctic copepod Rhincalanus gigas, the present study clearly shows, for the first time, that the silica in the siliceous teeth features large proportions of crystalline silica that is consistent with the mineral alpha-cristobalite and is doped with aluminium. The siliceous structures have internal chitinous fibre networks, which are assumed to serve as scaffolds during the silicification process. The compact siliceous teeth of R. gigas are accompanied by structures with large proportions of the elastic protein resilin, likely reducing the mechanical damage of the teeth when the copepods feed on diatoms with very stable frustules. The results indicate that the coevolution with diatom frustules has resulted in gnathobases exhibiting highly sophisticated composite structures. (C) 2015 Elsevier GmbH. All rights reserved.</t>
  </si>
  <si>
    <t>[Michels, Jan; Gorb, Stanislav N.] Univ Kiel, Inst Zool, Dept Funct Morphol &amp; Biomech, D-24118 Kiel, Germany; [Michels, Jan] GEOMAR Helmholtz Ctr Ocean Res Kiel, Biol Oceanog, D-24105 Kiel, Germany; [Vogt, Juergen] Univ Leipzig, Fac Phys &amp; Earth Sci, D-04103 Leipzig, Germany; [Simon, Paul] Max Planck Inst Chem Phys Solids, D-01187 Dresden, Germany</t>
  </si>
  <si>
    <t>University of Kiel; Helmholtz Association; GEOMAR Helmholtz Center for Ocean Research Kiel; Leipzig University; Max Planck Society</t>
  </si>
  <si>
    <t>Michels, J (corresponding author), Univ Kiel, Inst Zool, Dept Funct Morphol &amp; Biomech, Bot Garten 1-9, D-24118 Kiel, Germany.</t>
  </si>
  <si>
    <t>jmichels@zoologie.uni-kiel.de</t>
  </si>
  <si>
    <t>Michels, Jan/B-1023-2014</t>
  </si>
  <si>
    <t>Helmholtz Association [VH-VI-301]</t>
  </si>
  <si>
    <t>Helmholtz Association(Helmholtz Association)</t>
  </si>
  <si>
    <t>We are grateful to Hannes Lichte for the possibility to perform TEM analyses in the Triebenberg Laboratory (Technische Universitat Dresden, Germany). The fantastic work and the help of the captain, the officers and the crew of the research vessel 'Polarstern' are very gratefully acknowledged. This project was part of the virtual institute 'PlanktonTech' funded by the Helmholtz Association (VH-VI-301).</t>
  </si>
  <si>
    <t>0944-2006</t>
  </si>
  <si>
    <t>10.1016/j.zool.2014.11.001</t>
  </si>
  <si>
    <t>CL2EE</t>
  </si>
  <si>
    <t>WOS:000356755600001</t>
  </si>
  <si>
    <t>Lu, JF; Qi, LN; Guo, W; Song, YS; Jung, YA; Cheng, YD; Jin, YZ</t>
  </si>
  <si>
    <t>Lu, Jianfeng; Qi, Lina; Guo, Wen; Song, Yishan; Jung, Yong An; Cheng, Yu-dong; Jin, Yinzhe</t>
  </si>
  <si>
    <t>Determination of Fluoride Concentration in Antarctic Krill (Euphausia superba) using Dielectric Spectroscopy</t>
  </si>
  <si>
    <t>BULLETIN OF THE KOREAN CHEMICAL SOCIETY</t>
  </si>
  <si>
    <t>Antarctic krill; Fluoride; Dielectric property; Ion-selective electrode; Potassium permanganate titration</t>
  </si>
  <si>
    <t>ION-SELECTIVE ELECTRODE; PROTEIN-SOURCES; FRESH-WATER; DIETS; FOOD; GLASSES; MEALS; FISH</t>
  </si>
  <si>
    <t>The concentration of fluoride in Antarctic krill (Euphausia superb) was investigated using a coaxial probe method based on dielectric properties in the 0.3-10GHz frequency range. A quantitative relationship between the fluoride concentration in the aqueous solution and the dielectric loss at 0.3GHz was also established with a regression coefficient over 0.98. The concentrations of fluoride in fresh and dried krill samples with different krill positions, such as shell and meat, were determined. The detected value agrees well with that determined using other methods, such as fluoride ion-selective electrode (ISE) and potassium permanganate titration (PPT). The fluoride concentrations in fresh krill were 0.0127, 0.0133, and 0.0152 mg/mL using dielectric spectroscopy, PPT, and ISE, respectively. These results show that the proposed dielectric loss technique is suitable and effective for determining fluoride content in Antarctic krill.</t>
  </si>
  <si>
    <t>[Lu, Jianfeng; Qi, Lina; Guo, Wen; Song, Yishan; Cheng, Yu-dong; Jin, Yinzhe] Shanghai Ocean Univ, Coll Food Sci &amp; Technol, Dept Food Sci &amp; Engn, Shanghai 201306, Peoples R China; [Jung, Yong An] Korea Machinery Meter &amp; Petrochem Testing &amp; Res I, Fine Chem Anal &amp; Res Team, Seoul 135120, South Korea</t>
  </si>
  <si>
    <t>Shanghai Ocean University</t>
  </si>
  <si>
    <t>Cheng, YD (corresponding author), Shanghai Ocean Univ, Coll Food Sci &amp; Technol, Dept Food Sci &amp; Engn, Shanghai 201306, Peoples R China.</t>
  </si>
  <si>
    <t>ydcheng@shou.edu.cn; yzjin@shou.edu.cn</t>
  </si>
  <si>
    <t>Science and Technology Commission of Shanghai Municipality [12290502200]; Shanghai University Knowledge Service Platform; Shanghai Ocean University Aquatic Animal Breeding Center [ZFI206]</t>
  </si>
  <si>
    <t>Science and Technology Commission of Shanghai Municipality(Science &amp; Technology Commission of Shanghai Municipality (STCSM)); Shanghai University Knowledge Service Platform; Shanghai Ocean University Aquatic Animal Breeding Center</t>
  </si>
  <si>
    <t>This research was supported by the Science and Technology Commission of Shanghai Municipality (12290502200) and Shanghai University Knowledge Service Platform and Shanghai Ocean University Aquatic Animal Breeding Center (ZFI206).</t>
  </si>
  <si>
    <t>WILEY-V C H VERLAG GMBH</t>
  </si>
  <si>
    <t>WEINHEIM</t>
  </si>
  <si>
    <t>POSTFACH 101161, 69451 WEINHEIM, GERMANY</t>
  </si>
  <si>
    <t>0253-2964</t>
  </si>
  <si>
    <t>1229-5949</t>
  </si>
  <si>
    <t>B KOREAN CHEM SOC</t>
  </si>
  <si>
    <t>Bull. Korean Chem. Soc.</t>
  </si>
  <si>
    <t>10.1002/bkcs.10295</t>
  </si>
  <si>
    <t>CK1RY</t>
  </si>
  <si>
    <t>WOS:000355986100002</t>
  </si>
  <si>
    <t>Brzezinski, MA; Jones, JL</t>
  </si>
  <si>
    <t>Brzezinski, Mark A.; Jones, Janice L.</t>
  </si>
  <si>
    <t>Coupling of the distribution of silicon isotopes to the meridional overturning circulation of the North Atlantic Ocean</t>
  </si>
  <si>
    <t>Atlantic Ocean; Silicon isotopes; Silicic acid concentration; GEOTRACES</t>
  </si>
  <si>
    <t>SOUTHERN-OCEAN; ACID CONCENTRATIONS; FRACTIONATION; DIATOMS; CYCLE; OCEANOGRAPHY; MECHANISMS; NUTRIENTS; NITROGEN; NITRATE</t>
  </si>
  <si>
    <t>The distribution of silicon isotopes within silicic acid, delta Si-30(OH)(4), was examined along a section in the North Atlantic from the Cape Verde Islands off Africa to Cape Cod, Massachusetts in North America. Surface water displayed elevated delta Si-30(OH)(4) associated with biological fractionation of Si during silica production. Below 300 m variations in delta Si-30(OH)(4) were closely tied to the distribution of water masses as diagnosed through optimum multiparameter analysis, confirming a tight relationship between delta Si-30 (OH)(4) and the meridional overturning circulation in the Atlantic. A linear relationship between delta Si-30 (OH)(4) and the inverse of silicic acid concentration supported control of Si isotope distribution by conservative mixing of end member water masses of different isotopic composition in the Atlantic. There was a suggestion of a weak local minimum in delta Si-30(OH)(4) in deep waters above the Trans-Atlantic Geotraverse hydrothermal zone on the mid-Atlantic Ridge consistent with the light delta Si-30(OH)(4) of hydrothermal waters. The lightest delta Si-30(OH)(4) values were observed in the deep western and deep eastern basins where Antarctic Bottom Water (AABW) dominated. The heaviest values in subsurface waters occurred in North Atlantic Deep Water due to strong ventilation and the contribution of heavy northern source waters that are influenced by the Arctic Ocean. The concept of a silicon isotope bipole is introduced to explain how the isotopic differences between the northern and southern end-member water masses arise, and how they influence Si isotope distributions. Northern end-member water masses are heavy due to the influence of the Arctic Ocean. Bottom topography prevents light deep waters from entering the Arctic and the further removal of light isotopes through local biological productivity results in extremely heavy delta Si-30(OH)(4) within the Arctic. Light AABW dominates the southern end member. The Southern Ocean silicic acid trap distills heavier isotopes of Si out of the Southern Ocean as preformed silicic acid within Antarctic mode waters, while retaining light isotopes that become incorporated into AABW. The influence of the silicon isotope bipole is predicted to be strongest in the Atlantic as the net flow of waters through the Arctic Ocean is from the Pacific to the Atlantic. (C) 2015 Elsevier Ltd. All rights reserved.</t>
  </si>
  <si>
    <t>[Brzezinski, Mark A.; Jones, Janice L.] Univ Calif Santa Barbara, Inst Marine Sci, Santa Barbara, CA 93106 USA; [Brzezinski, Mark A.] Univ Calif Santa Barbara, Dept Ecol Evolut &amp; Marine Biol, Santa Barbara, CA 93106 USA</t>
  </si>
  <si>
    <t>University of California System; University of California Santa Barbara; University of California System; University of California Santa Barbara</t>
  </si>
  <si>
    <t>Brzezinski, MA (corresponding author), Univ Calif Santa Barbara, Inst Marine Sci, Santa Barbara, CA 93106 USA.</t>
  </si>
  <si>
    <t>mark.brzezinski@lifesci.ucsb.edu</t>
  </si>
  <si>
    <t>National Science Foundation [OCE1129227]; NSF [OCE-0926423, OCE-0926204, OCE-0926092]; Directorate For Geosciences; Division Of Ocean Sciences [1129227] Funding Source: National Science Foundation</t>
  </si>
  <si>
    <t>National Science Foundation(National Science Foundation (NSF)); NSF(National Science Foundation (NSF)); Directorate For Geosciences; Division Of Ocean Sciences(National Science Foundation (NSF)NSF - Directorate for Geosciences (GEO))</t>
  </si>
  <si>
    <t>This research was support by OCE1129227 from the National Science Foundation. Our thanks to Bob Anderson, Chris Hayes and Katharina Pahnke for help with sampling logistics and sample collection at sea. Our thanks to James Moffett for logistical assistance with shipping seawater samples back to our laboratory. Funding for shiptime, sampling operations, and hydrographic data were provided by NSF grants to the US GEOTRACES North Atlantic Transect Management team of W. Jenkins (OCE-0926423), E. Boyle (OCE-0926204), and G. Cutter (OCE-0926092). This manuscript benefited from a critique by Katherine Hendry and a second anonymous reviewer.</t>
  </si>
  <si>
    <t>10.1016/j.dsr2.2014.11.015</t>
  </si>
  <si>
    <t>CK3LD</t>
  </si>
  <si>
    <t>WOS:000356116700007</t>
  </si>
  <si>
    <t>Sedwick, PN; Sohst, BM; Ussher, SJ; Bowie, AR</t>
  </si>
  <si>
    <t>Sedwick, P. N.; Sohst, B. M.; Ussher, S. J.; Bowie, A. R.</t>
  </si>
  <si>
    <t>A zonal picture of the water column distribution of dissolved iron(II) during the US GEOTRACES North Atlantic transect cruise (GEOTRACES GA03)</t>
  </si>
  <si>
    <t>Iron; GEOTRACES; Trace metal; North Atlantic</t>
  </si>
  <si>
    <t>FLOW INJECTION-CHEMILUMINESCENCE; OXIDATION-KINETICS; PICOMOLAR CONCENTRATIONS; REDOX SPECIATION; ORGANIC COMPLEXATION; HYDROGEN-PEROXIDE; NATURAL-WATERS; SURFACE WATERS; TRACE-ELEMENTS; SOUTHERN-OCEAN</t>
  </si>
  <si>
    <t>We report measurements of the transient species iron(II) in filtered water column samples collected during the U.S. GEOTRACES North Atlantic transect cruise (GEOTRACES GA03), which was comprised of legs from Lisbon to Cape Verde in October-November 2010, and from Woods Hole to Cape Verde in November-December 2011. Dissolved iron(II) (dFe(II)) was determined at sea in 0.2 mu m filtered samples as soon as possible after collection and filtration, using flow injection analysis, with mean detection limits of 0.06 nM and 0.01 nM during the 2010 and 2011 cruise legs, respectively. Water column concentrations along the cruise transects were generally low ( &lt; 0.2 nM), with the exception of deep water samples collected over the Trans Atlantic Geotraverse hydrothermal field, in which dFe(II) was as high as 70 nM and accounted for more than 80% of the dissolved iron pool in the near-field hydrothermal plume. Smaller local concentration maxima were observed near 1000 m depth in the low-oxygen, iron-rich waters to the east of Cape Verde, where dFe(II) is correlated with apparent oxygen utilization, and in the upper water column at several stations in the Subtropical Gyre, where dFe(II) can account for greater than 50% of the dissolved iron pool in the lower euphotic zone. Elevated dFe(II) concentrations were also observed over much of the water column on the Bermuda platform, although the source of this enrichment remains uncertain, in the absence of data between Woods Hole and Bermuda. (C) 2014 Elsevier Ltd. All rights reserved.</t>
  </si>
  <si>
    <t>[Sedwick, P. N.; Sohst, B. M.] Old Dominion Univ, Ocean Earth &amp; Atmospher Sci, Norfolk, VA 23529 USA; [Ussher, S. J.] Univ Plymouth, Sch Geog Earth &amp; Environm Sci, Plymouth PL4 8AA, Devon, England; [Bowie, A. R.] Univ Tasmania, Inst Marine &amp; Antarctic Studies, Hobart, Tas 7001, Australia; [Bowie, A. R.] Antarctic Climate &amp; Ecosyst Cooperat Res Ctr, Hobart, Tas 7001, Australia</t>
  </si>
  <si>
    <t>Old Dominion University; University of Plymouth; University of Tasmania; Antarctic Climate &amp; Ecosystems Cooperative Research Centre (ACE CRC)</t>
  </si>
  <si>
    <t>Sedwick, PN (corresponding author), Old Dominion Univ, Ocean Earth &amp; Atmospher Sci, Norfolk, VA 23529 USA.</t>
  </si>
  <si>
    <t>; Bowie, Andrew/C-8677-2013</t>
  </si>
  <si>
    <t>Sedwick, Peter/0000-0003-0663-8323; Bowie, Andrew/0000-0002-5144-7799; Ussher, Simon/0000-0001-6724-9212</t>
  </si>
  <si>
    <t>NSF [OCE-0926423, OCE-0926204, OCE-0926092, OCE-0927285]; Division Of Ocean Sciences; Directorate For Geosciences [0927285] Funding Source: National Science Foundation</t>
  </si>
  <si>
    <t>NSF(National Science Foundation (NSF)); Division Of Ocean Sciences; Directorate For Geosciences(National Science Foundation (NSF)NSF - Directorate for Geosciences (GEO))</t>
  </si>
  <si>
    <t>We thank the cruise co-chief scientists Ed Boyle, Greg Cutter and Bill Jenkins, and are grateful for the sampling assistance that was provided by Ana Aguilar-Islas, Randelle Bundy, Jessica Fitzsimmons, Peter Morton, Rachel Shelley and Geoffrey Smith. We also thank the Oceanographic Data Facility team of Susan Becker, Mary Johnson, Rob Palomares and Courtney Schatzman for collection and processing of the ancillary cruise data. We owe a debt of gratitude to Angela Milne and Paul Worsfold for assisting with the loan and mid-cruise delivery of a replacement detector. Bill Jenkins very kindly made the results of his water mass analyses and AOU calculations available to us. Funding for ship time, sampling operations, and hydrographic data were provided by NSF grants to the U.S. GEOTRACES North Atlantic Transect Management team of W. Jenkins (OCE-0926423), E. Boyle (OCE-0926204), and G. Cutter (OCE-0926092). The primary funding for the research described here was provided by NSF award OCE-0927285 to P. Sedwick. The manuscript benefitted from the thoughtful reviews that were provided by two anonymous referees and special issue editor Ed Boyle.</t>
  </si>
  <si>
    <t>10.1016/j.dsr2.2014.11.004</t>
  </si>
  <si>
    <t>WOS:000356116700013</t>
  </si>
  <si>
    <t>Measures, C; Hatta, M; Fitzsimmons, J; Morton, P</t>
  </si>
  <si>
    <t>Measures, Chris; Hatta, Mariko; Fitzsimmons, Jessica; Morton, Peter</t>
  </si>
  <si>
    <t>Dissolved Al in the zonal N Atlantic section of the US GEOTRACES 2010/2011 cruises and the importance of hydrothermal inputs</t>
  </si>
  <si>
    <t>Aluminium; North Atlantic; Hydrothermal; Trace element cycling; GEOTRACES</t>
  </si>
  <si>
    <t>FLOW-INJECTION ANALYSIS; NORTH-ATLANTIC; DUST DEPOSITION; SURFACE WATERS; IOC STATIONS; ALUMINUM; RIDGE; MANGANESE; SEAWATER; DISTRIBUTIONS</t>
  </si>
  <si>
    <t>The distribution of dissolved aluminium determined during GA03, the US GEOTRACES North Atlantic Transects (US GT NAZI') shows large inputs to the basin from three main sources, atmospheric deposition, outflow from the Mediterranean, and inputs from hydrothermal sources along the Mid Atlantic Ridge (MAR). The partial dissolution of atmospheric aerosols emanating from the Sahara yield high concentrations of dissolved Al in the surface waters of the basin and are used to estimate the geographical pattern of dust deposition. The Mediterranean outflow delivers a large source of dissolved Al to the intermediate waters of the eastern basin and its subsequent distribution within the basin can be explained by simple isopycnal mixing with surrounding water masses. Hydrothermal venting at the Trans-Atlantic Geotraverse (TAG) hydrothermal field in the MAR produces a neutrally buoyant plume that introduces copious quantities of dissolved Al (with concentrations of up to 40 nM) to the deeper waters of the North Atlantic that can be seen advecting to the west of the MAR The concentration of dissolved Al in the deep waters of the eastern basin of the Atlantic can be accounted for by admixing the MAR Al enriched plume water and Antarctic Bottom Water (AABW) as they pass through the Vema Fracture Zone. The data sets show no evidence for biological remineralisation of dissolved Al from Si carrier phases in deep waters. (C) 2014 Elsevier Ltd. All rights reserved.</t>
  </si>
  <si>
    <t>[Measures, Chris; Hatta, Mariko] Univ Hawaii, Dept Oceanog, Honolulu, HI 96822 USA; [Fitzsimmons, Jessica] MIT, Dept Earth Atmospher &amp; Planetary Sci, Cambridge, MA 02139 USA; [Morton, Peter] Florida State Univ, Dept Earth Ocean &amp; Atmospher Sci, Tallahassee, FL 32306 USA</t>
  </si>
  <si>
    <t>University of Hawaii System; Massachusetts Institute of Technology (MIT); State University System of Florida; Florida State University</t>
  </si>
  <si>
    <t>Measures, C (corresponding author), Univ Hawaii, Dept Oceanog, Honolulu, HI 96822 USA.</t>
  </si>
  <si>
    <t>Fitzsimmons, Jessica N/G-1343-2011; Morton, Peter L/C-5078-2014</t>
  </si>
  <si>
    <t>Measures, Chris/0000-0001-7129-6257; Hatta, Mariko/0000-0002-4892-7708; Morton, Peter/0000-0002-4248-2357; Fitzsimmons, Jessica/0000-0002-9829-2464</t>
  </si>
  <si>
    <t>National Science Foundation [OCE-0928741, OCE-1137812]</t>
  </si>
  <si>
    <t>We would particularly like to thank the organisers of the cruises, Ed Boyle, Bill Jenkins, Greg Cutter and Bob Anderson and all the shipboard participants for the hard work they all contributed to make a success of the first US GEOTRACES section cruises. We would also like to acknowledge the support provided by the Scripps Ocean Data Facility (SIO ODF, Mary Johnson, Rob Palomares, Courtney Schatzman and Melissa Miller) in providing the high quality hydrographic parameters and shipboard data management. We would also like to acknowledge the three anonymous reviewers whose positive comments helped improve the readability of the manuscript. This work was supported by National Science Foundation OCE-0928741 and OCE-1137812 to CIM. This is SOEST contribution number 9168.</t>
  </si>
  <si>
    <t>10.1016/j.dsr2.2014.07.006</t>
  </si>
  <si>
    <t>hybrid, Green Submitted</t>
  </si>
  <si>
    <t>WOS:000356116700014</t>
  </si>
  <si>
    <t>Gallagher, C; Balme, MR</t>
  </si>
  <si>
    <t>Gallagher, Colman; Balme, Matthew R.</t>
  </si>
  <si>
    <t>New insights on the roles of ice, water and climate change in recent landscape development on Mars</t>
  </si>
  <si>
    <t>GEOGRAPHY</t>
  </si>
  <si>
    <t>PHOENIX LANDING SITE; GROUND-ICE; LIQUID WATER; MORPHOLOGICAL EVIDENCE; ATHABASCA VALLES; NEAR-SURFACE; THAW; LANDFORMS; FEATURES; FLOWS</t>
  </si>
  <si>
    <t>Ground-ice exists widely on Mars and has been observed directly - the Phoenix Mars Lander revealed it in trenches only centimeters deep. The landscape surrounding Phoenix would not look out of place in the antarctic or in ice-age Europe - a stony plain patterned by a regular network of polygons. However, the generation of liquid water from ground-ice thaw on Mars is hotly debated. Models tell us that ground-ice on Mars cannot melt under current conditions, instead subliming directly to vapour without becoming liquid, and geomorphological evidence of sublimation is abundant. However, recent very high resolution images of Mars from HiRISE (High Resolution Imaging Science Experiment) now reveal suites of land forms consistent with ground-ice thaw and resulting liquid flows. These landforms first remind us of the importance of testing our models by observation, but might instead hint that the chemistry of Martian ground-ice allows it to thaw at unexpectedly low temperatures.</t>
  </si>
  <si>
    <t>[Gallagher, Colman] Univ Coll Dublin, Sch Geog, Dublin, Ireland; [Balme, Matthew R.] Open Univ, Dept Phys Sci, Milton Keynes, Bucks, England; [Balme, Matthew R.] Planetary Sci Inst, Tucson, AZ USA</t>
  </si>
  <si>
    <t>University College Dublin; Open University - UK</t>
  </si>
  <si>
    <t>Gallagher, C (corresponding author), Univ Coll Dublin, Sch Geog, Dublin, Ireland.</t>
  </si>
  <si>
    <t>colman.gallagher@ucd.ie; matt.balme@open.ac.uk</t>
  </si>
  <si>
    <t>Balme, Matthew/I-8101-2019; Gallagher, Colman/ABC-4221-2021</t>
  </si>
  <si>
    <t>Balme, Matthew/0000-0001-5871-7475;</t>
  </si>
  <si>
    <t>GEOGRAPHICAL ASSOC</t>
  </si>
  <si>
    <t>SHEFFIELD</t>
  </si>
  <si>
    <t>160 SOLLY ST, SHEFFIELD S1 4BF, S YORKSHIRE, ENGLAND</t>
  </si>
  <si>
    <t>0016-7487</t>
  </si>
  <si>
    <t>2043-6564</t>
  </si>
  <si>
    <t>CJ8TW</t>
  </si>
  <si>
    <t>WOS:000355777400004</t>
  </si>
  <si>
    <t>Tripovich, JS; Klinck, H; Nieukirk, SL; Adams, T; Mellinger, DK; Balcazar, NE; Klinck, K; Hall, EJS; Rogers, TL</t>
  </si>
  <si>
    <t>Tripovich, Joy S.; Klinck, Holger; Nieukirk, Sharon L.; Adams, Tempe; Mellinger, David K.; Balcazar, Naysa E.; Klinck, Karolin; Hall, Evelyn J. S.; Rogers, Tracey L.</t>
  </si>
  <si>
    <t>Temporal segregation of the Australian and Antarctic blue whale call types (Balaenoptera musculus spp.)</t>
  </si>
  <si>
    <t>JOURNAL OF MAMMALOGY</t>
  </si>
  <si>
    <t>Australia; Balaenoptera musculus brevicauda; Balaenoptera musculus intermedia; calls; cryptic sympatric marine mammals; diel; ecology; seasonal; vocalizations</t>
  </si>
  <si>
    <t>SOUTHERN-HEMISPHERE; POPULATIONS; SELECTION; OCEAN</t>
  </si>
  <si>
    <t>We examined recordings from a 15-month (May 2009-July 2010) continuous acoustic data set collected from a bottom-mounted passive acoustic recorder at a sample frequency of 6 kHz off Portland, Victoria, Australia (38 degrees 33'01 '' S, 141 degrees 15'13 '' E) off southern Australia. Analysis revealed that calls from both subspecies were recorded at this site, and general additive modeling revealed that the number of calls varied significantly across seasons. Antarctic blue whales were detected more frequently from July to October 2009 and June to July 2010, corresponding to the suspected breeding season, while Australian blue whales were recorded more frequently from March to June 2010, coinciding with the feeding season. In both subspecies, the number of calls varied with time of day; Antarctic blue whale calls were more prevalent in the night to early morning, while Australian blue whale calls were detected more often from midday to early evening. Using passive acoustic monitoring, we show that each subspecies adopts different seasonal and daily call patterns which may be related to the ecological strategies of these subspecies. This study demonstrates the importance of passive acoustics in enabling us to understand and monitor subtle differences in the behavior and ecology of cryptic sympatric marine mammals.</t>
  </si>
  <si>
    <t>[Tripovich, Joy S.; Adams, Tempe; Balcazar, Naysa E.; Rogers, Tracey L.] Univ New S Wales, Sch BEES, Evolut &amp; Ecol Res Ctr, Sydney, NSW 2052, Australia; [Klinck, Holger; Nieukirk, Sharon L.; Mellinger, David K.; Klinck, Karolin] Oregon State Univ, Cooperat Inst Marine Resources Studies, Newport, OR 97365 USA; [Klinck, Holger; Nieukirk, Sharon L.; Mellinger, David K.; Klinck, Karolin] Hatfield Marine Sci Ctr, Pacific Marine Environm Lab, Natl Ocean &amp; Atmospher Adm, Newport, OR 97365 USA; [Hall, Evelyn J. S.] Univ Sydney, Fac Vet Sci, Camden, NSW 2570, Australia</t>
  </si>
  <si>
    <t>University of New South Wales Sydney; Oregon State University; National Oceanic Atmospheric Admin (NOAA) - USA; University of Sydney</t>
  </si>
  <si>
    <t>Tripovich, JS (corresponding author), Univ New S Wales, Sch BEES, Evolut &amp; Ecol Res Ctr, Biol Sci Bldg D26, Sydney, NSW 2052, Australia.</t>
  </si>
  <si>
    <t>joy.tripovich@unsw.edu.au</t>
  </si>
  <si>
    <t>Rogers, Tracey L/C-3419-2008; Tripovich, Joy/AGJ-9233-2022; Klinck, Holger/X-5214-2019</t>
  </si>
  <si>
    <t>Klinck, Holger/0000-0003-1078-7268; Tripovich, Joy/0000-0001-5690-789X; Rogers, Tracey/0000-0002-7141-4177</t>
  </si>
  <si>
    <t>Winifred Violet Scott Trust</t>
  </si>
  <si>
    <t>Data were sourced from the Integrated Marine Observing System-an initiative of the Australian Government being conducted as part of the National Collaborative Research Infrastructure Strategy and the Super Science Initiative. This project has been kindly funded, in part, from the Winifred Violet Scott Trust. We thank Alexander Gavrilov and Robert McCauley for the helpful assistance with the project. This is National Oceanic and Atmospheric Administration/Pacific Marine Environmental Laboratory contribution #4101.</t>
  </si>
  <si>
    <t>0022-2372</t>
  </si>
  <si>
    <t>1545-1542</t>
  </si>
  <si>
    <t>J MAMMAL</t>
  </si>
  <si>
    <t>J. Mammal.</t>
  </si>
  <si>
    <t>10.1093/jmammal/gyv065</t>
  </si>
  <si>
    <t>CK3WI</t>
  </si>
  <si>
    <t>WOS:000356146800014</t>
  </si>
  <si>
    <t>Hunt, DE; Rawlinson, NJF; Thomas, GA; Cobcroft, JM</t>
  </si>
  <si>
    <t>Hunt, D. E.; Rawlinson, N. J. F.; Thomas, G. A.; Cobcroft, J. M.</t>
  </si>
  <si>
    <t>Investigating photoreceptor densities, potential visual acuity, and cone mosaics of shallow water, temperate fish species</t>
  </si>
  <si>
    <t>VISION RESEARCH</t>
  </si>
  <si>
    <t>Potential visual acuity; Rod density; Cone density; Cone mosaic; Minimum separable angle</t>
  </si>
  <si>
    <t>COMPARATIVE MORPHOLOGY; OCULAR MORPHOLOGY; RETINAL STRUCTURE; NEW-ZEALAND; TELEOSTEI; PIGMENTS; GROWTH; ORGANIZATION; SCHOOL; EYE</t>
  </si>
  <si>
    <t>The eye is an important sense organ for teleost species but can vary greatly depending on the adaption to the habitat, environment during ontogeny and developmental stage of the fish. The eye and retinal morphology of eight commonly caught trawl bycatch species were described: Lepidotrigla mulhalli; Lophonectes gallus; Platycephalus bassensis; Sillago flindersi; Neoplatycephalus richardsoni; Thamnaconus degeni; Parequula melbournensis; and Trachurus declivis. The cone densities ranged from 38 cones per 0.01 mm(2) for S. flindersi to 235 cones per 0.01 mm(2) for P. melboumensis. The rod densities ranged from 22800 cells per 0.01 mm(2) for L. mulhalli to 76634 cells per 0.01 mm(2) for T. declivis and potential visual acuity (based on anatomical measures) ranged from 0.08 in L. gallus to 0.31 in P. melbournensis. Higher rod densities were correlated with maximum habitat depths. Six species had the regular pattern of four double cones arranged around a single cone in the photoreceptor mosaic, while T. declivis had only rows of double cones. P. melbournensis had the greatest potential ability for detecting fine detail based on eye anatomy. The potential visual acuity estimates and rod densities can be applied to suggest the relative detection ability of different species in a commercial fishing context, since vision is a critical sense in an illuminated environment for perceiving an oncoming trawl. (C) 2015 Elsevier Ltd. All rights reserved.</t>
  </si>
  <si>
    <t>[Hunt, D. E.; Rawlinson, N. J. F.] Univ Tasmania, Northern Hub, Inst Marine &amp; Antarctic Studies, Launceston, Tas 7250, Australia; [Thomas, G. A.] UCL, London WC1E 7JE, England; [Cobcroft, J. M.] Univ Tasmania, Fisheries &amp; Aquaculture Ctr, Inst Marine &amp; Antarctic Studies, Hobart, Tas 7001, Australia; [Cobcroft, J. M.] Univ Sunshine Coast, Maroochydore, Qld 4558, Australia</t>
  </si>
  <si>
    <t>University of Tasmania; University of London; University College London; University of Tasmania; University of the Sunshine Coast</t>
  </si>
  <si>
    <t>Hunt, DE (corresponding author), Univ Tasmania, Northern Hub, Inst Marine &amp; Antarctic Studies, Locked Bag 1370, Launceston, Tas 7250, Australia.</t>
  </si>
  <si>
    <t>darcieh@amc.edu.au</t>
  </si>
  <si>
    <t>Cobcroft, Jennifer/E-3331-2013</t>
  </si>
  <si>
    <t>Cobcroft, Jennifer/0000-0002-2398-9267; Thomas, Giles/0000-0002-6122-4329</t>
  </si>
  <si>
    <t>Australian Maritime College; APA from the University of Tasmania; University of the Sunshine Coast CRN Research Fellowship</t>
  </si>
  <si>
    <t>Many thanks to the crew of the FTV Bluefin for the collection of samples, Polly Hilder for assistance with resin histology, and the Australian Maritime College for funding this project. D.H. was supported by an APA Stipend from the University of Tasmania and JC was supported by a University of the Sunshine Coast CRN Research Fellowship. All procedures were carried out with the approval of the University of Tasmania Animal Ethics Committee (approval number A0012574). The manuscript was improved with valuable comments from two anonymous reviewers.</t>
  </si>
  <si>
    <t>0042-6989</t>
  </si>
  <si>
    <t>1878-5646</t>
  </si>
  <si>
    <t>VISION RES</t>
  </si>
  <si>
    <t>Vision Res.</t>
  </si>
  <si>
    <t>10.1016/j.visres.2015.03.017</t>
  </si>
  <si>
    <t>Neurosciences; Ophthalmology; Psychology</t>
  </si>
  <si>
    <t>Neurosciences &amp; Neurology; Ophthalmology; Psychology</t>
  </si>
  <si>
    <t>CK2FW</t>
  </si>
  <si>
    <t>WOS:000356027200002</t>
  </si>
  <si>
    <t>Kellmann-Sopyla, W; Lahuta, LB; Gielwanowska, I; Górecki, RJ</t>
  </si>
  <si>
    <t>Kellmann-Sopyla, Wioleta; Lahuta, Leslaw B.; Gielwanowska, Irena; Gorecki, Ryszard J.</t>
  </si>
  <si>
    <t>Soluble carbohydrates in developing and mature diaspores of polar Caryophyllaceae and Poaceae</t>
  </si>
  <si>
    <t>ACTA PHYSIOLOGIAE PLANTARUM</t>
  </si>
  <si>
    <t>Polar plants; Caryophyllaceae; Poaceae; Carbohydrates; Diaspores</t>
  </si>
  <si>
    <t>D-CHIRO-INOSITOL; RAFFINOSE FAMILY OLIGOSACCHARIDES; GALACTINOL-SYNTHASE GENE; ALPHA-D-GALACTOSIDES; VICIA-VILLOSA ROTH.; YELLOW LUPIN SEEDS; PISUM-SATIVUM L.; PEA-SEEDS; D-PINITOL; DESICCATION TOLERANCE</t>
  </si>
  <si>
    <t>The accumulation of soluble carbohydrates in maturing diaspores of flowering plants comprising Arctic populations of Cerastium alpinum, indigenous Antarctic species Colobanthus quitensis and Deschampsia antarctica, and cosmopolitan Poa annua from the Antarctic was investigated. For comparative purposes, the diaspores of two species of flowering plants growing in the area of Olsztyn (Poland), Poa annua (Poaceae) and Cerastium arvense (Caryophyllaceae) were used. A qualitative and quantitative analysis of soluble carbohydrates conducted by means of high-resolution gas chromatography showed that monosaccharides (glucose and fructose), maltose and sucrose, raffinose, myo-inositol and galactinol are ubiquitous in developing and mature diaspores among investigated species. Moreover, D. antarctica and P. annua caryopses additionally contained stachyose and 1-kestose; the seeds of Caryophyllaceae studied were found to contain D-pinitol and D-ononitol. The development and maturation of the seeds of polar Caryophyllaceae and Poaceae were accompanied by the changes in the concentration of their soluble carbohydrates. During maturation, seeds accumulated galactinol and raffinose family of oligosaccharides (RFOs), except C. quitensis. Although seeds of the studied Caryophyllaceae contained D-pinitol and lower amounts of D-ononitol, they did not accumulate a-D-galactoside derivatives of mentioned cyclitols. P. annua caryopses, occurring in the Antarctic, were found to accumulate considerably higher amounts of sucrose and 1-kestose than those developed in Olsztyn.</t>
  </si>
  <si>
    <t>[Kellmann-Sopyla, Wioleta; Lahuta, Leslaw B.; Gielwanowska, Irena; Gorecki, Ryszard J.] Univ Warmia &amp; Mazury, Dept Plant Physiol Genet &amp; Biotechnol, PL-10719 Olsztyn, Poland; [Gielwanowska, Irena] Inst Biochem &amp; Biophys PAS, Dept Antarctic Biol, PL-02141 Warsaw, Poland; [Gielwanowska, Irena] Inst Biochem &amp; Biophys PAS, Polish Antarctic Stn H Arctowski, PL-02141 Warsaw, Poland</t>
  </si>
  <si>
    <t>Kellmann-Sopyla, W (corresponding author), Univ Warmia &amp; Mazury, Dept Plant Physiol Genet &amp; Biotechnol, Oczapowskiego 1A, PL-10719 Olsztyn, Poland.</t>
  </si>
  <si>
    <t>LAHUTA, Lesław Bernard/Q-1425-2019</t>
  </si>
  <si>
    <t>LAHUTA, Lesław Bernard/0000-0001-5999-1871; Gielwanowska, Irena/0000-0002-9001-1285; Gorecki, Ryszard/0000-0002-6751-3340</t>
  </si>
  <si>
    <t>Part of this research was supported by the Polish Ministry of Scientific Research and Higher Education grant 2013/09/B/NZ8/03293.</t>
  </si>
  <si>
    <t>0137-5881</t>
  </si>
  <si>
    <t>1861-1664</t>
  </si>
  <si>
    <t>ACTA PHYSIOL PLANT</t>
  </si>
  <si>
    <t>Acta Physiol. Plant.</t>
  </si>
  <si>
    <t>10.1007/s11738-015-1866-z</t>
  </si>
  <si>
    <t>CJ7TY</t>
  </si>
  <si>
    <t>WOS:000355703800014</t>
  </si>
  <si>
    <t>Amsler, MO; Smith, KE; McClintock, JB; Singh, H; Thatje, S; Vos, SC; Brothers, CJ; Brown, A; Ellis, D; Anderson, J; Aronson, RB</t>
  </si>
  <si>
    <t>Amsler, M. O.; Smith, K. E.; McClintock, J. B.; Singh, H.; Thatje, S.; Vos, S. C.; Brothers, C. J.; Brown, A.; Ellis, D.; Anderson, J.; Aronson, R. B.</t>
  </si>
  <si>
    <t>In situ observations of a possible skate nursery off the western Antarctic Peninsula</t>
  </si>
  <si>
    <t>Antarctica; Elasmobranchii; oviparity; Rajidae; skate egg case</t>
  </si>
  <si>
    <t>BATHYRAJA-PARMIFERA; GILBERT; SLOPE</t>
  </si>
  <si>
    <t>A dense aggregation of skate egg cases was imaged during a photographic survey of the sea floor along the western Antarctic Peninsula in November 2013. Egg cases were noted in a narrow band between 394 and 443 m depth. Although some skate species in other oceans are known to utilize restricted areas to deposit eggs in great numbers, such nurseries have not been described in the Southern Ocean. (C) 2015 The Fisheries Society of the British Isles</t>
  </si>
  <si>
    <t>[Amsler, M. O.; McClintock, J. B.; Brothers, C. J.] Univ Alabama Birmingham, Dept Biol, Birmingham, AL 35294 USA; [Smith, K. E.; Vos, S. C.; Ellis, D.; Aronson, R. B.] Florida Inst Technol, Dept Biol Sci, Melbourne, FL 32901 USA; [Singh, H.] Woods Hole Oceanog Inst, Dept Appl Ocean Phys &amp; Engn, Woods Hole, MA 02543 USA; [Thatje, S.; Brown, A.] Univ Southampton, Ocean &amp; Earth Sci, Southampton SO14 3ZH, Hants, England; [Anderson, J.] Woods Hole Oceanog Inst, Dept Appl Ocean Phys &amp; Engn, Nat Imagery, Woods Hole, MA 02543 USA</t>
  </si>
  <si>
    <t>University of Alabama System; University of Alabama Birmingham; Florida Institute of Technology; Woods Hole Oceanographic Institution; University of Southampton; Woods Hole Oceanographic Institution</t>
  </si>
  <si>
    <t>Smith, Kathryn/G-5257-2014; Brown, Alastair/I-7875-2012</t>
  </si>
  <si>
    <t>Smith, Kathryn/0000-0002-7240-1490; Aronson, Richard/0000-0003-0383-3844; Brown, Alastair/0000-0002-2126-203X</t>
  </si>
  <si>
    <t>National Science Foundation [ANT-0838846, ANT-1141877, ANT-0838844, ANT-1141896]; Directorate For Geosciences; Office of Polar Programs (OPP) [1141896, 1141877] Funding Source: National Science Foundation</t>
  </si>
  <si>
    <t>The research reported in this paper was supported by National Science Foundation grants ANT-0838846 and ANT-1141877 to R.B.A., and ANT-0838844 and ANT-1141896 to J.B.M. This is contribution 130 from the Institute for Research on Global Climate Change at the Florida Institute of Technology. Comments from several anonymous reviewers are greatly appreciated.</t>
  </si>
  <si>
    <t>10.1111/jfb.12679</t>
  </si>
  <si>
    <t>CJ6UD</t>
  </si>
  <si>
    <t>WOS:000355628700015</t>
  </si>
  <si>
    <t>Alvarado, LEC; MacMillan, HA; Sinclair, BJ</t>
  </si>
  <si>
    <t>Alvarado, Litza E. Coello; MacMillan, Heath A.; Sinclair, Brent J.</t>
  </si>
  <si>
    <t>Chill-tolerant Gryllus crickets maintain ion balance at low temperatures</t>
  </si>
  <si>
    <t>Orthoptera; Chilling injury; Ion homeostasis; Plasticity; CTmin; Chill coma; Acclimation; Cold tolerance</t>
  </si>
  <si>
    <t>PRINGLEOPHAGA-MARIONI LEPIDOPTERA; SUB-ANTARCTIC CATERPILLAR; DROSOPHILA-MELANOGASTER; FIELD CRICKETS; COMA RECOVERY; REVERSIBLE PHOSPHORYLATION; DEVELOPMENTAL TEMPERATURE; PHENOTYPIC PLASTICITY; LOCUSTA-MIGRATORIA; STRESS RESISTANCE</t>
  </si>
  <si>
    <t>Insect cold tolerance is both phenotypically-plastic and evolutionarily labile, but the mechanisms underlying this variation are uncertain. Chill-susceptible insects lose ion and water homeostasis in the cold, which contributes to the development of injuries and eventually death. We thus hypothesized that more cold-tolerant insects will better maintain ion and water balance at low temperatures. We used rapid cold-hardening (RCH) and cold acclimation to improve cold tolerance of male Gryllus pennsylvanicus, and also compared this species to its cold-tolerant relative (Glyllus veletis). Cold acclimation and RCH decreased the critical thermal minimum (CTmin) and chill coma recovery time (CCR) in G. pennsylvanicus, but while cold acclimation improved survival of 0 0 degrees C, RCH did not; G. veletis was consistently more cold-tolerant (and had lower CCR and CTmin) than G. pennsylvanicus. During cold exposure, hemolymph water and Ne migrated to the gut of warm-acclimated G. pennsylvanicus, which increased hemolymph [K+] and decreased muscle K+ equilibrium potentials. By contrast, cold-acclimated G. pennsylvanicus suffered a smaller loss of ion and water homeostasis during cold exposure, and this redistribution did not occur at all in cold-exposed G. veletis. The loss of ion and water balance was similar between RCH and warm-acclimated G. pennsylvanicus, suggesting that different mechanisms underlie decreased CCR and CTmin compared to increased survival at 0 degrees C. We conclude that increased tolerance of chilling is associated with improved maintenance of ion and water homeostasis in the cold, and that this is consistent for both phenotypic plasticity and evolved cold tolerance. (C) 2015 Elsevier Ltd. All rights reserved.</t>
  </si>
  <si>
    <t>[Alvarado, Litza E. Coello; MacMillan, Heath A.; Sinclair, Brent J.] Univ Western Ontario, Dept Biol, London, ON N6A 5B7, Canada</t>
  </si>
  <si>
    <t>Sinclair, Brent J/C-6133-2012; MacMillan, Heath/J-6943-2012</t>
  </si>
  <si>
    <t>MacMillan, Heath/0000-0001-7598-3273; Sinclair, Brent/0000-0002-8191-9910</t>
  </si>
  <si>
    <t>Natural Sciences and Engineering Research Council of Canada (NSERC); Canada Graduate Scholarship</t>
  </si>
  <si>
    <t>Natural Sciences and Engineering Research Council of Canada (NSERC)(Natural Sciences and Engineering Research Council of Canada (NSERC)); Canada Graduate Scholarship</t>
  </si>
  <si>
    <t>Thanks to Lisa Wu and Francis Dang for technical assistance and Lauren Des Marteaux and two anonymous referees for constructive comments on earlier drafts of the manuscript. This work was supported by the Natural Sciences and Engineering Research Council of Canada (NSERC) via a Discovery grant to BJS and a Canada Graduate Scholarship to HAM.</t>
  </si>
  <si>
    <t>10.1016/j.jinsphys.2015.03.015</t>
  </si>
  <si>
    <t>CJ7WX</t>
  </si>
  <si>
    <t>WOS:000355712200003</t>
  </si>
  <si>
    <t>Matsuno, T; Nogi, Y; Seama, N</t>
  </si>
  <si>
    <t>Matsuno, Tetsuo; Nogi, Yoshifumi; Seama, Nobukazu</t>
  </si>
  <si>
    <t>Electrical resistivity structure under the western Cosmonauts Sea at the continental margin of East Antarctica inferred via a marine magnetotelluric experiment</t>
  </si>
  <si>
    <t>Electrical resistivity structure; Marine magnetotellurics; Offshore East Antarctica; Gondwana breakup; Continental margin</t>
  </si>
  <si>
    <t>LUTZOW-HOLM BAY; PASSIVE MARGINS; CONDUCTIVITY; FLOOR; GONDWANA; BREAKUP; CRUSTAL; TOPOGRAPHY; ORIGIN; LAND</t>
  </si>
  <si>
    <t>The western Cosmonauts Sea, off the coast of East Antarctica, was a site of rifting of the Gondwana supercontinent and subsequent early seafloor spreading. To improve our understanding of the breakup of Gondwana, we conducted a marine magnetotelluric experiment to determine the electrical resistivity structure within the uppermost several hundred kilometers beneath the western Cosmonauts Sea. Magnetotelluric response functions at two sites, obtained after considering possible influences of non-plane magnetic field sources, suggest that these responses include distortions by topographic variations and conductive anomalies around the observation sites. Three-dimensional forward modeling confirmed that these distortions due to topographic variations and a thin (similar to 2-km thick) conductive layer immediately under the sites (mostly sediments) are severe. Furthermore, three-dimensional forward modeling to investigate the resistivity structure at deeper depths revealed an upper resistive layer (similar to 300 Omega-m), with a thickness of &lt;100 km, and an underlying conductive half-space (similar to 10 Omega-m). The upper resistive layer and the underlying conductive structure most likely represent dry and water/melt-rich oceanic upper mantle, respectively. The upper resistive layer may be thinner than anticipated under the old seafloor of the study area (likely &gt;90 Ma), and may suggest a conductive anomaly in the upper mantle produced by mantle convection and/or upwelling. (C) 2015 Elsevier B.V. and NIPR. All rights reserved.</t>
  </si>
  <si>
    <t>[Matsuno, Tetsuo] Univ Tokyo, Earthquake Res Inst, Bunkyo Ku, Tokyo 1130032, Japan; [Nogi, Yoshifumi] Grad Univ Adv Studies Sokendai, Natl Inst Polar Res, Tachikawa, Tokyo 1908518, Japan; [Nogi, Yoshifumi] Grad Univ Adv Studies Sokendai, Dept Polar Res, Tachikawa, Tokyo 1908518, Japan; [Seama, Nobukazu] Kobe Univ, Dept Earth &amp; Planetary Sci, Nada Ku, Kobe, Hyogo 6578501, Japan</t>
  </si>
  <si>
    <t>University of Tokyo; Research Organization of Information &amp; Systems (ROIS); National Institute of Polar Research (NIPR) - Japan; Graduate University for Advanced Studies - Japan; Graduate University for Advanced Studies - Japan; Kobe University</t>
  </si>
  <si>
    <t>Matsuno, T (corresponding author), Univ Tokyo, Earthquake Res Inst, Bunkyo Ku, 1-1-1 Yayoi, Tokyo 1130032, Japan.</t>
  </si>
  <si>
    <t>tmatsuno@eri.u-tokyo.ac.jp</t>
  </si>
  <si>
    <t>Nogi, Yoshifumi/0000-0001-8457-4244; Seama, Nobukazu/0009-0001-6626-2666</t>
  </si>
  <si>
    <t>National Institute of Polar Research (NIPR) under the Ministry of Education, Culture, Sports, Science and Technology; NIPR [KP-7]</t>
  </si>
  <si>
    <t>National Institute of Polar Research (NIPR) under the Ministry of Education, Culture, Sports, Science and Technology; NIPR(National Institute of Polar Research (NIPR) - Japan)</t>
  </si>
  <si>
    <t>We thank the captain and crew of the Icebreaker Shirase 5002 of the 47th Japanese Antarctic Research Expedition (JARE-47) for the deployment/recovery of the OBEMS. We also thank Kazuya Kitada for the operation of the experiment and Koichi Okada for the preliminary data analysis. Two anonymous reviewers provided helpful comments that improved the manuscript. This research is a part of the Science Program of JARE, supported by the National Institute of Polar Research (NIPR) under the Ministry of Education, Culture, Sports, Science and Technology. This work was also supported by NIPR through Project Research no. KP-7. The AE index data were provided by the World Data Center for Geomagnetism at Kyoto University. The GMT software (Wessel and Smith, 1998) was used for creating the figures.</t>
  </si>
  <si>
    <t>10.1016/j.polar.2015.03.001</t>
  </si>
  <si>
    <t>CJ6WJ</t>
  </si>
  <si>
    <t>WOS:000355635600004</t>
  </si>
  <si>
    <t>Clark, GF; Raymond, B; Riddle, MJ; Stark, JS; Johnston, EL</t>
  </si>
  <si>
    <t>Clark, Graeme F.; Raymond, Ben; Riddle, Martin J.; Stark, Jonathan S.; Johnston, Emma L.</t>
  </si>
  <si>
    <t>Vulnerability of Antarctic shallow invertebrate-dominated ecosystems</t>
  </si>
  <si>
    <t>AUSTRAL ECOLOGY</t>
  </si>
  <si>
    <t>biodiversity; climate change; invertebrate; light; marine; sea ice</t>
  </si>
  <si>
    <t>BENTHIC COMMUNITIES; GENETIC-STRUCTURE; VESTFOLD HILLS; SEA-ICE; BIODIVERSITY; PATTERNS; DIVERSITY; SPONGE</t>
  </si>
  <si>
    <t>Human impacts threaten not only species, but also entire ecosystems. Ecosystems under stress can collapse or transition into different states, potentially reducing biodiversity at a variety of scales. Here we examine the vulnerability of Antarctic shallow invertebrate-dominated ecosystems, which may be threatened for several reasons. These unique shallow-water communities mostly consist of dark-adapted invertebrates, and rely on sea ice to create low-light marine environments. Climate change is likely to cause early breakout of seasonal sea ice in parts of Antarctica, which will dramatically increase the amount of light reaching shallow seabed. This is predicted to result in ecological regime shifts, in which invertebrate-dominated communities are replaced by macroalgal beds. Habitat for these endemic Antarctic ecosystems is globally rare, and the fragmented nature of their distribution along Antarctic coast increases their sensitivity to change. Concurrently, human activities in Antarctica are concentrated in areas where these habitats occur, compounding potential impacts. While there are clear mechanisms of threat to these ecosystems, lack of knowledge about their spatial distribution obscures predictions of potential ecosystem loss, and the likelihood of recovery. In this paper we describe these ecosystems, their association with the environment and the reasons for their vulnerability. We estimate their spatial distribution around Antarctica using sea ice and bathymetric data, and apply the International Union for Conservation of Nature Red List of Ecosystems criteria to assess their vulnerability. Best available data suggest that shallow ice-covered ecosystems are likely Near Threatened to Vulnerable in places, although the magnitude of risk is spatially variable and requires additional data to strengthen the assessment.</t>
  </si>
  <si>
    <t>[Clark, Graeme F.; Johnston, Emma L.] Univ New S Wales, Sch Biol Earth &amp; Environm Sci, Evolut &amp; Ecol Res Ctr, Sydney, NSW, Australia; [Raymond, Ben; Riddle, Martin J.; Stark, Jonathan S.] Australian Antarctic Div, Dept Environm, Kingston, Tas, Australia; [Raymond, Ben] Univ Tasmania, Antarctic Climate &amp; Ecosyst Cooperat Res Ctr, Hobart, Tas 7001, Australia</t>
  </si>
  <si>
    <t>University of New South Wales Sydney; Australian Antarctic Division; Antarctic Climate &amp; Ecosystems Cooperative Research Centre (ACE CRC); University of Tasmania</t>
  </si>
  <si>
    <t>Clark, GF (corresponding author), Univ New S Wales, Sch Biol Earth &amp; Environm Sci, Evolut &amp; Ecol Res Ctr, Sydney, NSW, Australia.</t>
  </si>
  <si>
    <t>Johnston, Emma/AAC-2878-2022; Stark, Jonathan/ABF-4025-2020; Clark, Graeme/M-6448-2017</t>
  </si>
  <si>
    <t>Johnston, Emma/0000-0002-2117-366X; Stark, Jonathan/0000-0002-4268-8072; Clark, Graeme/0000-0002-0230-6631</t>
  </si>
  <si>
    <t>1442-9985</t>
  </si>
  <si>
    <t>1442-9993</t>
  </si>
  <si>
    <t>AUSTRAL ECOL</t>
  </si>
  <si>
    <t>Austral Ecol.</t>
  </si>
  <si>
    <t>10.1111/aec.12237</t>
  </si>
  <si>
    <t>CJ1CG</t>
  </si>
  <si>
    <t>WOS:000355218900013</t>
  </si>
  <si>
    <t>Neethu, CS; Rahiman, KMM; Saramma, AV; Hatha, AAM</t>
  </si>
  <si>
    <t>Neethu, C. S.; Rahiman, K. M. Mujeeb; Saramma, A. V.; Hatha, A. A. Mohamed</t>
  </si>
  <si>
    <t>Heavy-metal resistance in Gram-negative bacteria isolated from Kongsfjord, Arctic</t>
  </si>
  <si>
    <t>CANADIAN JOURNAL OF MICROBIOLOGY</t>
  </si>
  <si>
    <t>heavy-metal resistance; characterization; Arctic; ecosystem</t>
  </si>
  <si>
    <t>ANTIBIOTIC-RESISTANCE; PSEUDOMONAS; MICROBES; COPPER</t>
  </si>
  <si>
    <t>Isolation and characterization of heterotrophic Gram-negative bacteria was carried out from the sediment and water samples collected from Kongsfjord, Arctic. In this study, the potential of Arctic bacteria to tolerate heavy metals that are of ecological significance to the Arctic (selenium (Se), mercury (Hg), cadmium (Cd), copper (Cu), lead (Pb), and zinc (Zn)) was investigated. Quantitative assay of 130 isolates by means of plate diffusion and tube dilution methods was carried out by incorporation of different concentrations of metals. Growth in Se and Pb at a concentration of 3000 mu g/L was significantly lower (P = 0.0001) than at 2000 mu g/L. The minimum inhibitory concentration for Cd and Hg was 50 mu g/L (P &lt;= 0.0001, F = 264.23 and P &lt;= 0.0001, F = 291.08, respectively) even though in the tube dilution test, Hg-containing tubes showed much less growth, revealing its superior toxicity to Cd. Thus, the level of toxicity of heavy metals was found to be in the order of Hg &gt; Cd &gt; Cu &gt; Zn &gt; Pb &gt; Se. Multiple-metal-resistant isolates were investigated for their resistance against antibiotics, and a positive correlation was observed between antibiotic and metal resistance for all the isolates tested. The resistant organisms thus observed might influence the organic and inorganic cycles in the Arctic and affect the ecosystem.</t>
  </si>
  <si>
    <t>[Neethu, C. S.; Rahiman, K. M. Mujeeb; Saramma, A. V.; Hatha, A. A. Mohamed] Cochin Univ Sci &amp; Technol, Sch Marine Sci, Dept Marine Biol Microbiol &amp; Biochem, Cochin 682016, Kerala, India</t>
  </si>
  <si>
    <t>Cochin University Science &amp; Technology</t>
  </si>
  <si>
    <t>Neethu, CS (corresponding author), Cochin Univ Sci &amp; Technol, Sch Marine Sci, Dept Marine Biol Microbiol &amp; Biochem, Cochin 682016, Kerala, India.</t>
  </si>
  <si>
    <t>neethucs_1985@yahoo.co.in</t>
  </si>
  <si>
    <t>sainjan, neethu/0000-0002-1478-5035; Abdulla, Mohamed Hatha/0000-0003-0136-2911</t>
  </si>
  <si>
    <t>National Centre for Antarctic and Ocean Research; Ministry of Earth Sciences, Government of India</t>
  </si>
  <si>
    <t>National Centre for Antarctic and Ocean Research; Ministry of Earth Sciences, Government of India(Ministry of Earth Science (MoES), Government of India)</t>
  </si>
  <si>
    <t>We would like to thank the Director, National Centre for Antarctic and Ocean Research and the Ministry of Earth Sciences, Government of India, for providing financial and logistic support for the expedition to the Arctic.</t>
  </si>
  <si>
    <t>0008-4166</t>
  </si>
  <si>
    <t>1480-3275</t>
  </si>
  <si>
    <t>CAN J MICROBIOL</t>
  </si>
  <si>
    <t>Can. J. Microbiol.</t>
  </si>
  <si>
    <t>10.1139/cjm-2014-0803</t>
  </si>
  <si>
    <t>Biochemistry &amp; Molecular Biology; Biotechnology &amp; Applied Microbiology; Immunology; Microbiology</t>
  </si>
  <si>
    <t>CJ0WA</t>
  </si>
  <si>
    <t>WOS:000355198700006</t>
  </si>
  <si>
    <t>Peel, D; Bravington, M; Kelly, N; Double, MC</t>
  </si>
  <si>
    <t>Peel, David; Bravington, Mark; Kelly, Natalie; Double, Michael C.</t>
  </si>
  <si>
    <t>Designing an effective mark-recapture study of Antarctic blue whales</t>
  </si>
  <si>
    <t>ECOLOGICAL APPLICATIONS</t>
  </si>
  <si>
    <t>acoustic tracking; Antarctic blue whale; Balaenoptera musculus intermedia; cetaceans; mark-recapture study; population simulation; survey design; visual observation</t>
  </si>
  <si>
    <t>SOUTHERN-HEMISPHERE; ABUNDANCE; PHOTOIDENTIFICATION; PACIFIC; MODELS</t>
  </si>
  <si>
    <t>To properly conserve and manage wild populations, it is important to have information on abundance and population dynamics. In the case of rare and cryptic species, especially in remote locations, surveys can be difficult and expensive, and run the risk of not producing sample sizes large enough to produce precise estimates. Therefore, it is crucial to conduct preliminary analysis to determine if the study will produce useable estimates. The focus of this paper is a proposed mark-recapture study of Antarctic blue whales (Balaenoptera musculus intermedia). Antarctic blue whales were hunted to near extinction up until the mid-1960s, when commercial exploitation of this species ended. Current abundance estimates are a decade old. Furthermore, at present, there are no formal circumpolar-level cetacean surveys operating in Antarctic waters and, specifically, there is no strategy to monitor the potential recovery of Antarctic blue whales. Hence the work in this paper was motivated by the need to inform decisions on strategies for future monitoring of Antarctic blue whale population. The paper describes a model to predict the precision and bias of estimates from a proposed survey program. The analysis showed that mark-recapture is indeed a suitable method to provide a circumpolar abundance estimate of Antarctic blue whales, with precision of the abundance, at the midpoint of the program, predicted to be between 0.2 and 0.3. However, this was only if passive acoustic tracking was utilized to increase the encounter rate. The analysis also provided guidance on general design for an Antarctic blue whale program, showing that it requires a 12-year duration; although surveys do not necessarily need to be run every year if multiple vessels are available to clump effort. Mark-recapture is based on a number of assumptions; it was evident from the analysis that ongoing analysis and monitoring of the data would be required to check such assumptions hold (e.g., test for heterogeneity), with the modeling adjusted as needed.</t>
  </si>
  <si>
    <t>[Peel, David; Bravington, Mark] CSIRO Digital Prod, Castray Esplanade, Hobart, Tas 7000, Australia; [Peel, David; Bravington, Mark; Kelly, Natalie; Double, Michael C.] Australian Marine Mammal Ctr, Australian Antarctic Div, Dept Environm, Kingston, Tas 7050, Australia</t>
  </si>
  <si>
    <t>Commonwealth Scientific &amp; Industrial Research Organisation (CSIRO); Australian Antarctic Division</t>
  </si>
  <si>
    <t>Peel, D (corresponding author), CSIRO Digital Prod, Castray Esplanade, Hobart, Tas 7000, Australia.</t>
  </si>
  <si>
    <t>david.peel@csiro.au</t>
  </si>
  <si>
    <t>Peel, David/E-8888-2010; Kelly, Natalie/B-3481-2010</t>
  </si>
  <si>
    <t>Kelly, Nat/0000-0002-9664-354X</t>
  </si>
  <si>
    <t>1051-0761</t>
  </si>
  <si>
    <t>1939-5582</t>
  </si>
  <si>
    <t>ECOL APPL</t>
  </si>
  <si>
    <t>Ecol. Appl.</t>
  </si>
  <si>
    <t>10.1890/14-1169.1</t>
  </si>
  <si>
    <t>CJ0TT</t>
  </si>
  <si>
    <t>WOS:000355191900010</t>
  </si>
  <si>
    <t>Simon, SB; Grossman, L</t>
  </si>
  <si>
    <t>Simon, Steven B.; Grossman, Lawrence</t>
  </si>
  <si>
    <t>Refractory inclusions in the pristine carbonaceous chondrites DOM 08004 and DOM 08006</t>
  </si>
  <si>
    <t>AL-RICH INCLUSIONS; ACFER 094; ALLENDE METEORITE; CO3 METEORITES; MATRIX; METAMORPHISM; COMPONENTS; CHONDRULES; ALHA77307; PETROLOGY</t>
  </si>
  <si>
    <t>The Antarctic carbonaceous chondrites DOM 08004 and DOM 08006 have been paired and classified as CO3.0s. There is some uncertainty as to whether they should be paired and whether they are best classified as CO chondrites, but they provide an opportunity for the study of refractory inclusions that have not been modified by parent body processes. In this work, refractory inclusions in thin sections of DOM 08004 and 08006 are studied and compared with inclusions in ALHA77307 (CO3.0) and Acfer 094 (C3.0, ungrouped). Results show that the DOM samples have refractory inclusion populations that are similar to each other but not typical of CO3 chondrites; main differences are that the DOM samples are slightly richer in inclusions in general and, more specifically, in the proportions of grossite-bearing inclusions. In DOM 08004 and DOM 08006, 12.4% and 6.6%, respectively, of the inclusions are grossite-bearing. This is higher than the proportion found in Acfer 094 (5.2%), whereas none were found in ALHA77307. Like those in Acfer 094, DOM inclusions are small (mostly &lt;100m across) and fine-grained, and thin rims of aluminous diopside +/- melilite are very common. Also like Acfer 094, most phases in the DOM inclusions have FeO contents higher than expected for primary refractory phases. In addition to typical inclusions, some unusual ones were found in DOM 08004, including a perovskite-rich one with a rare, recently reported Sc-, Al-oxide and davisite; a very grossite-rich inclusion with a small, hibonite-rich core enclosed in a grossite mantle; and a relict, grossite-rich inclusion enclosed in an Al-rich chondrule. The CAI populations in the DOM samples are similar to each other and, based on grossite abundances, FeO enrichments and occurrences of rims are more Acfer 094-like than CO3-like. An earlier history on an FeO-rich parent was previously favored over nebular equilibria or insitu reactions to account for FeO enrichments in CAIs in the otherwise pristine chondrite Acfer 094, and a similar history is indicated for the DOM CAIs. Acfer 094, DOM 08004 and 08006 might best be classified as a new subgroup of CO3 chondrites.</t>
  </si>
  <si>
    <t>[Simon, Steven B.; Grossman, Lawrence] Univ Chicago, Dept Geophys Sci, Chicago, IL 60637 USA; [Grossman, Lawrence] Univ Chicago, Enrico Fermi Inst, Chicago, IL 60637 USA</t>
  </si>
  <si>
    <t>University of Chicago; University of Chicago</t>
  </si>
  <si>
    <t>Simon, SB (corresponding author), Univ Chicago, Dept Geophys Sci, 5734 S Ellis Ave, Chicago, IL 60637 USA.</t>
  </si>
  <si>
    <t>sbs8@uchicago.edu</t>
  </si>
  <si>
    <t>NASA [NNX13AE73G]; NASA [475114, NNX13AE73G] Funding Source: Federal RePORTER</t>
  </si>
  <si>
    <t>We thank T. Fagan, J. Han, an anonymous reviewer, and A. Brearley (AE) for helpful comments. We thank the Meteorite Working Group for allocation of the thin sections of DOM 08004 and DOM 08006, and Dr. A. Davis for access to the thin section of ALHA77307 allocated to him. J. Davidson and R. Greenwood are thanked for providing helpful information. This work was supported by NASA grant NNX13AE73G (L. Grossman, PI) and funding is gratefully acknowledged.</t>
  </si>
  <si>
    <t>10.1111/maps.12452</t>
  </si>
  <si>
    <t>CJ1WQ</t>
  </si>
  <si>
    <t>WOS:000355276100003</t>
  </si>
  <si>
    <t>Raschke, U; Schmitt, RT; McDonald, I; Reimold, WU; Mader, D; Koeberl, C</t>
  </si>
  <si>
    <t>Raschke, Ulli; Schmitt, Ralf Thomas; McDonald, Iain; Reimold, Wolf Uwe; Mader, Dieter; Koeberl, Christian</t>
  </si>
  <si>
    <t>Geochemical studies of impact breccias and country rocks from the El'gygytgyn impact structure, Russia</t>
  </si>
  <si>
    <t>PLATINUM-GROUP ELEMENTS; DRILL CORE SAMPLES; BOSUMTWI CRATER; LAKE ELGYGYTGYN; CHUKOTKA; PETROGRAPHY; ABUNDANCES; GLASSES; PROJECT; AGE</t>
  </si>
  <si>
    <t>The complex impact structure El'gygytgyn (age 3.6Ma, diameter 18km) in northeastern Russia was formed in similar to 88Ma old volcanic target rocks of the Ochotsk-Chukotsky Volcanic Belt (OCVB). In 2009, El'gygytgyn was the target of a drilling project of the International Continental Scientific Drilling Program (ICDP), and in summer 2011 it was investigated further by a Russian-German expedition. Drill core material and surface samples, including volcanic target rocks and impactites, have been investigated by various geochemical techniques in order to improve the record of trace element characteristics for these lithologies and to attempt to detect and constrain a possible meteoritic component. The bedrock units of the ICDP drill core reflect the felsic volcanics that are predominant in the crater vicinity. The overlying suevites comprise a mixture of all currently known target lithologies, dominated by felsic rocks but lacking a discernable meteoritic component based on platinum group element abundances. The reworked suevite, directly overlain by lake sediments, is not only comparatively enriched in shocked minerals and impact glass spherules, but also contains the highest concentrations of Os, Ir, Ru, and Rh compared to other El'gygytgyn impactites. This isto a lesser extentthe result of admixture of a mafic component, but more likely the signature of a chondritic meteoritic component. However, the highly siderophile element contribution from target material akin to the mafic blocks of the ICDP drill core to the impactites remains poorly constrained.</t>
  </si>
  <si>
    <t>[Raschke, Ulli; Schmitt, Ralf Thomas; Reimold, Wolf Uwe] Leibniz Inst Evolut &amp; Biodivers Sci, Museum Nat Kunde Berlin, D-10115 Berlin, Germany; [Raschke, Ulli] Free Univ Berlin, Inst Geol Wissensch, D-12249 Berlin, Germany; [McDonald, Iain] Cardiff Univ, Sch Earth &amp; Ocean Sci, Cardiff CF10 3YE, S Glam, Wales; [Reimold, Wolf Uwe] Humboldt Univ, D-10099 Berlin, Germany; [Mader, Dieter; Koeberl, Christian] Univ Vienna, Ctr Earth Sci, Dept Lithospher Res, A-1090 Vienna, Austria; [Koeberl, Christian] Nat Hist Museum, A-1010 Vienna, Austria</t>
  </si>
  <si>
    <t>Leibniz Institut fur Evolutions und Biodiversitatsforschung; Free University of Berlin; Cardiff University; Humboldt University of Berlin; University of Vienna</t>
  </si>
  <si>
    <t>Raschke, U (corresponding author), Leibniz Inst Evolut &amp; Biodivers Sci, Museum Nat Kunde Berlin, Invalidenstr 43, D-10115 Berlin, Germany.</t>
  </si>
  <si>
    <t>ulli.raschke@outlook.com</t>
  </si>
  <si>
    <t>Reimold, Wolf Uwe/AAI-6226-2021</t>
  </si>
  <si>
    <t>McDonald, Iain/0000-0001-9066-7244; Hauser, Natalia/0000-0002-6975-6186; Koeberl, Christian/0000-0001-5155-7405; Reimold, Wolf Uwe/0000-0001-6588-0887</t>
  </si>
  <si>
    <t>International Continental Scientific Drilling Program (ICDP); U.S. National Science Foundation (NSF); German Federal Ministry of Education and Research (BMBF); Alfred Wegener Institute (AWI); Deutsches GeoForschungsZentrum Potsdam (GFZ); Russian Academy of Sciences Far East Branch (RAS FEB); Russian Foundation for Basic Research (RFBR); Arctic and Antarctic Research Institute (AARI) in St. Petersburg; Austrian Federal Ministry of Science and Research (BMWF); Austrian Science Foundation (FWF) [P21821-N19]; Deutsche Forschungsgemeinschaft (DFG) [RE 528/10-2]</t>
  </si>
  <si>
    <t>International Continental Scientific Drilling Program (ICDP); U.S. National Science Foundation (NSF)(National Science Foundation (NSF)); German Federal Ministry of Education and Research (BMBF)(Federal Ministry of Education &amp; Research (BMBF)); Alfred Wegener Institute (AWI); Deutsches GeoForschungsZentrum Potsdam (GFZ); Russian Academy of Sciences Far East Branch (RAS FEB); Russian Foundation for Basic Research (RFBR)(Russian Foundation for Basic Research (RFBR)); Arctic and Antarctic Research Institute (AARI) in St. Petersburg; Austrian Federal Ministry of Science and Research (BMWF); Austrian Science Foundation (FWF)(Austrian Science Fund (FWF)); Deutsche Forschungsgemeinschaft (DFG)(German Research Foundation (DFG))</t>
  </si>
  <si>
    <t>Funding for the El'gygytgyn drilling project was provided by the International Continental Scientific Drilling Program (ICDP), the U.S. National Science Foundation (NSF), the German Federal Ministry of Education and Research (BMBF), Alfred Wegener Institute (AWI), Deutsches GeoForschungsZentrum Potsdam (GFZ), the Russian Academy of Sciences Far East Branch (RAS FEB), the Russian Foundation for Basic Research (RFBR), the Arctic and Antarctic Research Institute (AARI) in St. Petersburg, and the Austrian Federal Ministry of Science and Research (BMWF). The Russian GLAD 800 drilling system was developed and operated by DOSECC Inc., and the downhole logging was performed by the ICDP-OSG. The work in Vienna was supported by the Austrian Science Foundation (FWF), project P21821-N19. This work is supported by Deutsche Forschungsgemeinschaft (DFG) grant RE 528/10-2 to WUR and RTS. Special thanks to the reviewers B. Simonson and S. Goderis for their helpful comments and suggestions to improve the quality of the original manuscript.</t>
  </si>
  <si>
    <t>10.1111/maps.12455</t>
  </si>
  <si>
    <t>WOS:000355276100005</t>
  </si>
  <si>
    <t>Stewart, AL; Thompson, AF</t>
  </si>
  <si>
    <t>Stewart, A. L.; Thompson, A. F.</t>
  </si>
  <si>
    <t>The Neutral Density Temporal Residual Mean overturning circulation</t>
  </si>
  <si>
    <t>Transformed residual mean; Neutral density; Ocean overturning; Antarctic circulation</t>
  </si>
  <si>
    <t>ORTHOBARIC DENSITY; CONSTANT HEIGHT; PART II; OCEAN; TRACER; MODEL; WATER; CONSERVATION; FORMULATION; TRANSPORT</t>
  </si>
  <si>
    <t>Diagnosis of the ocean's overturning circulation is essential to closing global budgets of heat, salt and biogeochemical tracers. This diagnosis is sensitive to the choice of density variable used to distinguish water masses and identify transformations between them. The oceanographic community has adopted neutral density for this purpose because its isopycnal slopes are approximately aligned with neutral slopes, along which ocean flows tend to be confined. At high latitudes there are often no tenable alternatives because potential density varies non-monotonically with depth, regardless of the reference pressure. However, in many applications the use of isoneutral fluxes is impractical due to the high computational cost of calculating neutral density. Consequently neutral density-related diagnostics are typically not available as output from ocean models. In this article the authors derive a modified Temporal Residual Mean (TRM) approximation to the isoneutral mass fluxes, referred to as the Neutral Density Temporal Residual Mean (NDTRM). The NDTRM may be calculated using quantities that are routinely offered as diagnostic output from ocean models, making it several orders of magnitude faster than explicitly computing isoneutral mass fluxes. The NDTRM is assessed using a process model of the Antarctic continental shelf and slope. The onshore transport of warm Circumpolar Deep Water in the model ocean interior approximately doubles when diagnosed using neutral density, rather than potential density. The NDTRM closely approximates these explicitly-computed isoneutral mass fluxes. The NDTRM also exhibits a much smaller error than the traditional TRM in regions of large isoneutral temperature and salinity gradients, where nonlinearities in the equation of state diabatically modify the neutral density. (C) 2015 Elsevier Ltd. All rights reserved.</t>
  </si>
  <si>
    <t>[Stewart, A. L.] Univ Calif Los Angeles, Dept Atmospher &amp; Ocean Sci, Los Angeles, CA 90095 USA; [Thompson, A. F.] CALTECH, Environm Sci &amp; Engn, Pasadena, CA 91125 USA</t>
  </si>
  <si>
    <t>University of California System; University of California Los Angeles; California Institute of Technology</t>
  </si>
  <si>
    <t>Stewart, AL (corresponding author), Univ Calif Los Angeles, Dept Atmospher &amp; Ocean Sci, Los Angeles, CA 90095 USA.</t>
  </si>
  <si>
    <t>astewart@atmos.ucla.edu</t>
  </si>
  <si>
    <t>Stewart, Andrew/0000-0001-5861-4070</t>
  </si>
  <si>
    <t>President's Fund Program; Director's Fund Program</t>
  </si>
  <si>
    <t>A.L.S.'s and A.F.T.'s work was carried out at the California Institute of Technology under a contract with the National Aeronautics and Space Administration and funded through the President's and Director's Fund Program. The simulations presented herein were conducted using the CITerra computing cluster in the Division of Geological and Planetary Sciences at the California Institute of Technology, and the authors thank the CITerra technicians for facilitating this work. The authors gratefully acknowledge the modeling efforts of the MITgcm team. The authors thank Trevor McDougall and another anonymous reviewer for insightful comments that improved the manuscript.</t>
  </si>
  <si>
    <t>10.1016/j.ocemod.2015.03.005</t>
  </si>
  <si>
    <t>CJ0ER</t>
  </si>
  <si>
    <t>WOS:000355148400004</t>
  </si>
  <si>
    <t>Zhou, Y; Zhou, CX; Deng, FH; E, DC; Liu, HY; Wen, YM</t>
  </si>
  <si>
    <t>Zhou, Yu; Zhou, Chunxia; Deng, Fanghui; E, Dongchen; Liu, Haiyan; Wen, Yangmao</t>
  </si>
  <si>
    <t>Improving InSAR elevation models in Antarctica using laser altimetry, accounting for ice motion, orbital errors and atmospheric delays</t>
  </si>
  <si>
    <t>Interferometric synthetic aperture radar (InSAR); ICESat laser altimetry; Digital elevation models (DEMs); Topographically correlated atmospheric delays; Ice velocity mapping</t>
  </si>
  <si>
    <t>SATELLITE RADAR; GLACIER MOTION; TOPOGRAPHY; INTERFEROMETRY; VELOCITY</t>
  </si>
  <si>
    <t>Ice dynamics is closely related to climate change. However, a lack of digital elevation models (DEMs) of sufficient horizontal resolution and vertical precision has been a major issue in dynamic studies for years. Existing Antarctic DEMs are derived from satellite radar and laser altimetry as well as limited terrestrial data; these sparse datasets result in poor spatial resolution (hundreds of metres to 1 km). In this paper, we propose a method for generating high-accuracy and high-resolution DEMs using interferometric synthetic aperture radar (InSAR) and Ice, Cloud and land Elevation Satellite (ICESat) laser altimetry by reducing the influence of ice motion, satellite orbital errors and topographically correlated atmospheric delays. A case study in the Grove Mountains area shows that the InSAR DEM has a root-mean-square (RMS) error of 5.9 m, which is better than the Radarsat Antarctic Mapping Project (RAMP) (21.1 m) and Bamber (8.5 m) DEMs. The new DEM is used to calculate ice velocity over the Grove Mountains area where GPS measurements have been collected for comparison. Compared to the NASA Making Earth System Data Records for Use in Research Environments (MEaSUREs) InSAR-Based Antarctica Ice Velocity Map, ice velocity estimates from long-baseline interferogram and the new DEM have a smaller RMS error; this suggests that with the new DEM, baseline length is no longer a limiting factor for the accuracy of InSAR-based ice velocity mapping. (C) 2015 Elsevier Inc All rights reserved.</t>
  </si>
  <si>
    <t>[Zhou, Yu; Zhou, Chunxia; Deng, Fanghui; E, Dongchen] Wuhan Univ, Chinese Antarctic Ctr Surveying &amp; Mapping, Wuhan 430079, Peoples R China; [Liu, Haiyan] Wuhan Univ, Sch Resource &amp; Environm Sci, Wuhan 430079, Peoples R China; [Wen, Yangmao] Wuhan Univ, Sch Geodesy &amp; Geomat, Wuhan 430079, Peoples R China</t>
  </si>
  <si>
    <t>Wuhan University; Wuhan University; Wuhan University</t>
  </si>
  <si>
    <t>Zhou, CX (corresponding author), Wuhan Univ, Chinese Antarctic Ctr Surveying &amp; Mapping, Wuhan 430079, Peoples R China.</t>
  </si>
  <si>
    <t>zhoucx@whu.edu.cn</t>
  </si>
  <si>
    <t>Zhou, Yu/GLU-4966-2022</t>
  </si>
  <si>
    <t>Zhou, Yu/0000-0002-9782-9311; Zhou, Chunxia/0000-0002-4819-2684</t>
  </si>
  <si>
    <t>National Natural Science Foundation of China (NSFC) [41076126, 41376187, 41204010]; Chinese 863 program [2009AA12Z133]; European Space Agency [3685]</t>
  </si>
  <si>
    <t>National Natural Science Foundation of China (NSFC)(National Natural Science Foundation of China (NSFC)); Chinese 863 program(National High Technology Research and Development Program of China); European Space Agency(European Space Agency)</t>
  </si>
  <si>
    <t>This work was supported in part by the National Natural Science Foundation of China (NSFC) (Grant no. 41076126, 41376187 and 41204010), and in part by the Chinese 863 program (Grant no. 2009AA12Z133). We thank the European Space Agency for providing data through the IPY (International Polar Year) announcement of opportunity (project ID 3685). Landsat imagery was downloaded from USGS (http://lima.usgs.gov/); ICESat laser altimetry product, RAMP and Bamber DEMs were downloaded from National Snow and Ice Data Center (NSIDC, http://nsidc.org/). We sincerely thank two anonymous reviewers for their constructive comments and suggestions.</t>
  </si>
  <si>
    <t>JUN 1</t>
  </si>
  <si>
    <t>10.1016/j.rse.2015.01.017</t>
  </si>
  <si>
    <t>CI8WI</t>
  </si>
  <si>
    <t>WOS:000355052000009</t>
  </si>
  <si>
    <t>Sha, LB; Jiang, H; Liu, YG; Zhao, MX; Li, DL; Chen, ZL; Zhao, Y</t>
  </si>
  <si>
    <t>Sha LongBin; Jiang Hui; Liu YanGuang; Zhao MeiXun; Li DongLing; Chen ZhenLou; Zhao Yun</t>
  </si>
  <si>
    <t>Palaeo-sea-ice changes on the North Icelandic shelf during the last millennium: Evidence from diatom records</t>
  </si>
  <si>
    <t>palaeo-sea-ice changes; North Icelandic shelf; Medieval Warm Period; Little Ice Age</t>
  </si>
  <si>
    <t>SURFACE-TEMPERATURE; HIGH-RESOLUTION; LATE-HOLOCENE; MAUNDER MINIMUM; GLACIAL MAXIMUM; CLIMATE CHANGES; TEPHRA MARKERS; TIME-SCALES; VARIABILITY; GREENLAND</t>
  </si>
  <si>
    <t>A high resolution record of sea-ice concentration on the North Icelandic shelf during the last millennium has been reconstructed using a diatom-based sea-ice transfer function. The reconstructed sea-ice record for the top of sediment core MD99-2275 exhibits a slightly increasing trend over the last 1000 years. Prior to AD 1300 sea-ice abundance was generally below the mean value, suggesting the strong influence of warm waters from the Irminger Current during the Medieval Warm Period. A marked increase of sea-ice concentration indicates an abrupt change to colder conditions after AD 1300, corresponding to the onset of the Little Ice Age. The agreement between the reconstructed sea-ice concentration and IP25 data obtained from the same core, as well as with historical records of Icelandic sea ice, suggests that diatoms may provide a valuable tool for future quantitative reconstructions of past sea-ice variability. In addition, agreement between changes in the reconstructed sea-ice record and variations in the abundance of the major diatom components indicates that sea-ice conditions on the North Icelandic shelf are generally strongly influenced by changes in the strength of two different water masses, the cold Polar water periodically derived from the East Greenland Current and the warm Irminger Current derived from the North Atlantic Current. Our proxy evidence also indicates that variations in solar activity have a considerable impact on ocean dynamics, which in turn affects sea-ice abundance.</t>
  </si>
  <si>
    <t>[Sha LongBin; Jiang Hui; Chen ZhenLou; Zhao Yun] E China Normal Univ, Key Lab Geog Informat Sci, Shanghai 200062, Peoples R China; [Liu YanGuang] State Ocean Adm, Inst Oceanog 1, Key Lab Marine Sedimentol &amp; Environm Geol, Qingdao 266061, Peoples R China; [Zhao MeiXun] Ocean Univ China, Key Lab Marine Chem Theory &amp; Technol, Minist Educ, Qingdao 266100, Peoples R China; [Li DongLing] Ningbo Univ, Dept City Sci, Ningbo 315211, Peoples R China</t>
  </si>
  <si>
    <t>East China Normal University; First Institute of Oceanography, Ministry of Natural Resources; Ocean University of China; Ningbo University</t>
  </si>
  <si>
    <t>Sha, LB (corresponding author), E China Normal Univ, Key Lab Geog Informat Sci, Shanghai 200062, Peoples R China.</t>
  </si>
  <si>
    <t>shalongbin@hotmail.com</t>
  </si>
  <si>
    <t>Liu, Yanguang/AAG-8119-2021</t>
  </si>
  <si>
    <t>Liu, Yanguang/0000-0002-4524-2930</t>
  </si>
  <si>
    <t>National Natural Science Foundation of China [41406209, 41176048]; Chinese Polar Environment Comprehensive Investigation &amp; Assessment Programme [CHINARE2014-03-02]; Chinese Arctic and Antarctic Administration, SOA [IC201309]</t>
  </si>
  <si>
    <t>National Natural Science Foundation of China(National Natural Science Foundation of China (NSFC)); Chinese Polar Environment Comprehensive Investigation &amp; Assessment Programme; Chinese Arctic and Antarctic Administration, SOA</t>
  </si>
  <si>
    <t>We are grateful to the Institut Paul-Emile Victor (IPEV) for the IMAGES coring operation onboard the Marion Dufresne. This work was supported by the National Natural Science Foundation of China (Grant Nos. 41406209, 41176048), Chinese Polar Environment Comprehensive Investigation &amp; Assessment Programme (Grant No. CHINARE2014-03-02) and International Cooperation Project of Chinese Arctic and Antarctic Administration, SOA (Grant No. IC201309). Finally, we are grateful to three anonymous referees for constructive and useful comments, and to Dr. Jan Bloemendal for constructive suggestions and correction of the English text.</t>
  </si>
  <si>
    <t>10.1007/s11430-015-5061-2</t>
  </si>
  <si>
    <t>CI6VN</t>
  </si>
  <si>
    <t>WOS:000354901900011</t>
  </si>
  <si>
    <t>Qadeer, S; Khan, MA; Ansari, MS; Rakha, BA; Ejaz, R; Iqbal, R; Younis, M; Ullah, N; DeVries, AL; Akhter, S</t>
  </si>
  <si>
    <t>Qadeer, S.; Khan, M. A.; Ansari, M. S.; Rakha, B. A.; Ejaz, R.; Iqbal, R.; Younis, M.; Ullah, N.; DeVries, Arthur L.; Akhter, S.</t>
  </si>
  <si>
    <t>Efficiency of antifreeze glycoproteins for cryopreservation of Nili-Ravi (Bubalus bubalis) buffalo bull sperm</t>
  </si>
  <si>
    <t>ANIMAL REPRODUCTION SCIENCE</t>
  </si>
  <si>
    <t>Buffalo bull sperm; Antifreeze glycoproteins; Ice crystal</t>
  </si>
  <si>
    <t>IN-VIVO FERTILITY; EXTENDER IMPROVES; CONCEPTION RATE; POSTTHAW QUALITY; PROTEINS; MEMBRANE; BOAR; SPERMATOZOA; ESTRUS; GLYCOPEPTIDES</t>
  </si>
  <si>
    <t>Experiments were conducted to evaluate the effect of Antarctic fish antifreeze glycoproteins, (AFGP) size 1-5 (34-10.5 kDa) and 7-8 (3.2 and 2.4 kDa) in extender on buffalo bull sperm at cooling (4 degrees C) and at post thawing. Semen was collected from three Nili-Ravi buffalo bulls with artificial vagina for 3 weeks. Qualifying ejaculates from each buffalo bull were diluted (at 37 degrees C having 50 x 10(6) sperm/mL) in tris-citric acid extender containing AFGP at 0 (control), 0.1, 1 and 10 mu g/mL. An aliquot of diluted semen was evaluated for sperm progressive motility and plasma membrane integrity, while the remaining fraction was cooled to 4 degrees C in 2 h. Further, an aliquot of cooled semen was evaluated for the previously described variables and the remaining fraction was cryopreserved (-196 degrees C). After 24 h of storage, straws were thawed at 37 degrees C for 30 s to assess post-thaw sperm quality. Inclusion of AFGP in the extender did not affect (P&gt;0.05) sperm progressive motility and plasma membrane integrity of buffalo bull sperm at cooling stage (4 degrees C). However, at post thawing, improvement (P&lt;0.05) in sperm progressive motility and plasma membrane integrity was recorded in extender containingAFGP 1-5 and AFGP 7-8 at 1 mu g/mL compared to the control. Percentage of live sperm with an intact acrosome remained similar (P&gt;0.05) in extenders containing different amounts of AFGP and control. In conclusion, supplementation of 1 mu g/ml of AFGP in extender improved the motility and plasma membrane integrity of Nili-Ravi buffalo sperm after thawing. (C) 2015 Elsevier B.V. All rights reserved.</t>
  </si>
  <si>
    <t>[Qadeer, S.; Khan, M. A.; Rakha, B. A.; Ejaz, R.; Ullah, N.; Akhter, S.] Pir Mehr All Shah Arid Agr Univ Rawalpindi, Dept Zool, Physiol Anim Lab, Rawalpindi 46300, Pakistan; [Ansari, M. S.; Iqbal, R.] Univ Gujrat, Dept Zool, Gujrat, Pakistan; [Younis, M.] Semen Prod Unit Qadirabad, Sahiwal, Pakistan; [DeVries, Arthur L.] Univ Illinois, Dept Physiol &amp; Biophys, Urbana, IL 61801 USA</t>
  </si>
  <si>
    <t>University of Gujrat; University of Illinois System; University of Illinois Urbana-Champaign</t>
  </si>
  <si>
    <t>Akhter, S (corresponding author), Pir Mehr All Shah Arid Agr Univ Rawalpindi, Dept Zool, Physiol Anim Lab, Rawalpindi 46300, Pakistan.</t>
  </si>
  <si>
    <t>shamim@uaar.edu.pk</t>
  </si>
  <si>
    <t>Rakha, Bushra Allah/Y-6111-2019; Ansari, Muhammad/GQI-1517-2022; Khan, Muhammad Ajmal/H-3287-2016</t>
  </si>
  <si>
    <t>Rakha, Bushra Allah/0000-0002-2595-3460;</t>
  </si>
  <si>
    <t>Higher Education Commission Pakistan</t>
  </si>
  <si>
    <t>Higher Education Commission Pakistan(Higher Education Commission of Pakistan)</t>
  </si>
  <si>
    <t>The authors are thankful to Higher Education Commission Pakistan for providing financial assistance under 5000 Indigenous PhD Fellowship Program.</t>
  </si>
  <si>
    <t>0378-4320</t>
  </si>
  <si>
    <t>1873-2232</t>
  </si>
  <si>
    <t>ANIM REPROD SCI</t>
  </si>
  <si>
    <t>Anim. Reprod. Sci.</t>
  </si>
  <si>
    <t>10.1016/j.anireprosci.2015.03.015</t>
  </si>
  <si>
    <t>Agriculture, Dairy &amp; Animal Science; Reproductive Biology; Veterinary Sciences</t>
  </si>
  <si>
    <t>Agriculture; Reproductive Biology; Veterinary Sciences</t>
  </si>
  <si>
    <t>CI8PF</t>
  </si>
  <si>
    <t>WOS:000355033500008</t>
  </si>
  <si>
    <t>Krishnan, KP; Sinha, RK; Nair, S; Noronha, SB; Chacko, R; Anilkumar, N</t>
  </si>
  <si>
    <t>Krishnan, Kottekkatu Padinchati; Sinha, Rupesh Kumar; Nair, Shanta; Noronha, Sharon Bibiana; Chacko, Racheal; Anilkumar, Narayanapillai</t>
  </si>
  <si>
    <t>Carbon demand, utilization, and metabolic diversity of bacterioplankton in the frontal regimes of the Indian sector of the Southern Ocean</t>
  </si>
  <si>
    <t>ANNALS OF MICROBIOLOGY</t>
  </si>
  <si>
    <t>Bacterial production; Respiration; Carbon demand; EcoPlate (TM); Southern Ocean</t>
  </si>
  <si>
    <t>DISSOLVED ORGANIC-MATTER; BACTERIAL-GROWTH EFFICIENCY; SEA-ICE; FUNCTIONAL DIVERSITY; EXOPOLYMERIC SUBSTANCES; MEDITERRANEAN SEA; RESPIRATION; DYNAMICS; BIOMASS; SYSTEMS</t>
  </si>
  <si>
    <t>Bacterial production, respiration and metabolic diversity were measured up to 120 m depth in the Sub-Antarctic Front (SAF) and Polar Fronts I and II (PFI and PFII) of the Indian Ocean sector of the Southern Ocean during 2010 Austral Summer. Prokaryotic cell count was maximum at PFI and PFII (similar to 10(7) cells L-1). Furthermore, integrated bacterial production was higher at PFI (1.07 mg C m(-2) h(-1)) and similar to 10(9) cells L-1) and minimum at SAF (similar to FII (0.72 mg C m(-2) h(-1)) compared to SAF (0.61 mg C m(-2) h(-1)). At PFII, integrated bacterial growth efficiency was higher (8.96) compared to PFI (7.42) and SAF (7.17), signifying that the net contribution of PFII to the microbial loop could be relatively pronounced. Enhanced cell numbers and production at polar fronts indicate that the dissolved organic matter could be converted to secondary biomass through the microbial loop. However, integrated bacterial respiration rate at PFII (0.83 mg C m(-2) h(-1)) was lower than that at PFI (1.84 mg C m(-2) h(-1)) resulting in higher growth efficiency at PFII. Metabolic flexibility at SAF was clearly brought about by utilization of carboxylic acids like D-malic acid and itaconic acid, and carbohydrates like N-acetyl D-glucosamine, D-cellobiose and D-lactose. Utilization of amino acids like glycyl L-glutamic acid and L-threonine, and an amine, phenylethylamine, was critical in determining the metabolic variability at PFI. PFII hosted microbes that utilized phenolic compounds (2-hydroxy benzoic acid and 4-hydroxy benzoic acid) and polymers (like Tween 80). Utilization of polyols over carbohydrates in polar waters indicates a niche with lesser influence of the Antarctic melt waters on the bacterioplankton metabolism.</t>
  </si>
  <si>
    <t>[Krishnan, Kottekkatu Padinchati; Sinha, Rupesh Kumar; Noronha, Sharon Bibiana; Chacko, Racheal; Anilkumar, Narayanapillai] Natl Ctr Antarctic &amp; Ocean Res, Vasco Da Gama, Goa, India; [Nair, Shanta] Natl Inst Oceanog, Panaji, Goa, India</t>
  </si>
  <si>
    <t>Ministry of Earth Sciences (MoES) - India; National Centre for Polar and Ocean Research (NCPOR); Council of Scientific &amp; Industrial Research (CSIR) - India; CSIR - National Institute of Oceanography (NIO)</t>
  </si>
  <si>
    <t>Krishnan, KP (corresponding author), Natl Ctr Antarctic &amp; Ocean Res, Vasco Da Gama, Goa, India.</t>
  </si>
  <si>
    <t>kpkrishnan@gmail.com</t>
  </si>
  <si>
    <t>P, Krishnan K/ABF-8783-2020; Sinha, Rupesh/ABB-8319-2020</t>
  </si>
  <si>
    <t>, K. P. Krishnan/0000-0003-1101-657X; Chacko, Racheal/0000-0002-0205-776X; Sinha, Rupesh Kumar/0000-0002-2080-0975</t>
  </si>
  <si>
    <t>We thank the Director, NCAOR for his encouragement and interest in this study. Authors wish to thank Dr. C. T. Achuthankutty for critically evaluating the manuscript. With gratitude we acknowledge the help received from Dr. K. Satheesan for carrying out statistical analyses. This work was undertaken as a part of the Indian expedition to the Southern Ocean in the year 2010 funded by the Ministry of Earth Sciences, Government of India. This is NCAOR contribution number 17/2014.</t>
  </si>
  <si>
    <t>1590-4261</t>
  </si>
  <si>
    <t>1869-2044</t>
  </si>
  <si>
    <t>ANN MICROBIOL</t>
  </si>
  <si>
    <t>Ann. Microbiol.</t>
  </si>
  <si>
    <t>10.1007/s13213-014-0948-2</t>
  </si>
  <si>
    <t>CI4MR</t>
  </si>
  <si>
    <t>WOS:000354724300043</t>
  </si>
  <si>
    <t>Tracey, SR; Baulch, T; Hartmann, K; Ling, SD; Lucieer, V; Marzloff, MP; Mundy, C</t>
  </si>
  <si>
    <t>Tracey, Sean R.; Baulch, Travis; Hartmann, Klaas; Ling, Scott D.; Lucieer, Vanessa; Marzloff, Martin P.; Mundy, Craig</t>
  </si>
  <si>
    <t>Systematic culling controls a climate driven, habitat modifying invader</t>
  </si>
  <si>
    <t>BIOLOGICAL INVASIONS</t>
  </si>
  <si>
    <t>Invasive species; Range expansion; Temperate rocky reefs; Kelp beds; Sea urchin barrens; Culling</t>
  </si>
  <si>
    <t>SEA-URCHINS; ROCKY REEFS; SHIFTS; RECOVERY; MODEL; CONSEQUENCES; RESILIENCE; SUCCESSION; MANAGEMENT; STABILITY</t>
  </si>
  <si>
    <t>Long-term shifts in environmental conditions driven by climate change are predicted to persistently modify the distribution of a multitude of species. These range shifts can have significant effects on the functioning of ecological communities. Ocean warming along the southeast coast of Australia has seen a polewards shift in the distribution of the long-spined sea urchin Centrostephanus rodgersii. Barren areas formed by the destructive overgrazing of kelp beds by invading C. rodgersii are associated with a dramatic loss of habitat, species diversity and productivity. The ongoing range expansion of C. rodgersii will further increase sea urchin densities along the south eastern coast of Tasmania, where 'incipient' barrens have started to appear. As restoration of sea urchin barrens over a large-scale is costly and hard to achieve, effective management needs to focus on preventing further formation of extensive barrens. This study examines whether systematic culling of C. rodgersii in spatially discrete areas is effective to control their abundance. We show that systematic culling was highly effective in significantly reducing the mean density and aggregation of urchins in a discrete area which persisted for at least 12 months. Notably, there was no significant difference in the reduction of urchin density and aggregation when plots were culled twice rather than once. There was however an edge effect indicating a slow incursion of urchins back into the treatment plots. We also show that divers follow a classic prey-predator interaction with culling efficiency increasing with urchin density. Ultimately our results demonstrate that systematic culling is an effective method for controlling urchin abundance in discrete areas. The high cost and logistical constraints limit the application of a culling programme over large areas of reef. Culling, therefore, needs to be considered along with other management measures to control the effects of overgrazing by urchins over large scales.</t>
  </si>
  <si>
    <t>[Tracey, Sean R.; Baulch, Travis; Hartmann, Klaas; Ling, Scott D.; Lucieer, Vanessa; Marzloff, Martin P.; Mundy, Craig] Univ Tasmania, Inst Marine &amp; Antarctic Studies, Hobart, Tas 7052, Australia</t>
  </si>
  <si>
    <t>Tracey, SR (corresponding author), Univ Tasmania, Inst Marine &amp; Antarctic Studies, Private Bag 49, Hobart, Tas 7052, Australia.</t>
  </si>
  <si>
    <t>sean.tracey@utas.edu.au</t>
  </si>
  <si>
    <t>Hartmann, Klaas/B-3991-2008; Mundy, Craig/G-3390-2014; Marzloff, Martin/AAY-3833-2020; Ling, Scott/J-7161-2014; Tracey, Sean/J-7446-2014; Lucieer, Vanessa/D-1697-2009</t>
  </si>
  <si>
    <t>Mundy, Craig/0000-0002-1945-3750; Marzloff, Martin/0000-0002-8152-4273; Ling, Scott/0000-0002-5544-8174; Tracey, Sean/0000-0002-6735-5899; Lucieer, Vanessa/0000-0001-7531-5750</t>
  </si>
  <si>
    <t>Australian Government through a Fisheries Research and Development Corporation Tactical Research Fund Grant; Tasmanian Government through the Department of Primary Industries, Parks, Water and Environment</t>
  </si>
  <si>
    <t>Australian Government through a Fisheries Research and Development Corporation Tactical Research Fund Grant(Fisheries R&amp;D Corp); Tasmanian Government through the Department of Primary Industries, Parks, Water and Environment</t>
  </si>
  <si>
    <t>We would like to thank the commercial divers who participated in the cull program and IMAS staff who participated in the culling and survey events for assisting on the project. Discussions with Angela Williamson, Caleb Gardner and Craig Johnson, as well as comments from two anonymous reviewers were helpful in the development of this manuscript. The project was funded by the Australian Government through a Fisheries Research and Development Corporation Tactical Research Fund Grant and the Tasmanian Government through the Department of Primary Industries, Parks, Water and Environment.</t>
  </si>
  <si>
    <t>1387-3547</t>
  </si>
  <si>
    <t>1573-1464</t>
  </si>
  <si>
    <t>BIOL INVASIONS</t>
  </si>
  <si>
    <t>Biol. Invasions</t>
  </si>
  <si>
    <t>10.1007/s10530-015-0845-z</t>
  </si>
  <si>
    <t>CH9RJ</t>
  </si>
  <si>
    <t>WOS:000354373500024</t>
  </si>
  <si>
    <t>Salinas, HFO; Brandini, F; Boltovskoy, D</t>
  </si>
  <si>
    <t>Olguin Salinas, Hector F.; Brandini, Frederico; Boltovskoy, Demetrio</t>
  </si>
  <si>
    <t>Latitudinal patterns and interannual variations of spring phytoplankton in relation to hydrographic conditions of the southwestern Atlantic Ocean (34A°-62A°S)</t>
  </si>
  <si>
    <t>HELGOLAND MARINE RESEARCH</t>
  </si>
  <si>
    <t>Diatoms; Biogeography; Atlantic; Brazil-Malvinas Confluence</t>
  </si>
  <si>
    <t>ANTARCTIC CIRCUMPOLAR CURRENT; BASIN-SCALE VARIABILITY; SOUTH-WESTERN ATLANTIC; MALVINAS CURRENTS; TINTINNIDS CILIOPHORA; PLANKTON COMMUNITIES; SPECIES RICHNESS; PATAGONIAN SHELF; CONFLUENCE ZONE; BRAZIL</t>
  </si>
  <si>
    <t>In the present study, the distribution and abundance of microphytoplankton were assessed in the southwestern Atlantic Ocean from subtropical to polar waters (34A degrees-62A degrees S) in two austral springs with contrasting hydrographic conditions. Vertical profiles of open-ocean (ca. 54A degrees W) samples (a parts per thousand yenA 18 L filtered water) were performed in 20 stations (0-100 m) in 1994 and in 17 stations (0-50 m) in 1995. The latitudinal patterns of microphytoplankton groups, chlorophyll a, and diatom and silicoflagellate species were analyzed and compared with our previous study carried out in spring 1993 (30A degrees-61A degrees S). In the three springs, 197 diatom species, 173 of which showed mean relative density lower than 1 %, were identified. A consistent diatom biogeographic pattern emerged in the three consecutive springs, defining the Transitional (corresponding to the Brazil-Malvinas Current Confluence), Subantarctic and Antarctic Zones; and the Subantarctic and Polar Fronts, as their boundaries. This zonation reflects persistent features of this hydrographically heterogeneous region. The Polar Front was a weaker biogeographic boundary for diatom species than the Subantarctic Front. Interannual changes in diatoms (mainly in species richness, dominant species and degree of dominance of species with different ecological affinities) were detected. The Transitional Zone, which is one of the most hydrographically variable regions of the world ocean, showed the highest changes in the diatom assemblage, reflecting a colder spring in 1995 and a warmer spring in 1994 than normal (1993). These changes agreed with differences reported for 1993-1995 in large-scale hydrographic conditions, including a widespread diversity decrease in 1995 due to a weaker influence of subtropical waters.</t>
  </si>
  <si>
    <t>[Olguin Salinas, Hector F.; Boltovskoy, Demetrio] Univ Buenos Aires, Fac Ciencias Exactas &amp; Nat, Dept Ecol Genet &amp; Evoluc, Inst IEGEBA,CONICET, Buenos Aires, DF, Argentina; [Olguin Salinas, Hector F.; Boltovskoy, Demetrio] Museo Argentino Ciencias Nat Bernardino Rivadavia, Buenos Aires, DF, Argentina; [Brandini, Frederico] Univ Sao Paulo, Inst Oceanog, BR-05508120 Sao Paulo, SP, Brazil; [Boltovskoy, Demetrio] Consejo Nacl Invest Cient &amp; Tecn, Buenos Aires, DF, Argentina</t>
  </si>
  <si>
    <t>University of Buenos Aires; Consejo Nacional de Investigaciones Cientificas y Tecnicas (CONICET); Museo Argentino de Ciencias Naturales Bernardino Rivadavia (MACN); Universidade de Sao Paulo; Consejo Nacional de Investigaciones Cientificas y Tecnicas (CONICET)</t>
  </si>
  <si>
    <t>Salinas, HFO (corresponding author), Museo Argentino Ciencias Nat Bernardino Rivadavia, A Gallardo 470,C1405DJR, Buenos Aires, DF, Argentina.</t>
  </si>
  <si>
    <t>Boltovskoy, Demetrio/ITA-5729-2023; Brandini, Frederico/C-9402-2012</t>
  </si>
  <si>
    <t>University of Buenos Aires, Argentina; Argentine Antarctic Institute; Conselho Nacional de Desenvolvimiento Cientifico e Tecnologico, Brazil</t>
  </si>
  <si>
    <t>University of Buenos Aires, Argentina(University of Buenos Aires); Argentine Antarctic Institute; Conselho Nacional de Desenvolvimiento Cientifico e Tecnologico, Brazil</t>
  </si>
  <si>
    <t>We thank the crew and officers of the supply and research vessel Ary Rongel of the Brazilian Navy for logistical and technical assistance. This work was supported by grants from the University of Buenos Aires, Argentina; the Argentine Antarctic Institute and the Conselho Nacional de Desenvolvimiento Cientifico e Tecnologico, Brazil.</t>
  </si>
  <si>
    <t>1438-387X</t>
  </si>
  <si>
    <t>1438-3888</t>
  </si>
  <si>
    <t>HELGOLAND MAR RES</t>
  </si>
  <si>
    <t>Helgoland Mar. Res.</t>
  </si>
  <si>
    <t>10.1007/s10152-015-0427-6</t>
  </si>
  <si>
    <t>CH7UI</t>
  </si>
  <si>
    <t>WOS:000354241700005</t>
  </si>
  <si>
    <t>Emmerson, L; Southwell, C; Clarke, J; Tierney, M; Kerry, K</t>
  </si>
  <si>
    <t>Emmerson, Louise; Southwell, Colin; Clarke, Judy; Tierney, Megan; Kerry, Knowles</t>
  </si>
  <si>
    <t>Ad,lie penguin response parameters signal reduced prey accessibility: implications for predator-prey response curves</t>
  </si>
  <si>
    <t>ADELIE-PENGUIN; SEA-ICE; BECHERVAISE ISLAND; EAST ANTARCTICA; BREEDING PERFORMANCE; TEMPORAL VARIATION; EUPHAUSIA-SUPERBA; FOOD AVAILABILITY; MARINE ECOSYSTEM; SEABIRDS</t>
  </si>
  <si>
    <t>Seabirds are often proposed as useful indicators of marine ecosystems because of their typically tight response to varying levels of prey abundance. We demonstrate here how this relationship can be modified for Southern Ocean higher-order predators when prey accessibility changes as a consequence of the temporally varying sea-ice environment. We examined within- and between-year fluctuations in breeding success, foraging trip duration, meal mass and fledgling weights of Ad,lie penguins (Pygoscelis adeliae) at B,chervaise Island (67A degrees 35'S, 62A degrees 49'E) in east Antarctica to determine the degree of concordance between parameters over a 12-year period and how these varied in relation to sea-ice conditions. The penguins responded to extensive sea-ice (predominantly fast-ice) adjacent to their breeding colony by lengthening their foraging trips, and these years typically had reduced breeding success. Some years indicated good conditions for the penguins across parameters and had relatively high breeding success with heavier fledglings, while others indicated difficult conditions with poorer breeding success and lighter fledglings. In other years, there was discordance in the patterns of breeding success, fledgling mass and early versus late stage foraging trip durations, suggestive of different thresholds for different parameters or within-year changes in resource availability. Our results highlight the importance of accounting for the temporal variability in prey availability as a function of both accessibility and abundance when interpreting predator response curves.</t>
  </si>
  <si>
    <t>[Emmerson, Louise; Southwell, Colin; Clarke, Judy; Tierney, Megan; Kerry, Knowles] Australian Antarctic Div, Dept Environm, Kingston, Tas 7050, Australia; [Tierney, Megan] South Atlantic Environm Res Inst, Stanley FIQQ 1ZZ, Falkland Island, England</t>
  </si>
  <si>
    <t>Emmerson, L (corresponding author), Australian Antarctic Div, Dept Environm, Channel Highway, Kingston, Tas 7050, Australia.</t>
  </si>
  <si>
    <t>Louise.Emmerson@aad.gov.au</t>
  </si>
  <si>
    <t>AAS [2205, 2722, 4086, 4087]</t>
  </si>
  <si>
    <t>AAS</t>
  </si>
  <si>
    <t>We thank the many people who formed the Bechervaise Island field teams to monitor the Adelie penguins and the various engineers working on the project. All procedures and the implantation of electronic tags to penguins were with approval from the Australian Antarctic Division's Animal Ethics Committee. This project was supported by the AAS projects #2205, #2722, #4086 and #4087. Steve Nicol and Luke Einoder offered helpful comments on the manuscript.</t>
  </si>
  <si>
    <t>10.1007/s00227-015-2661-5</t>
  </si>
  <si>
    <t>CI3AK</t>
  </si>
  <si>
    <t>WOS:000354619600004</t>
  </si>
  <si>
    <t>La Mesa, M; Riginella, E; Mazzoldi, C; Ashford, J</t>
  </si>
  <si>
    <t>La Mesa, Mario; Riginella, Emilio; Mazzoldi, Carlotta; Ashford, Julian</t>
  </si>
  <si>
    <t>Reproductive resilience of ice-dependent Antarctic silverfish in a rapidly changing system along the Western Antarctic Peninsula</t>
  </si>
  <si>
    <t>Gametogenesis; histological analysis; Pleuragramma antarctica; reproductive effort; Western Antarctica</t>
  </si>
  <si>
    <t>SOUTHERN WEDDELL SEA; TERRA-NOVA BAY; PLEURAGRAMMA-ANTARCTICUM; LIFE-CYCLE; ROSS SEA; FISH; CONNECTIVITY; POSTLARVAL; DYNAMICS; ECOLOGY</t>
  </si>
  <si>
    <t>The Western Antarctic Peninsula (wAP) is globally one of the systems most heavily impacted by climate change, notably steep declines in sea ice extent. In forage species, reproductive resilience to change is particularly important because population fluctuations are rapidly communicated through the system via trophic interactions. The reproductive traits of the ice-dependent forage species Antarctic silverfish (Pleuragramma antarctica) from different areas along the wAP and at the tip of the Antarctic Peninsula were investigated through macroscopic and histological analyses of gonads, with the aim to assess its reproductive potential and to test for spatial differences in fecundity and spawning season. Fish samples were collected in late summer off Charcot Island, in Marguerite Bay and off Joinville Island; no fish were caught in the central wAP. Samples from Charcot Island and Marguerite Bay consisted of adults in developing gonad stage, whereas those from Joinville consisted almost exclusively of juveniles. Mean GSI was relatively low (2-3%) and similar in both sexes, as specimens were still far from being actively reproducing. Developing females exhibited two discrete, though partially overlapping modes of oocytes of different size, with vitellogenic oocytes measuring 0.5-1.0mm. Absolute and relative fecundity ranged between 3000 and 12,000 eggs per female and between 80 and 190eggsg(-1), with a strong relationship between absolute fecundity and body size. These results were consistent with a single population at Charcot Island and Marguerite Bay and indicated substantial reproductive potential, which may mitigate population isolation and reductions in habitat availability but cannot ultimately offset catastrophic loss of spawning habitat linked to sea-ice retreat.</t>
  </si>
  <si>
    <t>[La Mesa, Mario] CNR, Inst Marine Sci, I-60125 Ancona, Italy; [Riginella, Emilio; Mazzoldi, Carlotta] Univ Padua, Dept Biol, Padua, Italy; [Ashford, Julian] Old Dominion Univ, Ctr Quantitat Fisheries Ecol, Norfolk, VA USA</t>
  </si>
  <si>
    <t>Consiglio Nazionale delle Ricerche (CNR); Istituto di Scienze Marine (ISMAR-CNR); University of Padua; Old Dominion University</t>
  </si>
  <si>
    <t>La Mesa, M (corresponding author), CNR, Inst Marine Sci, I-60125 Ancona, Italy.</t>
  </si>
  <si>
    <t>m.lamesa@ismar.cnr.it</t>
  </si>
  <si>
    <t>Riginella, Emilio/Q-2987-2019; Mazzoldi, Carlotta/AAU-8628-2020</t>
  </si>
  <si>
    <t>Riginella, Emilio/0000-0002-1442-8310; MAZZOLDI, CARLOTTA/0000-0002-2798-3030</t>
  </si>
  <si>
    <t>United States National Science Foundation [0741348]; Programma Nazionale di Ricerca in Antartide (PNRA)</t>
  </si>
  <si>
    <t>United States National Science Foundation(National Science Foundation (NSF)); Programma Nazionale di Ricerca in Antartide (PNRA)</t>
  </si>
  <si>
    <t>We gratefully acknowledge the support of the crew of the R/V Nathaniel B. Palmer; the field technicians on board from Raytheon Inc.; and J. Ferguson, E. Bortolotto and G. Santovito, who assisted with collecting the samples. We also are indebted to Dr Joseph Torres of the University of South Florida for his advice and encouragement. Funding for Dr Ashford was provided by the United States National Science Foundation (Grant no. 0741348). Funding for Dr La Mesa was provided by the Programma Nazionale di Ricerca in Antartide (PNRA).</t>
  </si>
  <si>
    <t>10.1111/maec.12140</t>
  </si>
  <si>
    <t>CI2KT</t>
  </si>
  <si>
    <t>WOS:000354577200010</t>
  </si>
  <si>
    <t>Auerswald, L; Meyer, B; Teschke, M; Hagen, W; Kawaguchi, S</t>
  </si>
  <si>
    <t>Auerswald, Lutz; Meyer, Bettina; Teschke, Mathias; Hagen, Wilhelm; Kawaguchi, So</t>
  </si>
  <si>
    <t>Physiological response of adult Antarctic krill, Euphausia superba, to long-term starvation</t>
  </si>
  <si>
    <t>Metabolic activity; Overwintering; Energy metabolite; Lipids; Enzyme activity; Light regime</t>
  </si>
  <si>
    <t>SIMULATED LIGHT REGIMES; AFRICAN FRUIT BEETLE; ENERGY BUDGETS; PACHNODA-SINUATA; LIPID-METABOLISM; FATTY-ACID; LARVAL; GROWTH; QUANTITATION; ZOOPLANKTON</t>
  </si>
  <si>
    <t>Adult Euphausia superba survive winter without or with little feeding. It is not exactly known whether the scarcity of food or an internal clock, set by the natural Antarctic light regime, are responsible for non-feeding. Our research questions were therefore the following: (1) How will physiological and biochemical conditions of krill change during long-term starvation at constant light regime? (2) If and how do enzyme activities change during such starvation? (3) What is the influence of food availability versus that of light regime? To answer these questions, adult krill were starved under laboratory conditions for 12 weeks with constant light regime (12:12; dark/light) and the impact on physiological functions was studied. Initial experimental condition of krill resembled the condition of late spring krill in the field with fully active metabolism and low lipid reserves. Metabolic activity and activities of enzymes catabolising lipids decreased after the onset of starvation and remained low throughout, whereas lipid reserves declined and lipid composition changed. Mass and size of krill decreased while the inter-moult period increased. Depletion of storage- and structural metabolites occurred in the order of depot lipids and glycogen reserves after onset of starvation until proteins were almost exclusively used after 6-7 weeks of starvation. Results confirmed various proposed overwintering mechanisms such as metabolic slowdown, slow growth or shrinkage and use of lipid reserves. However, these changes were set in motion by food shortage only, i.e. without the trigger of a changing light regime.</t>
  </si>
  <si>
    <t>[Auerswald, Lutz] Branch Fisheries Management, Dept Agr Forestry &amp; Fisheries, ZA-8012 Cape Town, South Africa; [Auerswald, Lutz] Univ Stellenbosch, Dept Anim Sci, ZA-7602 Matieland, South Africa; [Meyer, Bettina; Teschke, Mathias] Alfred Wegener Inst Polar &amp; Marine Res, Sci Div Biol Oceanog, D-27570 Bremerhaven, Germany; [Hagen, Wilhelm] Univ Bremen, BreMarE Bremen Marine Ecol, Marine Zool, D-28334 Bremen, Germany; [Kawaguchi, So] Australian Antarctic Div, Kingston, Tas 7050, Australia; [Kawaguchi, So] Antarctic Climate &amp; Ecosyst Cooperat Res Ctr, Hobart, Tas 7001, Australia</t>
  </si>
  <si>
    <t>Stellenbosch University; Helmholtz Association; Alfred Wegener Institute, Helmholtz Centre for Polar &amp; Marine Research; University of Bremen; Australian Antarctic Division; Antarctic Climate &amp; Ecosystems Cooperative Research Centre (ACE CRC)</t>
  </si>
  <si>
    <t>Auerswald, L (corresponding author), Branch Fisheries Management, Dept Agr Forestry &amp; Fisheries, Private Bag X2, ZA-8012 Cape Town, South Africa.</t>
  </si>
  <si>
    <t>LutzA@daff.gov.za</t>
  </si>
  <si>
    <t>Meyer, Bettina/ABB-5311-2020; Kawaguchi, So/N-1795-2017</t>
  </si>
  <si>
    <t>Meyer, Bettina/0000-0001-6804-9896; Hagen, Wilhelm/0000-0002-7462-9931; Kawaguchi, So/0000-0002-2042-5095</t>
  </si>
  <si>
    <t>German Federal Ministry of Education and Research [BMBF 03F0400A]; Australian Antarctic Science Program [2337]</t>
  </si>
  <si>
    <t>German Federal Ministry of Education and Research(Federal Ministry of Education &amp; Research (BMBF)); Australian Antarctic Science Program</t>
  </si>
  <si>
    <t>We are indebted to the crew of RV Aurora Australis for their great support and efforts during capture of krill and to Rob King for his professional support in the aquarium. We are grateful to C. Pape and D. Stubing for help with experiments, Toshihiro Yoshida for support in measuring oxygen uptake rates in krill, S. Spahic for expert support in sample analysis and P. Wencke for the excellent analytical work on the lipid biochemistry. This study was partially funded by the German Federal Ministry of Education and Research as part of the joint project Seasonal population dynamics and physiological condition of the Antarctic krill-E. superba-in the Lazarev Sea'' (BMBF 03F0400A) and supported by Australian Antarctic Science Program Project No. 2337.</t>
  </si>
  <si>
    <t>10.1007/s00300-014-1638-z</t>
  </si>
  <si>
    <t>CI5OI</t>
  </si>
  <si>
    <t>WOS:000354806300002</t>
  </si>
  <si>
    <t>Moles, J; Figuerola, B; Campanyà-Llovet, N; Monleón-Getino, T; Taboada, S; Avila, C</t>
  </si>
  <si>
    <t>Moles, Juan; Figuerola, Blanca; Campanya-Llovet, Neus; Monleon-Getino, Toni; Taboada, Sergi; Avila, Conxita</t>
  </si>
  <si>
    <t>Distribution patterns in Antarctic and Subantarctic echinoderms</t>
  </si>
  <si>
    <t>Asteroidea; Holothuroidea; Ophiuroidea; Bathymetric distribution; Geographic distribution; Southern Ocean</t>
  </si>
  <si>
    <t>SOUTH-SHETLAND ISLANDS; WEDDELL SEA ANTARCTICA; HOLOTHURIANS ECHINODERMATA; BOUVET ISLAND; BENTHIC FAUNA; COMMUNITY STRUCTURE; MEGA-EPIBENTHOS; BRITTLE STARS; BIODIVERSITY; OCEAN</t>
  </si>
  <si>
    <t>Echinoderms are the dominant megafaunal taxa in Antarctic and Subantarctic waters in terms of abundance and diversity, having a predominant role in structuring communities. The current study presents new data on the asteroids, holothuroids, and ophiuroids (three of the five extant classes of echinoderms) collected in seven scientific campaigns (1995-2012) from Bouvet Is., South Shetland Is., and the Eastern Weddell Sea, from a wide bathymetric range (0-1,525 m). Among the 316 echinoderms collected, we extended the bathymetric ranges of 15 species and expanded the geographic distribution of 36 of them. This novel dataset was analyzed together with previous reports in order to establish general patterns of geographic and bathymetric distribution in echinoderms of the Southern Ocean (SO). Nearly 57 % of the assembled-data species resulted endemic of the SO, although further taxonomic efforts in less accessible areas are needed. Interestingly, some islands presented high levels of species richness even comparable to large geographic areas. While generally exhibiting a wide range of eurybathy, there were differences in species composition across depths corresponding to sublittoral, upper and lower bathyal, and abyssal. Bathymetric distribution was analyzed considering biological aspects for each class. As expected, circumpolar trends were found, although hydrographic currents may be the cause of differences in species composition among SO areas. Our analyses suggest zoogeographic links between Antarctica and the adjacent ocean basins, being the Scotia Arc the most remarkable. This study contributes to the knowledge of large-scale diversity and distribution patterns in an Antarctic key group.</t>
  </si>
  <si>
    <t>[Moles, Juan; Figuerola, Blanca; Taboada, Sergi; Avila, Conxita] Univ Barcelona, Dept Anim Biol Invertebrates, Barcelona, Catalonia, Spain; [Moles, Juan; Figuerola, Blanca; Taboada, Sergi; Avila, Conxita] Univ Barcelona, Biodivers Res Inst IrBIO, Barcelona, Catalonia, Spain; [Campanya-Llovet, Neus] Mem Univ Newfoundland, Dept Biol, St John, NF, Canada; [Monleon-Getino, Toni] Univ Barcelona, Dept Stat, Barcelona, Spain</t>
  </si>
  <si>
    <t>University of Barcelona; University of Barcelona; Memorial University Newfoundland; University of Barcelona</t>
  </si>
  <si>
    <t>Moles, J (corresponding author), Univ Barcelona, Dept Anim Biol Invertebrates, Barcelona, Catalonia, Spain.</t>
  </si>
  <si>
    <t>Taboada, Sergi/AAB-9390-2021; Moles, Juan/H-4786-2018; Avila, Conxita/B-9466-2008; Figuerola, Blanca/C-6252-2015; Monleon-Getino, Toni/ABI-1245-2020</t>
  </si>
  <si>
    <t>Taboada, Sergi/0000-0003-1669-1152; Moles, Juan/0000-0003-4511-4055; Avila, Conxita/0000-0002-5489-8376; Figuerola, Blanca/0000-0003-4731-9337; Monleon-Getino, Toni/0000-0001-8214-3205; Campanya-Llovet, Neus/0000-0001-7308-0556</t>
  </si>
  <si>
    <t>Spanish Government [REN2003-00545, REN2002-12006E ANT, CGL2004-03356/ANT, CGL2007-65453, CTM2010-17415/ANT]</t>
  </si>
  <si>
    <t>Spanish Government(Spanish Government)</t>
  </si>
  <si>
    <t>The authors wish to thank Prof M. O'Loughlin (Museum Victoria, Australia) for his help in the identification of holothuroid species. Special thanks are given to M. Ballesteros, J. Cristobo, L. Nunez-Pons, and J. Vazquez for laboratory and field support. Thanks are also due to the Unidad de Tecnologia Marina (CSIC), as well as the Bentart, the BIO-Las Palmas, the BIO-Hesperides, and the Gabriel de Castilla Spanish Antarctic Base crews for providing logistic support during the ECOQUIM-2 cruise. Thanks are due to Prof W. Arntz and the R/V Polarstern crew during the ANT XV/3 and XXI/2 Antarctic cruises. Thanks are also given to I. Afan and D. Aragones (LAST-EBD-CSIC) for helping with map design. We also thank the support and valuable comments of A. Riesgo and J. Gimenez and the helpful comments of three anonymous referees. We thank the editor, Dr. D. Piepenburg, for his patience and support along the revision of this manuscript. Funding was provided by the Spanish Government through the ECOQUIM and ACTIQUIM Projects (REN2003-00545, REN2002-12006E ANT, CGL2004-03356/ANT, CGL2007-65453, and CTM2010-17415/ANT).</t>
  </si>
  <si>
    <t>10.1007/s00300-014-1640-5</t>
  </si>
  <si>
    <t>WOS:000354806300004</t>
  </si>
  <si>
    <t>Chen, LJ; Ma, Y; Liu, P; Wei, JB; Jie, W; He, JJ</t>
  </si>
  <si>
    <t>Chen, Lajiao; Ma, Yan; Liu, Peng; Wei, Jingbo; Jie, Wei; He, Jijun</t>
  </si>
  <si>
    <t>A review of parallel computing for large-scale remote sensing image mosaicking</t>
  </si>
  <si>
    <t>CLUSTER COMPUTING-THE JOURNAL OF NETWORKS SOFTWARE TOOLS AND APPLICATIONS</t>
  </si>
  <si>
    <t>Image mosaicking; Parallel computing; Review</t>
  </si>
  <si>
    <t>ANTARCTIC ICE-SHEET; COVER</t>
  </si>
  <si>
    <t>Interest in image mosaicking has been spurred by a wide variety of research and management needs. However, for large-scale applications, remote sensing image mosaicking usually requires significant computational capabilities. Several studies have attempted to apply parallel computing to improve image mosaicking algorithms and to speed up calculation process. The state of the art of this field has not yet been summarized, which is, however, essential for a better understanding and for further research of image mosaicking parallelism on a large scale. This paper provides a perspective on the current state of image mosaicking parallelization for large scale applications. We firstly introduce the motivation of image mosaicking parallel for large scale application, and analyze the difficulty and problem of parallel image mosaicking at large scale such as scheduling with huge number of dependent tasks, programming with multiple-step procedure, dealing with frequent I/O operation. Then we summarize the existing studies of parallel computing in image mosaicking for large scale applications with respect to problem decomposition and parallel strategy, parallel architecture, task schedule strategy and implementation of image mosaicking parallelization. Finally, the key problems and future potential research directions for image mosaicking are addressed.</t>
  </si>
  <si>
    <t>[Chen, Lajiao; Ma, Yan; Liu, Peng] Chinese Acad Sci, Inst Remote Sensing &amp; Digital Earth, Beijing 10094, Peoples R China; [Wei, Jingbo] Nanchang Univ, Nanchang 330031, Peoples R China; [Jie, Wei] Univ West London, London W5 5RF, England; [He, Jijun] Capital Normal Univ, Base State Lab Urban Environm Proc &amp; Digital Mode, Coll Resource Environm &amp; Tourism, Beijing 100048, Peoples R China</t>
  </si>
  <si>
    <t>Chinese Academy of Sciences; The Institute of Remote Sensing &amp; Digital Earth, CAS; Nanchang University; University of West London; Capital Normal University</t>
  </si>
  <si>
    <t>Liu, P (corresponding author), Chinese Acad Sci, Inst Remote Sensing &amp; Digital Earth, Beijing 10094, Peoples R China.</t>
  </si>
  <si>
    <t>chenlajiao@ceode.ac.cn; pliu@ceode.ac.cn</t>
  </si>
  <si>
    <t>Wang, Lizhe/L-7453-2014; Ma, Yan/AAH-5069-2019</t>
  </si>
  <si>
    <t>Wei, Jingbo/0000-0002-1621-4674; Jie, Wei/0000-0002-5392-0009</t>
  </si>
  <si>
    <t>National Natural Science Foundation [41301028]; State Key Laboratory of Resources and Environmental Information System (LREIS)</t>
  </si>
  <si>
    <t>National Natural Science Foundation(National Natural Science Foundation of China (NSFC)); State Key Laboratory of Resources and Environmental Information System (LREIS)</t>
  </si>
  <si>
    <t>This study is supported by National Natural Science Foundation (41301028), Project of State Key Laboratory of Resources and Environmental Information System (LREIS).</t>
  </si>
  <si>
    <t>1386-7857</t>
  </si>
  <si>
    <t>1573-7543</t>
  </si>
  <si>
    <t>CLUSTER COMPUT</t>
  </si>
  <si>
    <t>Cluster Comput.</t>
  </si>
  <si>
    <t>10.1007/s10586-015-0422-3</t>
  </si>
  <si>
    <t>Computer Science, Information Systems; Computer Science, Theory &amp; Methods</t>
  </si>
  <si>
    <t>Computer Science</t>
  </si>
  <si>
    <t>CI0FP</t>
  </si>
  <si>
    <t>WOS:000354412400003</t>
  </si>
  <si>
    <t>Valdenegro-Vega, VA; Cook, M; Crosbie, P; Bridle, AR; Nowak, BF</t>
  </si>
  <si>
    <t>Valdenegro-Vega, Victoria A.; Cook, Mathew; Crosbie, Philip; Bridle, Andrew R.; Nowak, Barbara F.</t>
  </si>
  <si>
    <t>Vaccination with recombinant protein (r22C03), a putative attachment factor of Neoparamoeba perurans, against AGD in Atlantic salmon (Salmo salar) and implications of a co-infection with Yersinia ruckeri</t>
  </si>
  <si>
    <t>FISH &amp; SHELLFISH IMMUNOLOGY</t>
  </si>
  <si>
    <t>Amoebic gill disease; Vaccine; Salmo solar; r22C03; Co-infection; Yersiniosis</t>
  </si>
  <si>
    <t>AMEBIC-GILL-DISEASE; TROUT ONCORHYNCHUS-MYKISS; MUCOSAL IMMUNE-RESPONSE; RAINBOW-TROUT; SEQUENTIAL PATHOLOGY; CHANNEL CATFISH; L.; IMMUNIZATION; FISH; INFECTION</t>
  </si>
  <si>
    <t>Amoebic gill disease (AGD) affects salmonids during the marine grow-out phase in the Tasmanian industry and in other major salmonid producing countries. During the period post-transfer to seawater, the bacterial condition yersiniosis can also cause high levels of mortality in Atlantic salmon grown in Tasmania, in addition to the hatchery outbreaks. The recombinant protein r22C03, a mannose-binding protein-like (MBP-like) similar to attachment factors of other amoebae, was tested as a vaccine candidate against AGD in a large scale challenge trial. Fish were immunised with r22C03 combined with FCA via intraperitoneal (i.p.) injection, and given a booster five weeks later by either i.p. injection (RP group) or by a dip-immersion (mRP). Fish were then challenged twice with Neoparamoeba perurans: the initial challenge 16 weeks after primary immunisation was terminated due to presence of ulcerative lesions in the skin of salmon; the second challenge was carried out after five weeks of treatment with oxytetracycline. These skin lesions might have been associated with a concurrent infection with Yersinia ruckeri, which was detected by real-time qPCR in serum of a large proportion of moribund and survivor fish after the AGD challenge. Before and during the N. perurans infection, levels of antibodies against r22C03 were measured by ELISA in serum, skin mucus and supernatant from skin and gill explants. For the second challenge, the average size of AGD lesions was recorded from histology sections and survival curves were obtained. Before AGD challenge, r22C03 induced antibody responses in serum and explants with both vaccination strategies. At the end of the challenge, levels of antibodies were lower than before challenge irrespective of treatment. Both vaccinated groups presented increased serum antibody responses, while only mRP presented antibody responses in skin mucus, and no significant antibody responses were measured in the explants. Antibodies did not confer protection to N. perurans infection, as no difference was observed in the survival curves of the vaccinated and control groups, and there was no effect on the gill lesion size. The concurrent yersiniosis infection probably represented more closely infection patterns observed in commercial settings. However, it could have interfered with the survival results and with the ability of the fish to respond to the amoebae infection. (c) 2015 Elsevier Ltd. All rights reserved.</t>
  </si>
  <si>
    <t>[Valdenegro-Vega, Victoria A.; Crosbie, Philip; Bridle, Andrew R.; Nowak, Barbara F.] Univ Tasmania, Inst Marine &amp; Antarctic Sci, Launceston, Tas 7250, Australia; [Cook, Mathew] CSIRO, Agr Flagship, Dutton Pk, Qld 4102, Australia</t>
  </si>
  <si>
    <t>University of Tasmania; Commonwealth Scientific &amp; Industrial Research Organisation (CSIRO)</t>
  </si>
  <si>
    <t>Valdenegro-Vega, VA (corresponding author), Univ Tasmania, Inst Marine &amp; Antarctic Sci, Locked Bag 1370, Launceston, Tas 7250, Australia.</t>
  </si>
  <si>
    <t>vicvaldenegro@gmail.com</t>
  </si>
  <si>
    <t>Bridle, Andrew R/B-4117-2013; Nowak, Barbara/J-7261-2014</t>
  </si>
  <si>
    <t>Valdenegro Vega, Victoria/0000-0003-1708-9593; Nowak, Barbara/0000-0002-0347-643X; Bridle, Andrew/0000-0002-5788-1297; Crosbie, Philip/0000-0001-8856-1731</t>
  </si>
  <si>
    <t>Australian Seafood Cooperative Research Centre (Seafood CRC) [2008/749]</t>
  </si>
  <si>
    <t>Australian Seafood Cooperative Research Centre (Seafood CRC)(Australian GovernmentDepartment of Industry, Innovation and ScienceCooperative Research Centres (CRC) Programme)</t>
  </si>
  <si>
    <t>This project was partially funded by the Australian Seafood Cooperative Research Centre (Seafood CRC), Project no. 2008/749 titled: Using the Mucosal Antibody Response to Recombinant Neoparamoeba perurans Attachment Proteins to Design an Experimental Vaccine for Amoebic Gill Disease. The authors would like to thank Dr. Mark Polinski, for his expert help with molecular techniques and helpful comments on the manuscript; Dr Melanie Leef, Dr Mark Adams, Mr Daniel Pountney, Ms Catarina Norte dos Santos and Ms Ylenia Pennacchi for their help during experimental vaccination and sampling.</t>
  </si>
  <si>
    <t>1050-4648</t>
  </si>
  <si>
    <t>1095-9947</t>
  </si>
  <si>
    <t>FISH SHELLFISH IMMUN</t>
  </si>
  <si>
    <t>Fish Shellfish Immunol.</t>
  </si>
  <si>
    <t>10.1016/j.fsi.2015.03.016</t>
  </si>
  <si>
    <t>Fisheries; Immunology; Marine &amp; Freshwater Biology; Veterinary Sciences</t>
  </si>
  <si>
    <t>CI2NH</t>
  </si>
  <si>
    <t>WOS:000354583800024</t>
  </si>
  <si>
    <t>Zimmermann, C; Jouve, G; Pienitz, R; Francus, P; Maidana, NI</t>
  </si>
  <si>
    <t>Zimmermann, Claudia; Jouve, Guillaume; Pienitz, Reinhard; Francus, Pierre; Maidana, Nora I.</t>
  </si>
  <si>
    <t>Late Glacial and Early Holocene cyclic changes in paleowind conditions and lake levels inferred from diatom assemblage shifts in Laguna Potrok Aike sediments (southern Patagonia, Argentina)</t>
  </si>
  <si>
    <t>Paleolimnology; Diatom analysis; Microsedimentological analysis; Late Glacial-Early Holocene; Southern Hemisphere Westerly Winds (SWW); Paleoclimate</t>
  </si>
  <si>
    <t>ATMOSPHERIC CO2; ENVIRONMENTAL HISTORY; LACUSTRINE RECORD; NORTHERN QUEBEC; CLIMATE CHANGES; ORGANIC-MATTER; SANTA-CRUZ; WESTERLIES; OCEAN; RECONSTRUCTION</t>
  </si>
  <si>
    <t>PASADO is a multidisciplinary Potrok Aike Sediment Archive Drilling prOject, which was conducted from 2008 to 2013, focusing on the sedimentary record of the volcanic crater maar Laguna PotrokAike (52 degrees S, 70 degrees W, 116 m asl) in southern Patagonia, Argentina. It represents one of the few non-glacial and extra-Andean sediment archives studied so far on the continental landmass between subtropical South America and Antarctica that covers the entire Holocene and the Late Glacial. In this study, a high-resolution diatom analysis of the Late Glacial time interval situated between 15.60 and 10.51 ka cal. BP was performed on the PASADO sediment core. This period is of particular interest as it encompasses the Antarctic Cold Reversal (ACR), as well as the Younger Dryas (YD) chronozone. To better refine the variability of environmental and climatic conditions of this Late Glacial time interval, we combined our data with those of a microsedimentological analysis conducted on the same sediments and for the same period to infer changes in lake level and water column stratification. Our study revealed that diatoms are an ideal proxy to complement microsedimentological analyses by providing important independent information on the past limnological dynamics of Laguna Potrok Aike and the paleoclimatic conditions that prevailed during the Late Glacial in the study area and allows a new way of explaining shifts in the position of Southern Hemisphere Westerly Winds (SWW) during the Late Glacial. Peaks of planktonic diatoms, particularly Cyclostephanos patagonicus, correspond to previously detected total organic carbon (TOC), Ca/Si, Ca and Mn peaks and support the hypothesis that relatively high lake levels and weaker SWW have prevailed during the Late Glacial. Moreover, a cyclic pattern, observed both in the biological and geochemical indicators, suggests at least five shifts in the position of the SWW from the beginning of the ACR to the end of the YD. The periodicity of these shifts seems to be related to Antarctic ice-sheet discharge (AID) events in the Scotia Sea that coincide with enhanced iceberg flux from the Antarctic ice-sheet. (C) 2015 Elsevier B.V. All rights reserved.</t>
  </si>
  <si>
    <t>[Zimmermann, Claudia; Pienitz, Reinhard] Univ Laval, CEN, Quebec City, PQ G1V 0A6, Canada; [Jouve, Guillaume; Francus, Pierre] Inst Natl Rech Sci INRS ETE, Ctr Eau Terre Environm, Quebec City, PQ G1K 9A9, Canada; [Maidana, Nora I.] Univ Buenos Aires IBBEA UBA CONICET, DBBE FCEN, Buenos Aires, DF, Argentina</t>
  </si>
  <si>
    <t>Laval University; University of Quebec; Institut national de la recherche scientifique (INRS)</t>
  </si>
  <si>
    <t>Zimmermann, C (corresponding author), Univ Laval, CEN, Pavillon Abitibi Price,Room 1230, Quebec City, PQ G1V 0A6, Canada.</t>
  </si>
  <si>
    <t>Claudia.Zimmermann@cen.ulaval.ca; Guillaume.Jouve@ete.inrs.ca; Reinhard.Pienitz@cen.ulaval.ca; Pierre.Francus@ete.inrs.ca; noramaidana@gmail.com</t>
  </si>
  <si>
    <t>Francus, Pierre/IZD-8849-2023; Francus, Pierre/H-3713-2019</t>
  </si>
  <si>
    <t>Francus, Pierre/0000-0001-5465-1966; Francus, Pierre/0000-0001-5465-1966; Maidana, Nora/0000-0002-1429-4834; Jouve, Guillaume/0000-0003-4648-4445</t>
  </si>
  <si>
    <t>Natural Sciences and Engineering Research Council (NSERC)</t>
  </si>
  <si>
    <t>Natural Sciences and Engineering Research Council (NSERC)(Natural Sciences and Engineering Research Council of Canada (NSERC))</t>
  </si>
  <si>
    <t>We would like to thank S. Bustos Hasta for the laboratory preparations and A.-M. Wagner for the assistance with diatom analyses. We are also grateful to S. St-Jacques and L. Marcoux (Department of Geography, Laval University) for providing the geographic figures. This research was supported by the International Continental Scientific Drilling Program (ICDP) within the framework of the Potrok Aike Maar Lake Sediment Archive Drilling Project (PASADO). Funding for drilling was provided by the ICDP, the German Science Foundation (DFG), the Swiss National Funds (SNF), the Natural Sciences and Engineering Research Council of Canada (NSERC), the Swedish Research Council (VR) and the University of Bremen. We also acknowledge, the Centre for Northern Studies (CEN) and the Institut National de la Recherche Scientifique - Centre Eau, Terre, Environnement (INRS-ETE) for their technical support. This research was partly financed by grants from the Natural Sciences and Engineering Research Council (NSERC) awarded to R. Pienitz (Discovery grant) and to P. Francus (Discovery and Special Research Opportunity grants).</t>
  </si>
  <si>
    <t>10.1016/j.palaeo.2015.03.006</t>
  </si>
  <si>
    <t>CI2PW</t>
  </si>
  <si>
    <t>WOS:000354590500002</t>
  </si>
  <si>
    <t>Wang, YC; Wang, SS; Wang, JF; Xue, CH; Chang, YG; Xue, Y</t>
  </si>
  <si>
    <t>Wang, Yanchao; Wang, Shanshan; Wang, Jingfeng; Xue, Changhu; Chang, Yaoguang; Xue, Yong</t>
  </si>
  <si>
    <t>Preparation and anti-osteoporotic activities in vivo of phosphorylated peptides from Antarctic krill (Euphausia superba)</t>
  </si>
  <si>
    <t>PEPTIDES</t>
  </si>
  <si>
    <t>Antarctic krill; Phosphorylated peptides; Phosphorylation; Anti-osteoporotic activity; Bone</t>
  </si>
  <si>
    <t>CASEIN PHOSPHOPEPTIDES; EGG-WHITE; FUNCTIONAL-PROPERTIES; MAGNETIC-RESONANCE; BONE-RESORPTION; PROTEIN; BISPHOSPHONATES; MINERALIZATION; IMPROVEMENT; CALCIUM</t>
  </si>
  <si>
    <t>Antarctic krill (Euphausia superba) protein serves as a novel sustainable protein source for human. Krill protein isolate was phosphorylated by the dry-heating method with sodium pyrophosphate. Phosphorylated peptides from Antarctic krill (PP-AKP) were obtained from phosphorylated protein through tryptic hydrolysis. Two types of phosphate bonds were introduced by phosphorylation, i.e. P-O and P=O bonds. The anti-osteoporotic activities of PP-AKP at two doses (400 and 800 mg/kg body weight) were investigated with an osteoporotic rat model, which was established with bilateral ovariectomy surgery. Different doses of PP-AKP were given intraperitoneal injections to rats once a day with alendronate as a positive control. Phosphorylated peptides from Antarctic krill dose-dependently preserved bone mineral density in osteoporotic rats by increasing the degree of bone mineralization. Both trabecular and cortical bone strength in osteoporotic rats was significantly improved with PP-AKP treatment. The mechanism by which PP-AKP augmented bone mineral density and bone strength was relation to the reduction in osteoclast-mediated bone remodeling, as was supported by the decrease in bone resorption markers. Phosphorylated peptides from Antarctic krill could be developed as functional food or nutritional supplements. (C) 2014 Elsevier Inc. All rights reserved.</t>
  </si>
  <si>
    <t>[Wang, Yanchao; Wang, Shanshan; Wang, Jingfeng; Xue, Changhu; Chang, Yaoguang; Xue, Yong] Ocean Univ China, Coll Food Sci &amp; Engn, Qingdao 266003, Peoples R China</t>
  </si>
  <si>
    <t>Wang, JF (corresponding author), Ocean Univ China, Coll Food Sci &amp; Engn, Qingdao 266003, Peoples R China.</t>
  </si>
  <si>
    <t>wangyc1219@hotmail.com; xuech@ouc.edu.cn</t>
  </si>
  <si>
    <t>Wang, Shanshan/D-2283-2014; Chang, Yaoguang/E-5875-2014; wang, jing/GRS-7509-2022; wang, dan/JEF-0836-2023</t>
  </si>
  <si>
    <t>National Natural Science Foundation of China [31371876]; Innovation Special Program of Shandong Province [2012CX80201]; National High Technology Research, Development Program of China (863 Program) [2011AA090801]; Program for Changjiang Scholars and Innovative Research Team in University [IRT1188]</t>
  </si>
  <si>
    <t>National Natural Science Foundation of China(National Natural Science Foundation of China (NSFC)); Innovation Special Program of Shandong Province; National High Technology Research, Development Program of China (863 Program)(National High Technology Research and Development Program of China); Program for Changjiang Scholars and Innovative Research Team in University(Program for Changjiang Scholars &amp; Innovative Research Team in University (PCSIRT))</t>
  </si>
  <si>
    <t>National Natural Science Foundation of China (No. 31371876), Innovation Special Program of Shandong Province (No. 2012CX80201), National High Technology Research, Development Program of China (863 Program) (No. 2011AA090801) and Program for Changjiang Scholars and Innovative Research Team in University (No. IRT1188) are acknowledged for financial support of this work.</t>
  </si>
  <si>
    <t>0196-9781</t>
  </si>
  <si>
    <t>1873-5169</t>
  </si>
  <si>
    <t>Peptides</t>
  </si>
  <si>
    <t>10.1016/j.peptides.2014.10.004</t>
  </si>
  <si>
    <t>Biochemistry &amp; Molecular Biology; Endocrinology &amp; Metabolism; Pharmacology &amp; Pharmacy</t>
  </si>
  <si>
    <t>CI2JF</t>
  </si>
  <si>
    <t>WOS:000354572200034</t>
  </si>
  <si>
    <t>Pressures on krill</t>
  </si>
  <si>
    <t>10.1017/S095410201500022X</t>
  </si>
  <si>
    <t>WOS:000356492300001</t>
  </si>
  <si>
    <t>Ilanko, T; Oppenheimer, C; Burgisser, A; Kyle, P</t>
  </si>
  <si>
    <t>Ilanko, Tehnuka; Oppenheimer, Clive; Burgisser, Alain; Kyle, Philip</t>
  </si>
  <si>
    <t>Cyclic degassing of Erebus volcano, Antarctica</t>
  </si>
  <si>
    <t>Erebus volcano; Antarctica; Lava lake; Degassing</t>
  </si>
  <si>
    <t>LAVA LAKES; SYSTEM; EMISSIONS; FLUCTUATIONS; DYNAMICS; BEHAVIOR; SURFACE; MAGMAS</t>
  </si>
  <si>
    <t>Field observations have previously identified rapid cyclic changes in the behaviour of the lava lake of Erebus volcano. In order to understand more fully the nature and origins of these cycles, we present here a wavelet-based frequency analysis of time series measurements of gas emissions from the lava lake, obtained by open-path Fourier transform infrared spectroscopy. This reveals (i) a cyclic change in total gas column amount, a likely proxy for gas flux, with a period of about 10 min, and (ii) a similarly phased cyclic change in proportions of volcanic gases, which can be explained in terms of chemical equilibria and pressure-dependent solubilities. Notably, the wavelet analysis shows a persistent periodicity in the CO2/CO ratio and strong periodicity in H2O and SO2 degassing. The 'peaks' of the cycles, defined by maxima in H2O and SO2 column amounts, coincide with high CO2/CO ratios and proportionally smaller increases in column amounts of CO2, CO, and OCS. We interpret the cycles to arise from recharge of the lake by intermittent pulses of magma from shallow depths, which degas H2O at low pressure, combined with a background gas flux that is decoupled from this very shallow magma degassing.</t>
  </si>
  <si>
    <t>[Ilanko, Tehnuka; Oppenheimer, Clive] Univ Cambridge, Dept Geog, Cambridge CB2 3EN, England; [Burgisser, Alain] CNRS, ISTerre, F-73376 Le Bourget Du Lac, France; [Kyle, Philip] New Mexico Inst Min &amp; Technol, Dept Earth &amp; Environm Sci, Socorro, NM 87801 USA; [Burgisser, Alain] Univ Savoie Mt Blanc, ISTerre, F-73376 Le Bourget Du Lac, France</t>
  </si>
  <si>
    <t>University of Cambridge; Communaute Universite Grenoble Alpes; Universite Grenoble Alpes (UGA); Centre National de la Recherche Scientifique (CNRS); Institut de Recherche pour le Developpement (IRD); Universite Gustave-Eiffel; Universite Savoie Mont Blanc; New Mexico Institute of Mining Technology; Communaute Universite Grenoble Alpes; Universite Grenoble Alpes (UGA); Centre National de la Recherche Scientifique (CNRS); Institut de Recherche pour le Developpement (IRD); Universite Gustave-Eiffel; Universite Savoie Mont Blanc</t>
  </si>
  <si>
    <t>Ilanko, T (corresponding author), Univ Cambridge, Dept Geog, Downing Pl, Cambridge CB2 3EN, England.</t>
  </si>
  <si>
    <t>ti235@cam.ac.uk</t>
  </si>
  <si>
    <t>Ilanko, Tehnuka/AAF-8871-2020; Oppenheimer, Clive/G-9881-2013</t>
  </si>
  <si>
    <t>Ilanko, Tehnuka/0000-0001-6535-1117; Oppenheimer, Clive/0000-0003-4506-7260; Burgisser, Alain/0000-0002-9263-622X</t>
  </si>
  <si>
    <t>National Science Foundation [ANT0838817, ANT1142083]; AXA Research Fund; William Georgetti Trust; NERC Centre for the Observation and Modelling of Earthquakes, Volcanoes and Tectonics; Natural Environment Research Council [come30001] Funding Source: researchfish; NERC [come30001] Funding Source: UKRI; Office of Polar Programs (OPP); Directorate For Geosciences [1142083] Funding Source: National Science Foundation</t>
  </si>
  <si>
    <t>National Science Foundation(National Science Foundation (NSF)); AXA Research Fund(AXA Research Fund); William Georgetti Trust; NERC Centre for the Observation and Modelling of Earthquakes, Volcanoes and Tectonics; Natural Environment Research Council(UK Research &amp; Innovation (UKRI)Natural Environment Research Council (NERC)); NERC(UK Research &amp; Innovation (UKRI)Natural Environment Research Council (NERC)); Office of Polar Programs (OPP); Directorate For Geosciences(National Science Foundation (NSF)NSF - Directorate for Geosciences (GEO))</t>
  </si>
  <si>
    <t>We thank Aslak Grinsted for the MATLAB wavelet coherence package; Mike Burton and Georgina Sawyer for the FTIR retrieval code; Nial Peters for discussions; and the editor, Paul Wallace, and referees (Yuri Taran and anonymous) for incisive comments on the original manuscript. Data were collected with the assistance of the G-081 Erebus team and the US Antarctic Program, supported by the National Science Foundation under grants ANT0838817 and ANT1142083. TI received doctoral grants from the AXA Research Fund and the William Georgetti Trust. CO acknowledges the NERC Centre for the Observation and Modelling of Earthquakes, Volcanoes and Tectonics (http://comet.nerc.ac.uk/) for support.</t>
  </si>
  <si>
    <t>10.1007/s00445-015-0941-z</t>
  </si>
  <si>
    <t>CK0WL</t>
  </si>
  <si>
    <t>WOS:000355926000011</t>
  </si>
  <si>
    <t>González, MH</t>
  </si>
  <si>
    <t>Hebe Gonzalez, Marcela</t>
  </si>
  <si>
    <t>Statistical Seasonal Rainfall Forecast in the Neuquen River Basin (Comahue Region, Argentina)</t>
  </si>
  <si>
    <t>CLIMATE</t>
  </si>
  <si>
    <t>SURFACE TEMPERATURE ANOMALIES; VARIABILITY</t>
  </si>
  <si>
    <t>A detailed statistical analysis was performed at the Neuquen river basin using precipitation data for 1980-2007. The hydrological year begins in March with a maximum in June associated with rainfall and another relative maximum in October derived from snow-break. General features of the rainy season and the excess or deficits thereof are analyzed using standardized precipitation index (SPI) for a six-month period in the basin. The SPI has a significant cycle of 14.3 years; the most severe excess (SPI greater than 2) has a return period of 25 years, while the most severe droughts (SPI less than -2) have a return period of 10 years. The SPI corresponding to the rainy season (April-September) (SPI9) has no significant trend and is used to classify wet/dry years. In order to establish the previous circulation patterns associated with interannual SPI9 variability, the composite fields of wet and dry years are compared. There is a tendency for wet (dry) periods to take place during El Nino (La Nina) years, when there are positive anomalies of precipitable water over the basin, when the zonal flow over the Pacific Ocean is weakened (intensified) and/or when there are negative pressure anomalies in the southern part of the country and Antarctic sea. Some prediction schemes using multiple linear regressions were performed. One of the models derived using the forward stepwise method explained 42% of the SPI9 variance and retained two predictors related to circulation over the Pacific Ocean: one of them shows the relevance of the intensity of zonal flow in mid-latitudes, and the other is because of the influence of low pressure near the Neuquen River basin. The cross-validation used to prove model efficiency showed a correlation of 0.41 between observed and estimated SPI9; there was a probability of detection of wet (dry) years of 80% (65%) and a false alarm relation of 25% in both cases.</t>
  </si>
  <si>
    <t>[Hebe Gonzalez, Marcela] UMI IF AECI CNRS, CONICET UBA, Res Ctr Sea &amp; Atmosphere CIMA, C1428EGA, Buenos Aires, DF, Argentina; [Hebe Gonzalez, Marcela] Univ Buenos Aires, FCEN, Dept Atmospher Sci, Buenos Aires, DF, Argentina</t>
  </si>
  <si>
    <t>Consejo Nacional de Investigaciones Cientificas y Tecnicas (CONICET); University of Buenos Aires; University of Buenos Aires</t>
  </si>
  <si>
    <t>González, MH (corresponding author), UMI IF AECI CNRS, CONICET UBA, Res Ctr Sea &amp; Atmosphere CIMA, C1428EGA, Buenos Aires, DF, Argentina.</t>
  </si>
  <si>
    <t>gonzalez@cima.fcen.uba.ar</t>
  </si>
  <si>
    <t>[UBACyT 2013-2016 20620120100003BA]; [UBACyT 2014-20017 20020130100133BA]</t>
  </si>
  <si>
    <t>;</t>
  </si>
  <si>
    <t>Rainfall data were provided by the National Meteorological Service, the Secretary of Hydrology of Argentina and the territory Authority of the Limay, Neuquen and Negro river basins. Images from Figures 6-8a,b were provided by the NOAA/ESRL Physical Sciences Division, Boulder, Colorado, from their web site: http://www.cdc.noaa.gov. This work was funded by the projects UBACyT 2013-2016 20620120100003BA and UBACyT 2014-20017 20020130100133BA.</t>
  </si>
  <si>
    <t>2225-1154</t>
  </si>
  <si>
    <t>Climate</t>
  </si>
  <si>
    <t>10.3390/cli3020349</t>
  </si>
  <si>
    <t>CN5XX</t>
  </si>
  <si>
    <t>WOS:000358508200005</t>
  </si>
  <si>
    <t>Vukasinovic, EL; Pond, DW; Worland, MR; Kojic, D; Purac, J; Popovic, ZD; Grubor-Lajsic, G</t>
  </si>
  <si>
    <t>Vukasinovic, Elvira L.; Pond, David W.; Worland, M. Roger; Kojic, Danijela; Purac, Jelena; Popovic, Zeljko D.; Grubor-Lajsic, Gordana</t>
  </si>
  <si>
    <t>Diapause induces remodeling of the fatty acid composition of membrane and storage lipids in overwintering larvae of Ostrinia nubilalis, Hubn. (Lepidoptera: Crambidae)</t>
  </si>
  <si>
    <t>COMPARATIVE BIOCHEMISTRY AND PHYSIOLOGY B-BIOCHEMISTRY &amp; MOLECULAR BIOLOGY</t>
  </si>
  <si>
    <t>Diapause; Fatty acid composition; Triacylglycerols; Phospholipids; Melt transition temperatures</t>
  </si>
  <si>
    <t>EUROPEAN CORN-BORER; COLD-HARDINESS; SEASONAL-CHANGES; ACCLIMATION TEMPERATURE; HOMEOVISCOUS ADAPTATION; ANTIOXIDANT DEFENSE; QUALITATIVE CHANGES; FLESH FLY; TRIACYLGLYCEROLS; PHOSPHOLIPIDS</t>
  </si>
  <si>
    <t>Seasonal changes in the FA composition of triacylglycerols and phospholipids prepared from the whole bodies of non-diapausing and diapausing fifth instar larvae of Ostrinia nubilalis, Hubn. (Lepidoptera: Crambidae) were determined to evaluate the role of these lipids in diapause. Substantial changes in the FA composition of triacylglycerols and phospholipids were triggered by diapause development This led to a significant increase in the overall FA unsaturation (UFAs/SFAs ratio), attributable to an increase in the relative proportion of MUFAs and the concomitant decrease in PUFAs and SFAs. In triacylglycerols, the significant changes in the FAs composition are the result of an increase in the relative proportions of MUFAs, palmitoleic acid (16:1n-7) and oleic acid (18:1n-9), and a concomitant reduction in the composition of SFAs and PUFAs, mainly palmitic acid (16:0) and linoleic acid (18:2n-6), respectively. Changes in the composition of phospholipids were more subtle with FAs contributing to the overall increase of FA unsaturation. Differential scanning calorimety (DSC) analysis revealed that the melt transition temperatures of total lipids prepared from whole larvae, primarily attributable to the triacylglycerol component, were significantly lower during the time course of diapause compared with non-diapause. These observations were correlated to the FA composition of triacylglycerols, most likely enabling them to remain functional during colder winter conditions. We conclude that O. nubilalis undergoes remodeling of FA profiles of both energy storage triacylglycerols and membrane phospholipids as an element of its overwintering physiology which may improve the ability to cold harden during diapause. (C) 2015 Elsevier Inc All rights reserved.</t>
  </si>
  <si>
    <t>[Vukasinovic, Elvira L.; Kojic, Danijela; Purac, Jelena; Popovic, Zeljko D.; Grubor-Lajsic, Gordana] Univ Novi Sad, Fac Sci, Dept Biol &amp; Ecol, Novi Sad 21000, Serbia; [Pond, David W.] Scottish Assoc Marine Sci, Oban PA37 1QA, Argyll, Scotland; [Worland, M. Roger] British Antarctic Survey, Cambridge CB3 0ET, England</t>
  </si>
  <si>
    <t>University of Novi Sad; UHI Millennium Institute; UK Research &amp; Innovation (UKRI); Natural Environment Research Council (NERC); NERC British Antarctic Survey</t>
  </si>
  <si>
    <t>Vukasinovic, EL (corresponding author), Univ Novi Sad, Fac Sci, Dept Biol &amp; Ecol, Trg Dositeja Obradovica 2, Novi Sad 21000, Serbia.</t>
  </si>
  <si>
    <t>elvira.vukasinovic@dbe.uns.ac.rs</t>
  </si>
  <si>
    <t>Kojić, Danijela/AGJ-5146-2022; Popović, Željko/F-8257-2010</t>
  </si>
  <si>
    <t>Kojić, Danijela/0000-0002-6422-9790; Popović, Željko/0000-0003-2961-8093; Purac, Jelena/0000-0003-0028-9847</t>
  </si>
  <si>
    <t>Ministry of Education, Science and Technological Development of the Republic of Serbia [173014]; NERC [bas0100035] Funding Source: UKRI; Natural Environment Research Council [bas0100035] Funding Source: researchfish</t>
  </si>
  <si>
    <t>Ministry of Education, Science and Technological Development of the Republic of Serbia; NERC(UK Research &amp; Innovation (UKRI)Natural Environment Research Council (NERC)); Natural Environment Research Council(UK Research &amp; Innovation (UKRI)Natural Environment Research Council (NERC))</t>
  </si>
  <si>
    <t>This work was funded by the Ministry of Education, Science and Technological Development of the Republic of Serbia, grant no. 173014, project entitled Molecular Mechanisms of Redox Signaling in Homeostasis, Adaptation and Pathology. This publication is a contribution to the ECOSYSTEMS Programme of the British Antarctic Survey, UK.</t>
  </si>
  <si>
    <t>1096-4959</t>
  </si>
  <si>
    <t>1879-1107</t>
  </si>
  <si>
    <t>COMP BIOCHEM PHYS B</t>
  </si>
  <si>
    <t>Comp. Biochem. Physiol. B-Biochem. Mol. Biol.</t>
  </si>
  <si>
    <t>10.1016/j.cbpb.2015.02.003</t>
  </si>
  <si>
    <t>Biochemistry &amp; Molecular Biology; Zoology</t>
  </si>
  <si>
    <t>CH0WQ</t>
  </si>
  <si>
    <t>WOS:000353743500005</t>
  </si>
  <si>
    <t>Oren, A</t>
  </si>
  <si>
    <t>Oren, Aharon</t>
  </si>
  <si>
    <t>Halophilic microbial communities and their environments</t>
  </si>
  <si>
    <t>CURRENT OPINION IN BIOTECHNOLOGY</t>
  </si>
  <si>
    <t>GREAT-SALT-LAKE; HYPERSALINE ENVIRONMENTS; DEAD-SEA; METAGENOMIC APPROACH; ANTARCTIC LAKE; RIBOSOMAL-RNA; RED-SEA; DIVERSITY; BACTERIAL; BRINE</t>
  </si>
  <si>
    <t>Use of culture-independent studies have greatly increased our understanding of the microbiology of hypersaline lakes (the Dead Sea, Great Salt Lake) and saltern ponds in recent years. Exciting new information has become available on the microbial processes in Antarctic lakes and in deep-sea brines. These studies led to the recognition of many new lineages of microorganisms not yet available for study in culture, and their cultivation in the laboratory is now a major challenge. Studies of the metabolic potentials of different halophilic microorganisms, Archaea as well as Bacteria, shed light on the possibilities and the limitations of life at high salt concentrations, and also show their potential for applications in bioremediation.</t>
  </si>
  <si>
    <t>Hebrew Univ Jerusalem, Alexander Silberman Inst Life Sci, Dept Plant &amp; Environm Sci, IL-91904 Jerusalem, Israel</t>
  </si>
  <si>
    <t>Hebrew University of Jerusalem</t>
  </si>
  <si>
    <t>Oren, A (corresponding author), Hebrew Univ Jerusalem, Alexander Silberman Inst Life Sci, Dept Plant &amp; Environm Sci, Edmond J Safra Campus, IL-91904 Jerusalem, Israel.</t>
  </si>
  <si>
    <t>aharon.oren@mail.huji.ac.il</t>
  </si>
  <si>
    <t>Oren, Aharon/JOZ-0901-2023</t>
  </si>
  <si>
    <t>Oren, Aharon/0000-0002-5828-0995</t>
  </si>
  <si>
    <t>Israel Science Foundation [1103/10, 343/13]</t>
  </si>
  <si>
    <t>Israel Science Foundation(Israel Science Foundation)</t>
  </si>
  <si>
    <t>This study was supported by Grants no. 1103/10 and 343/13 from the Israel Science Foundation.</t>
  </si>
  <si>
    <t>0958-1669</t>
  </si>
  <si>
    <t>1879-0429</t>
  </si>
  <si>
    <t>CURR OPIN BIOTECH</t>
  </si>
  <si>
    <t>Curr. Opin. Biotechnol.</t>
  </si>
  <si>
    <t>10.1016/j.copbio.2015.02.005</t>
  </si>
  <si>
    <t>Biochemical Research Methods; Biotechnology &amp; Applied Microbiology</t>
  </si>
  <si>
    <t>CL7GE</t>
  </si>
  <si>
    <t>WOS:000357139700018</t>
  </si>
  <si>
    <t>Bostock, HC; Tracey, DM; Currie, KI; Dunbar, GB; Handler, MR; Fletcher, SEM; Smith, AM; Williams, MJM</t>
  </si>
  <si>
    <t>Bostock, Helen C.; Tracey, Dianne M.; Currie, Kim I.; Dunbar, Gavin B.; Handler, Monica R.; Fletcher, Sara E. Mikaloff; Smith, Abigail M.; Williams, Michael J. M.</t>
  </si>
  <si>
    <t>The carbonate mineralogy and distribution of habitat-forming deep-sea corals in the southwest pacific region</t>
  </si>
  <si>
    <t>Scleractinian; Alcyonacean; Habitat-forming deep-sea coral; South Pacific; Aragonite; High Mg calcite</t>
  </si>
  <si>
    <t>OCEAN ACIDIFICATION; LOPHELIA-PERTUSA; MADREPORA-OCULATA; GROWTH-RATES; WATER CORALS; INTERMEDIATE; SATURATION; CALCITE; CALCIFICATION; 21ST-CENTURY</t>
  </si>
  <si>
    <t>Habitat-forming deep-sea scleractinian and alcyonacean corals from around the southwest Pacific were analysed for their calcium carbonate mineralogy. Scleractinian coral species Solenosmilia variabilis, Enallopsammia rostrata, Goniocorella dumosa, Madrepora oculata and Oculina virgosa were all found to be 100% aragonitic, while some members of the alcyonacean taxa Keratoisis spp., Lepidisis spp., and Paragorgia spp. were determined to be high magnesium (Mg) calcite (with 8-11 mol% MgCO3) and Primnoa sp. is bimineralic with both aragonite and Mg calcite. The majority of these habitat-forming deep-sea corals are found at intermediate depths (800-1200 m) in the Antarctic Intermediate Waters (AAIW) with low salinities (similar to 34.5), temperatures of 4-8 degrees C and high oxygen concentrations ( &gt; 180 mu mol/kg) and currently sitting above the aragonite saturation horizon (ASH). However, habitat-forming corals have been recorded from greater depths, in cooler waters (2-4 degrees C) that are under-saturated with respect to aragonite (Omega(aragonite) &lt; 1), but with oxygen levels still &gt; 160 mu mol/kg. To address the sampling depth bias the coral records were normalised by the number of benthic stations (sampling effort) in the same depth range. This shows that the highest number of corals per sampling effort is between 1000 and 1400 m with corals present in over 5% of the stations at these depths. The normalised records and Boot Strap analyses suggests that scleractinian corals, especially S. variabilis should be present in &gt; 1% of stations down to 1800 m water depth, with E. rostrata, M. oculata and G. dumosa slightly shallower. While alcyonacean corals are found in &gt; 1% down to 2600 m, with Keratoisis spp. the deepest down to 2600 m, while Lepidisis spp. and Paragorgia spp. found down to 1800 m. This suggests that most species can probably tolerate some undersaturation of aragonite (Omega(aragonite)=0.8-0.9), with several species/genera (S. variabilis; Keratoisis spp.) even more tolerant of lower carbonate concentrations ([CO32-]), down to Omega(aragonite) of 0.7. With this tolerance for some carbonate undersaturation it is unclear how deep sea habitat-forming corals might respond to future ocean acidification. It is likely that some species/genera will cope better than others. However, future changes in oxygen concentrations and food availability, are also going to have a strong influence on the depth and spatial distribution of deep-sea corals in the southwest Pacific. (C) 2015 Elsevier Ltd. All rights reserved.</t>
  </si>
  <si>
    <t>[Bostock, Helen C.; Tracey, Dianne M.; Fletcher, Sara E. Mikaloff; Williams, Michael J. M.] Natl Inst Water &amp; Atmospher Res, Wellington, New Zealand; [Currie, Kim I.] Univ Otago, Natl Inst Water &amp; Atmospher Res, Ctr Chem &amp; Phys Oceanog, Dunedin, New Zealand; [Dunbar, Gavin B.] Victoria Univ, Antarctic Res Ctr, Wellington, New Zealand; [Handler, Monica R.] Victoria Univ, Sch Geog Earth &amp; Environm Sci, Wellington, New Zealand; [Smith, Abigail M.] Univ Otago, Dept Marine Sci, Dunedin, New Zealand</t>
  </si>
  <si>
    <t>National Institute of Water &amp; Atmospheric Research (NIWA) - New Zealand; University of Otago; National Institute of Water &amp; Atmospheric Research (NIWA) - New Zealand; Victoria University Wellington; Victoria University Wellington; University of Otago</t>
  </si>
  <si>
    <t>Bostock, HC (corresponding author), Natl Inst Water &amp; Atmospher Res, Wellington, New Zealand.</t>
  </si>
  <si>
    <t>Handler`, Monica R/E-9460-2011; Bostock, Helen/A-6834-2013; /AAL-3738-2021; Smith, Abigail M/F-7714-2011</t>
  </si>
  <si>
    <t>Bostock, Helen/0000-0002-8903-8958; Mikaloff Fletcher, Sara/0000-0003-0741-0320; Handler, Monica/0000-0001-7095-0835</t>
  </si>
  <si>
    <t>New Zealand Ministry of Primary Industries Biodiversity Research Advisory Group (BRAG) [ZBD201041]</t>
  </si>
  <si>
    <t>New Zealand Ministry of Primary Industries Biodiversity Research Advisory Group (BRAG)</t>
  </si>
  <si>
    <t>The authors would like to thank the New Zealand Ministry of Primary Industries Biodiversity Research Advisory Group (BRAG) contract ZBD201041, and core funding for the National Institute of Water and Atmosphere. We would like to thank all of those voyages that have collected deep-sea corals and the National Invertebrate Collection for providing coral samples. We are also grateful to the WOCE voyages that analysed carbonate parameters in the SW Pacific and the RV Tangaroa voyage leaders that collected opportunistic water samples for alkalinity and DIC analyses around New Zealand over the last few years. We acknowledge the help of Joel Baker, Amy Plant and Sabrina Lange for preparing and analysing the coral samples on the ICPMS at Victoria University, Wellington, while Marc Riedi conducted the XRD work at the University of Otago.</t>
  </si>
  <si>
    <t>10.1016/j.dsr.2015.02.008</t>
  </si>
  <si>
    <t>CI2PG</t>
  </si>
  <si>
    <t>WOS:000354588900009</t>
  </si>
  <si>
    <t>Voelker, AHL; Colman, A; Olack, G; Waniek, JJ; Hodell, D</t>
  </si>
  <si>
    <t>Voelker, Antje H. L.; Colman, Albert; Olack, Gerard; Waniek, Joanna J.; Hodell, David</t>
  </si>
  <si>
    <t>Oxygen and hydrogen isotope signatures of Northeast Atlantic water masses</t>
  </si>
  <si>
    <t>Oxygen isotopes; Hydrogen isotopes; NE Atlantic; Mediterranean Outflow Water; GEOTRACES</t>
  </si>
  <si>
    <t>ANTARCTIC INTERMEDIATE WATER; BOUNDARY CURRENT SYSTEM; MODEL VERSION 1.0; MEDITERRANEAN OUTFLOW; PLANKTONIC-FORAMINIFERA; CANARY-ISLANDS; OCEAN SALINITIES; EASTERN BOUNDARY; DEUTERIUM EXCESS; IBERIAN BASIN</t>
  </si>
  <si>
    <t>Only a few studies have examined the variation of oxygen and hydrogen isotopes of seawater in NE Atlantic water masses, and data are especially sparse for intermediate and deep-water masses. The current study greatly expands this record with 527 delta O-18 values from 47 stations located throughout the mid- to low-latitude NE Atlantic. In addition, 60 was analyzed in the 192 samples collected along the GEOTRACES North Atlantic Transect GA03 (GA03_e=KN199-4) and the 115 Iberia-Forams cruise samples from the western and southern Iberian margin. An intercomparison study between the two stable isotope measurement techniques (cavity ring-down laser spectroscopy and magnetic-sector isotope ratio mass spectrometry) used to analyze GA03_e samples reveals relatively good agreement for both hydrogen and oxygen isotope ratios. The surface (0-100 m) and central (100-500 m) water isotope data show the typical, evaporation related trend of increasing values equatorward with the exception for the zonal transect off Cape Blanc, NVV Africa. Off Cape Blanc, surface water isotope signatures are modified by the upwelling of fresher Antarctic Intermediate Water (AAIW) that generally has isotopic values of 0.0 to 0.5%o for delta O-18 and 0 to 2%0 for delta D. Along the Iberian margin the Mediterranean Outflow Water (MOW) is clearly distinguished by its high 6180 (0.5-1.1%o) and delta D (3-6%0) values that can be traced into the open Atlantic. Isotopic values in the NE Atlantic Deep Water (NEADW) are relatively low (8180: 0.1 to 0.5%0; delta D: 1 to 4%0) and show a broader range than observed previously in the northern and southern convection areas. The NEADW is best observed at GA03_e Stations 5 and 7 in the central NE Atlantic basin. Antarctic Bottom Water isotope values are relatively high indicating modification of the original Antarctic source water along the flow path. The reconstructed delta O-18-salinity relationship for the complete data set has a slope of 0.51, i.e., slightly steeper than the 0.46 described previously by Pierre et al. (1994, J. Mar. Syst 5 (2), 159-170.) for the tropical to subtropical Northeast Atlantic. This slope decreases to 0.46 for the subtropical North Atlantic Central Water (NACW) and the MOW and to 032 for the surface waters of the upper 50 m. The delta D-salinity mixing lines have estimated slopes of 3.01 for the complete data, 1.26 for the MOW, 3.47 for the NACW, and 2.63 for the surface waters. The slopes of the 6180-8D relationship are significantly lower than the one for the Global Meteoric Water Line with 5.6 for the complete data set, 2.30 for the MOW, 4.79 for the NACW, and 3.99 for the surface waters. The lower slopes in all the relationships clearly reflect the impact of the evaporation surplus in the subtropics. (C) 2015 Elsevier Ltd. All rights reserved.</t>
  </si>
  <si>
    <t>[Voelker, Antje H. L.] Inst Portugues Mar &amp; Atmosfera, Div Geol &amp; Georecursos Marinhos, P-1449006 Lisbon, Portugal; [Voelker, Antje H. L.] CIMAR Associated Lab, P-4050123 Oporto, Portugal; [Colman, Albert; Olack, Gerard] Univ Chicago, Dept Geophys Sci, Chicago, IL 60637 USA; [Waniek, Joanna J.] Leibniz Inst Ostseeforsch Warnemunde, D-18119 Rostock, Germany; [Hodell, David] Univ Cambridge, Dept Earth Sci, Godwin Lab Palaeoclimate Res, Cambridge CB2 3EQ, England</t>
  </si>
  <si>
    <t>Instituto Portugues do Mar e da Atmosfera; University of Chicago; Leibniz Institut fur Ostseeforschung Warnemunde; University of Cambridge</t>
  </si>
  <si>
    <t>Voelker, AHL (corresponding author), Inst Portugues Mar &amp; Atmosfera, Div Geol &amp; Georecursos Marinhos, Ave Brasilia 6, P-1449006 Lisbon, Portugal.</t>
  </si>
  <si>
    <t>antje.voelker@ipma.pt</t>
  </si>
  <si>
    <t>Waniek, Joanna J/B-2331-2012; Voelker, Antje/C-5427-2012</t>
  </si>
  <si>
    <t>Voelker, Antje/0000-0001-6465-6023; Waniek, Joanna J./0000-0003-3724-073X; Hodell, David/0000-0001-8537-1588</t>
  </si>
  <si>
    <t>U.S. National Science Foundation [OCE-0926423, OCE-0926204, OCE-0926092, OCE 0827122]; European Union [228344-EUROFLEETS]; Deutsche Forschungsgemeinschaft [WA2157/1-1, WA2157/2-1, WA2157/3-1, WA2157/4-1, WA2157/5-1]; GEOTRACES [PEst-C/MAR/LA0015/2011]; Iberia-Forams; NERC [NE/J00653X/1] Funding Source: UKRI; Natural Environment Research Council [NE/J00653X/1] Funding Source: researchfish; Division Of Ocean Sciences; Directorate For Geosciences [0827122] Funding Source: National Science Foundation</t>
  </si>
  <si>
    <t>U.S. National Science Foundation(National Science Foundation (NSF)); European Union(European Union (EU)); Deutsche Forschungsgemeinschaft(German Research Foundation (DFG)); GEOTRACES; Iberia-Forams;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</si>
  <si>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Funding for KN199-4 ship time, sampling operations, and hydrographic data was provided by the U.S. National Science Foundation to the US GEOTRACES North Atlantic Transect Management team of W. Jenkins (OCE-0926423), E. Boyle (OCE-0926204), and G. Cutter (OCE-0926092). We thank E. Gorman and the complete KN199-4 science party for sample collecting. A.C. acknowledges support through U.S. National Science Foundation Award no. OCE 0827122. Funding of the Iberia-Forams cruise was provided by the European Union Seventh Framework Programme (FP7/2007-2013) under grant agreement no. 228344-EUROFLEETS to A.V. J. Waniek received funding from the Deutsche Forschungsgemeinschaft through grants WA2157/1-1 to WA2157/5-1 for the PO cruises. A.V. thanks Chris Gallienne and Malcolm Woodward from the Plymouth Marine Laboratory (UK) for collecting the AMT-18 samples. A. Rebotim, CN Prabhu and the Iberia-Forams team are acknowledged for sample collecting during the respective cruises. Stable isotope analyses in Cambridge were funded by grant PEst-C/MAR/LA0015/2011 (GEOTRACES) and funds provided by the late E. Willweber (Iberia-Forams). Measurements in Kiel were made possible by the Marine Geology Department of LNEG through PIDDAC funds. A.S.C. received funding through U.S. National Science Foundation Award no. OCE 0827122. D.H. acknowledges NERC for technical support of the Godwin Laboratory. Thanks go to Mike Hall, Ian Mather and James Rolfe in Cambridge and Nils Andersen and team in Kiel for the stable isotope measurements.</t>
  </si>
  <si>
    <t>10.1016/j.dsr2.2014.11.006</t>
  </si>
  <si>
    <t>WOS:000356116700008</t>
  </si>
  <si>
    <t>Buck, KN; Sohst, B; Sedwick, PN</t>
  </si>
  <si>
    <t>Buck, Kristen N.; Sohst, Bettina; Sedwick, Peter N.</t>
  </si>
  <si>
    <t>The organic complexation of dissolved iron along the US GEOTRACES (GA03) North Atlantic Section</t>
  </si>
  <si>
    <t>Iron; Ligands; Voltammetry; Chemical speciation; North Atlantic Ocean</t>
  </si>
  <si>
    <t>CATHODIC STRIPPING VOLTAMMETRY; PERFORMANCE LIQUID-CHROMATOGRAPHY; SUB-ANTARCTIC WATERS; FE-BINDING LIGANDS; CHEMICAL SPECIATION; COMPLEXING LIGANDS; NATURAL-WATERS; FLOW-INJECTION; PHYSICOCHEMICAL SPECIATION; HYDROXAMATE SIDEROPHORES</t>
  </si>
  <si>
    <t>The organic complexation of dissolved iron was determined from full water column depth profile samples collected on the U.S. GEOTRACES North Atlantic Section cruises in 2010 and 2011 (GEOTRACES GA03). The concentrations of iron-binding ligands and their conditional stability constants were determined using competitive ligand exchange-adsorptive cathodic stripping voltammetry (CLE-ACSV) with salicylaldoxime as the added competitive ligand. Across the basin, iron-binding ligands were found in excess of dissolved iron concentrations in all samples except those with the highest dissolved iron in the Trans-Atlantic Geotraverse (TAG) hydrothermal vent plume, where dissolved iron concentrations exceeded ligand concentrations. Ligand results were categorized based on conditional stability constants into three ligand classes (L-1: log K-FeL1,Fe(cond) &gt; 12, L-2: log K-FeL2(cond) = 11-12; L-3: log The stronger L1-type ligand class tracked closely with dissolved iron, with the strongest ligands (i.e., highest log K-Fe1,Fe(cond)) found in the vicinity of the Trans-Atlantic Geotraverse (TAG) hydrothermal vent plume. All three ligand classes, including the stronger Li-type ligands, were observed through the water column. These measurements indicate that iron-binding ligands are indeed a ubiquitous feature of iron speciation in the North Atlantic. (C) 2015 Elsevier Ltd. All rights reserved.</t>
  </si>
  <si>
    <t>[Buck, Kristen N.] Bermuda Inst Ocean Sci, St Georges, Bermuda; [Sohst, Bettina; Sedwick, Peter N.] Old Dominion Univ, Dept Ocean Earth &amp; Atmospher Sci, Norfolk, VA 23529 USA</t>
  </si>
  <si>
    <t>Bermuda Institute of Ocean Sciences; Old Dominion University</t>
  </si>
  <si>
    <t>Buck, KN (corresponding author), Univ S Florida, Coll Marine Sci, 140 7th Ave S, St Petersburg, FL 33701 USA.</t>
  </si>
  <si>
    <t>kristenbuck@usf.edu</t>
  </si>
  <si>
    <t>Buck, Kristen/O-3988-2014</t>
  </si>
  <si>
    <t>Buck, Kristen/0000-0002-3871-870X; Sedwick, Peter/0000-0003-0663-8323</t>
  </si>
  <si>
    <t>National Science Foundation [OCE-0927453, OCE-0927285]; Directorate For Geosciences; Division Of Ocean Sciences [0927285] Funding Source: National Science Foundation</t>
  </si>
  <si>
    <t>National Science Foundation(National Science Foundation (NSF)); Directorate For Geosciences; Division Of Ocean Sciences(National Science Foundation (NSF)NSF - Directorate for Geosciences (GEO))</t>
  </si>
  <si>
    <t>We thank chief scientists Bill Jenkins, Ed Boyle, and Greg Cutter, Captains Adam Seamans and Kent Sheasley and the crew of the R/V Knorr for the USGT2010 (KN199-4) and USGT2011 (KN204) cruises. In particular, we thank Pete Morton, Jessica Fitzsimmons, Ana Aguilar-Islas, Rachel Shelley and Randie Bundy for their service as the U.S. GEOTRACES clean rosette sampling team for these cruise legs. We thank Eric Hochberg for his invaluable assistance in writing a custom Matlab program for interpreting the CLE-ACSV titration data. We sincerely thank three anonymous reviewers whose insightful comments have improved the manuscript. This work was funded by National Science Foundation grants OCE-0927453 (KNB) and OCE-0927285 (PNS, BS). This manuscript constitutes contribution number 2044 for the Bermuda Institute of Ocean Sciences.</t>
  </si>
  <si>
    <t>10.1016/j.dsr2.2014.11.016</t>
  </si>
  <si>
    <t>WOS:000356116700012</t>
  </si>
  <si>
    <t>Khazendar, A; Borstad, CP; Scheuchl, B; Rignot, E; Seroussi, H</t>
  </si>
  <si>
    <t>Khazendar, Ala; Borstad, Christopher P.; Scheuchl, Bernd; Rignot, Eric; Seroussi, Helene</t>
  </si>
  <si>
    <t>The evolving instability of the remnant Larsen B Ice Shelf and its tributary glaciers</t>
  </si>
  <si>
    <t>Antarctica; Larsen Ice Shelf; ice-shelf instability; laser altimetry; InSAR ice flow speeds; numerical ice modeling</t>
  </si>
  <si>
    <t>PINE ISLAND GLACIER; ANTARCTIC PENINSULA; ELEVATION CHANGES; THICKNESS; FLOW; DISINTEGRATION; SHEET; ASSIMILATION; RHEOLOGY; PATTERN</t>
  </si>
  <si>
    <t>Following the 2002 disintegration of the northern and central parts of the Larsen B Ice Shelf, the tributary glaciers of the southern surviving part initially appeared relatively unchanged and hence assumed to be buttressed sufficiently by the remnant ice shelf. Here, we modify this perception with observations from IceBridge altimetry and InSAR-inferred ice flow speeds. Our analyses show that the surfaces of Leppard and Flask glaciers directly upstream from their grounding lines lowered by 15 to 20 m in the period 2002-2011. The thinning appears to be dynamic as the flow of both glaciers and the remnant ice shelf accelerated in the same period. Flask Glacier started accelerating even before the 2002 disintegration, increasing its flow speed by similar to 55% between 1997 and 2012. Starbuck Glacier meanwhile did not change much. We hypothesize that the different evolutions of the three glaciers are related to their dissimilar bed topographies and degrees of grounding. We apply numerical modeling and data assimilation that show these changes to be accompanied by a reduction in the buttressing afforded by the remnant ice shelf, a weakening of the shear zones between its flow units and an increase in its fracture. The fast flowing northwestern part of the remnant ice shelf exhibits increasing fragmentation, while the stagnant southeastern part seems to be prone to the formation of large rifts, some of which we show have delimited successive calving events. A large rift only 12 km downstream from the grounding line is currently traversing the stagnant part of the ice shelf, defining the likely front of the next large calving event. We propose that the flow acceleration, ice front retreat and enhanced fracture of the remnant Larsen B Ice Shelf presage its approaching demise. (C) 2015 Elsevier B.V. All rights reserved.</t>
  </si>
  <si>
    <t>[Khazendar, Ala; Borstad, Christopher P.; Rignot, Eric; Seroussi, Helene] CALTECH, Jet Prop Lab, 4800 Oak Grove Dr, Pasadena, CA 91109 USA; [Scheuchl, Bernd; Rignot, Eric] Univ Calif Irvine, Earth Syst Sci, Irvine, CA 92697 USA</t>
  </si>
  <si>
    <t>California Institute of Technology; National Aeronautics &amp; Space Administration (NASA); NASA Jet Propulsion Laboratory (JPL); University of California System; University of California Irvine</t>
  </si>
  <si>
    <t>Khazendar, A (corresponding author), CALTECH, Jet Prop Lab, 4800 Oak Grove Dr, Pasadena, CA 91109 USA.</t>
  </si>
  <si>
    <t>ala@jpl.nasa.gov</t>
  </si>
  <si>
    <t>Seroussi, Helene/AAX-5342-2021; Rignot, Eric/A-4560-2014</t>
  </si>
  <si>
    <t>Seroussi, Helene/0000-0001-9201-1644; Rignot, Eric/0000-0002-3366-0481; Borstad, Christopher/0000-0001-6992-1770</t>
  </si>
  <si>
    <t>NASA's Cryospheric Sciences Program; NASA's MEaSuREs Program; NASA's Modeling, Analysis and Prediction Program; National Aeronautics and Space Administration</t>
  </si>
  <si>
    <t>NASA's Cryospheric Sciences Program(National Aeronautics &amp; Space Administration (NASA)); NASA's MEaSuREs Program; NASA's Modeling, Analysis and Prediction Program(National Aeronautics &amp; Space Administration (NASA)); National Aeronautics and Space Administration(National Aeronautics &amp; Space Administration (NASA))</t>
  </si>
  <si>
    <t>This work was supported by NASA's Cryospheric Sciences Program (A.K., C.B. and H.S.), NASA's MEaSuREs Program (B.S. and E.R.) and NASA's Modeling, Analysis and Prediction Program (C.B.). Spaceborne SAR data collection post 2005 was coordinated by the Space Task Group and its successor, the Polar Space Task Group. The authors are grateful to L. Padman for providing the ocean tide model. The authors much appreciate the highly constructive and helpful comments made by three anonymous reviewers.r This work was performed at the Jet Propulsion Laboratory, California Institute of Technology, under contract with the National Aeronautics and Space Administration.</t>
  </si>
  <si>
    <t>10.1016/j.epsl.2015.03.014</t>
  </si>
  <si>
    <t>CH2JW</t>
  </si>
  <si>
    <t>WOS:000353852500019</t>
  </si>
  <si>
    <t>Beier, S; Gálvez, MJ; Molina, V; Sarthou, G; Quéroué, F; Blain, S; Obernosterer, I</t>
  </si>
  <si>
    <t>Beier, Sara; Galvez, Maria J.; Molina, Veronica; Sarthou, Geraldine; Queroue, Fabien; Blain, Stephane; Obernosterer, Ingrid</t>
  </si>
  <si>
    <t>The transcriptional regulation of the glyoxylate cycle in SAR11 in response to iron fertilization in the Southern Ocean</t>
  </si>
  <si>
    <t>ENVIRONMENTAL MICROBIOLOGY REPORTS</t>
  </si>
  <si>
    <t>HETEROTROPHIC BACTERIA; PHYTOPLANKTON BLOOM; GROWTH; BACTERIOPLANKTON; PROTEORHODOPSIN; METABOLISM; LIMITATION; GENOME; SEA</t>
  </si>
  <si>
    <t>The tricarboxylic acid (TCA) cycle is a central metabolic pathway that is present in all aerobic organisms and initiates the respiration of organic material. The glyoxylate cycle is a variation of the TCA cycle, where organic material is recycled for subsequent assimilation into cell material instead of being released as carbon dioxide. Despite the importance for the fate of organic matter, the environmental factors that induce the glyoxylate cycle in microbial communities remain poorly understood. In this study, we assessed the expression of isocitrate lyase, the enzyme that induces the switch to the glyoxylate cycle, of the ubiquitous SAR11 clade in response to natural iron fertilization in the Southern Ocean. The cell-specific transcriptional regulation of the glyoxylate cycle, as determined by the ratio between copy numbers of isocitrate lyase gene transcripts and isocitrate genes, was consistently lower in iron fertilized than in high-nutrient, low chlorophyll waters (by 2.4- to 16.5-fold). SAR11 cell-specific isocitrate lyase gene transcription was negatively correlated to chlorophyll a, and bulk bacterial heterotrophic metabolism. We conclude that the glyoxylate cycle is a metabolic strategy for SAR11 that is highly sensitive to the degree of iron and carbon limitation in the marine environment.</t>
  </si>
  <si>
    <t>[Beier, Sara; Galvez, Maria J.; Blain, Stephane; Obernosterer, Ingrid] Univ Paris 06, Sorbonne Univ, CNRS, Lab Oceanog Microbienne LOMIC,Observ Oceanol, F-66650 Banyuls Sur Mer, France; [Galvez, Maria J.] Univ Concepcion, Dept Oceanog, Grad Program Oceanog, Concepcion, Chile; [Molina, Veronica] Univ Playa Ancha, Fac Ciencias Nat &amp; Exactas, Dept Biol, Valparaiso, Chile; [Sarthou, Geraldine; Queroue, Fabien] LEMAR UMR CNRS UBO IRD 6539, F-29280 Plouzane, France; [Queroue, Fabien] Univ Tasmania, Inst Marine &amp; Antarctic Studies, Hobart, Tas 7001, Australia; [Queroue, Fabien] Univ Tasmania, Antarctic Climate &amp; Ecosyst Cooperat Res Ctr, Hobart, Tas 7001, Australia</t>
  </si>
  <si>
    <t>Sorbonne Universite; Centre National de la Recherche Scientifique (CNRS); Universidad de Concepcion; Universidad de Playa Ancha; Centre National de la Recherche Scientifique (CNRS); Ifremer; Institut de Recherche pour le Developpement (IRD); Universite de Bretagne Occidentale; Institut Universitaire Europeen de la Mer (IUEM); University of Tasmania; University of Tasmania; Antarctic Climate &amp; Ecosystems Cooperative Research Centre (ACE CRC)</t>
  </si>
  <si>
    <t>Beier, S (corresponding author), Leibniz Inst Balt Sea Res, Seestr 15, D-18119 Rostock, Germany.</t>
  </si>
  <si>
    <t>sara.beier@io-warnemuende.de</t>
  </si>
  <si>
    <t>Beier, Sara/AAA-2506-2020; Obernosterer, Ingrid/A-5434-2011; Beier, Sara/K-7267-2012; blain, stephane/F-6917-2010</t>
  </si>
  <si>
    <t>Beier, Sara/0000-0003-3707-4487; Obernosterer, Ingrid/0000-0002-2530-8111; Beier, Sara/0000-0003-3707-4487; Sarthou, Geraldine/0000-0001-6560-6669; blain, stephane/0000-0002-5234-2446; Molina, Veronica/0000-0001-9090-1344</t>
  </si>
  <si>
    <t>LIA MORFUN; ECOS-SUD project PROMO [C12U01]; CONICYT-PCHA/Magister [Nacional/2014-221320590]; CNRS-INSU-LEFE-CYBER; IPEV; [ANR-10-BLAN-0614]</t>
  </si>
  <si>
    <t>LIA MORFUN; ECOS-SUD project PROMO; CONICYT-PCHA/Magister; CNRS-INSU-LEFE-CYBER; IPEV;</t>
  </si>
  <si>
    <t>We thank the captain and the crew of the RV Marion Dufresne and the chief scientist B. Queguiner for their support during the KEOPS2 cruise. The help of M. Landa in the collection of seawater for nucleic acid analyses is greatly appreciated. J. Caparros excellently performed DOC analyses. The colour products for the Kerguelen area were produced by Ssalto/Duacs and CLS with support from Cnes. Three anonymous reviewers greatly improved a previous version of the manuscript. We thank Y. Park, M. Zhou and F. d'Ovidio for providing Fig. 2. M.J. Galvez was supported by the LIA MORFUN, the ECOS-SUD project PROMO (C12U01) and CONICYT-PCHA/Magister Nacional/2014-221320590. The KEOPS2 project received financial support from the CNRS-INSU-LEFE-CYBER, the ANR-10-BLAN-0614 and the IPEV.</t>
  </si>
  <si>
    <t>1758-2229</t>
  </si>
  <si>
    <t>ENV MICROBIOL REP</t>
  </si>
  <si>
    <t>Environ. Microbiol. Rep.</t>
  </si>
  <si>
    <t>10.1111/1758-2229.12267</t>
  </si>
  <si>
    <t>Environmental Sciences; Microbiology</t>
  </si>
  <si>
    <t>CH9RY</t>
  </si>
  <si>
    <t>WOS:000354375100007</t>
  </si>
  <si>
    <t>Liu, Y; Chai, XL; Hao, YX; Gao, XF; Lu, ZB; Zhao, YC; Zhang, J; Cai, MH</t>
  </si>
  <si>
    <t>Liu, Yang; Chai, Xiaoli; Hao, Yongxia; Gao, Xiaofeng; Lu, Zhibo; Zhao, Youcai; Zhang, Jie; Cai, Minghong</t>
  </si>
  <si>
    <t>Total mercury and methylmercury distributions in surface sediments from Kongsfjorden, Svalbard, Norwegian Arctic</t>
  </si>
  <si>
    <t>Total mercury; Methylmercury; Surface sediments; Kongsfjorden; Methylation</t>
  </si>
  <si>
    <t>MARINE ECOSYSTEM; HUDSON-BAY; ENVIRONMENT; SPRINGTIME; SPECIATION</t>
  </si>
  <si>
    <t>The total mercury (THg) and methylmercury (MeHg) distributions in the surface sediments of Kongsfjorden, Svalbard, in the Norwegian Arctic were investigated in this study. The results showed that THg concentrations ranged from 9.11 to 86.73 ng g(-1), whereas MeHg concentrations had an average of only 0.11 ng g(-1). Factors that control the distribution and methylated transformation of mercury were examined, and the results suggested that the movements of ocean currents and glaciers affect the THg distribution. The total organic carbon (TOC) and N contents in the sediments were positively correlated with THg concentration, which indicated that the THg distribution at these stations was primarily controlled by organic matter in the sediments. A complex relationship was observed between the THg and S contents, possibly due to anthropogenic activities involved in the perennial scientific expedition. MeHg and THg exhibited similar correlations with the sediment chemical characteristics for all stations suggesting that MeHg may be produced locally through the microbial methylation of mercury.</t>
  </si>
  <si>
    <t>[Liu, Yang; Chai, Xiaoli; Hao, Yongxia; Gao, Xiaofeng; Lu, Zhibo; Zhao, Youcai] Tongji Univ, State Key Lab Pollut Control &amp; Resource Reuse, Shanghai 200092, Peoples R China; [Zhang, Jie; Cai, Minghong] Polar Res Inst China, SOA Key Lab Polar Sci, Shanghai 200136, Peoples R China</t>
  </si>
  <si>
    <t>Tongji University; Polar Research Institute of China</t>
  </si>
  <si>
    <t>Chai, XL (corresponding author), Tongji Univ, State Key Lab Pollut Control &amp; Resource Reuse, Shanghai 200092, Peoples R China.</t>
  </si>
  <si>
    <t>xlchai@tongji.edu.cn</t>
  </si>
  <si>
    <t>ZHIBO, LU/HHS-4083-2022; Chen, Liang/JXX-7887-2024</t>
  </si>
  <si>
    <t>National Natural Science Foundation of China [41376189, 51278357, 41406213]; Science Foundation of Shanghai Municipal Government [12ZR1434800]; State Key Laboratory of Pollution Control and Resource Reuse Foundation (Tongji University) [PCRRY11016]</t>
  </si>
  <si>
    <t>National Natural Science Foundation of China(National Natural Science Foundation of China (NSFC)); Science Foundation of Shanghai Municipal Government; State Key Laboratory of Pollution Control and Resource Reuse Foundation (Tongji University)</t>
  </si>
  <si>
    <t>We wish to express our sincere gratitude to the Chinese Arctic and Antarctic Administration, State Oceanic Administration of China for the field logistic support. Samples used in this study are provided by the Sediment Samples of Polar Sample Platform of the National Natural Resources. This research was supported by the National Natural Science Foundation of China (nos. 41376189, 51278357, 41406213), Science Foundation of Shanghai Municipal Government (no. 12ZR1434800), State Key Laboratory of Pollution Control and Resource Reuse Foundation (Tongji University) (no. PCRRY11016).</t>
  </si>
  <si>
    <t>10.1007/s11356-014-3942-0</t>
  </si>
  <si>
    <t>CI7QX</t>
  </si>
  <si>
    <t>WOS:000354960300059</t>
  </si>
  <si>
    <t>Young, EF; Belchier, M; Hauser, L; Horsburgh, GJ; Meredith, MP; Murphy, EJ; Pascoal, S; Rock, J; Tysklind, N; Carvalho, GR</t>
  </si>
  <si>
    <t>Young, Emma F.; Belchier, Mark; Hauser, Lorenz; Horsburgh, Gavin J.; Meredith, Michael P.; Murphy, Eugene J.; Pascoal, Sonia; Rock, Jennifer; Tysklind, Niklas; Carvalho, Gary R.</t>
  </si>
  <si>
    <t>Oceanography and life history predict contrasting genetic population structure in two Antarctic fish species</t>
  </si>
  <si>
    <t>EVOLUTIONARY APPLICATIONS</t>
  </si>
  <si>
    <t>Champsocephalus gunnari; connectivity; Individual-based Modelling; Notothenia rossii; ocean circulation; planktonic dispersal; population genetics; Scotia Sea</t>
  </si>
  <si>
    <t>PELAGIC LARVAL DURATION; MACKEREL ICEFISH; SOUTH GEORGIA; CHAMPSOCEPHALUS-GUNNARI; SEASCAPE GENETICS; NOTOTHENIA-ROSSII; CIRCUMPOLAR CURRENT; MARINE FISH; R-PACKAGE; OCEAN</t>
  </si>
  <si>
    <t>Understanding the key drivers of population connectivity in the marine environment is essential for the effective management of natural resources. Although several different approaches to evaluating connectivity have been used, they are rarely integrated quantitatively. Here, we use a seascape genetics' approach, by combining oceanographic modelling and microsatellite analyses, to understand the dominant influences on the population genetic structure of two Antarctic fishes with contrasting life histories, Champsocephalus gunnari and Notothenia rossii. The close accord between the model projections and empirical genetic structure demonstrated that passive dispersal during the planktonic early life stages is the dominant influence on patterns and extent of genetic structuring in both species. The shorter planktonic phase of C.gunnari restricts direct transport of larvae between distant populations, leading to stronger regional differentiation. By contrast, geographic distance did not affect differentiation in N.rossii, whose longer larval period promotes long-distance dispersal. Interannual variability in oceanographic flows strongly influenced the projected genetic structure, suggesting that shifts in circulation patterns due to climate change are likely to impact future genetic connectivity and opportunities for local adaptation, resilience and recovery from perturbations. Further development of realistic climate models is required to fully assess such potential impacts.</t>
  </si>
  <si>
    <t>[Young, Emma F.; Belchier, Mark; Meredith, Michael P.; Murphy, Eugene J.] British Antarctic Survey, Cambridge CB3 0ET, England; [Hauser, Lorenz] Univ Washington, Sch Aquat &amp; Fishery Sci, Seattle, WA 98195 USA; [Horsburgh, Gavin J.; Rock, Jennifer] Univ Sheffield, Dept Anim &amp; Plant Sci, NERC Biomol Anal Facil, Sheffield S10 2TN, S Yorkshire, England; [Pascoal, Sonia; Rock, Jennifer; Tysklind, Niklas; Carvalho, Gary R.] Bangor Univ, Sch Biol Sci, Bangor, Gwynedd, Wales</t>
  </si>
  <si>
    <t>UK Research &amp; Innovation (UKRI); Natural Environment Research Council (NERC); NERC British Antarctic Survey; University of Washington; University of Washington Seattle; UK Research &amp; Innovation (UKRI); Natural Environment Research Council (NERC); University of Sheffield; Bangor University</t>
  </si>
  <si>
    <t>Young, EF (corresponding author), British Antarctic Survey, Madingley Rd, Cambridge CB3 0ET, England.</t>
  </si>
  <si>
    <t>eyoung@bas.ac.uk</t>
  </si>
  <si>
    <t>Hauser, Lorenz/E-4365-2010; Tysklind, Niklas/A-5275-2017; murphy, eugene/GZL-1620-2022</t>
  </si>
  <si>
    <t>Tysklind, Niklas/0000-0002-6617-7875; Rock, Jenny/0000-0001-7250-6463; Young, Emma/0000-0002-7069-6109; Meredith, Michael/0000-0002-7342-7756</t>
  </si>
  <si>
    <t>Natural Environment Research Council (NERC; UK) [AFI06/16, NE/H023038/1, NE/H023704/1]; NERC [bas0100033, NE/H023704/1, NBAF010001, NE/H023038/1] Funding Source: UKRI; Natural Environment Research Council [NE/C506464/1, bas0100033, NE/H023704/1, NE/H023038/1, NBAF010001] Funding Source: researchfish</t>
  </si>
  <si>
    <t>Natural Environment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</si>
  <si>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Natural Environment Research Council (NERC; UK) grants AFI06/16, NE/H023038/1 and NE/H023704/1. The microsatellite sequences were isolated at the NERC Biomolecular Analysis Facility at Sheffield. We thank Deborah Dawson for assistance during the microsatellite marker development and Jonathan Kool for his advice on implementing the genetics projection model. Simulated currents from NEMO were provided by the National Oceanography Centre, Southampton. We thank two anonymous reviewers, whose comments helped us improve the original manuscript.</t>
  </si>
  <si>
    <t>1752-4571</t>
  </si>
  <si>
    <t>EVOL APPL</t>
  </si>
  <si>
    <t>Evol. Appl.</t>
  </si>
  <si>
    <t>10.1111/eva.12259</t>
  </si>
  <si>
    <t>Evolutionary Biology</t>
  </si>
  <si>
    <t>CI0EE</t>
  </si>
  <si>
    <t>WOS:000354408200008</t>
  </si>
  <si>
    <t>Younger, JL; Clucas, GV; Kooyman, G; Wienecke, B; Rogers, AD; Trathan, PN; Hart, T; Miller, KJ</t>
  </si>
  <si>
    <t>Younger, Jane L.; Clucas, Gemma V.; Kooyman, Gerald; Wienecke, Barbara; Rogers, Alex D.; Trathan, Philip N.; Hart, Tom; Miller, Karen J.</t>
  </si>
  <si>
    <t>Too much of a good thing: sea ice extent may have forced emperor penguins into refugia during the last glacial maximum</t>
  </si>
  <si>
    <t>GLOBAL CHANGE BIOLOGY</t>
  </si>
  <si>
    <t>Antarctica; Aptenodytes forsteri; climate change ecology; molecular ecology; paleoecology; phylogeography; polynya; Ross Sea</t>
  </si>
  <si>
    <t>CLIMATE-CHANGE; NUCLEOTIDE SUBSTITUTIONS; APTENODYTES-FORSTERI; MITOCHONDRIAL-DNA; EAST ANTARCTICA; SOUTHERN-OCEAN; ADELIE LAND; ANCIENT DNA; ROSS SEA; DYNAMICS</t>
  </si>
  <si>
    <t>The relationship between population structure and demographic history is critical to understanding microevolution and for predicting the resilience of species to environmental change. Using mitochondrial DNA from extant colonies and radiocarbon-dated subfossils, we present the first microevolutionary analysis of emperor penguins (Aptenodytes forsteri) and show their population trends throughout the last glacial maximum (LGM, 19.5-16 kya) and during the subsequent period of warming and sea ice retreat. We found evidence for three mitochondrial clades within emperor penguins, suggesting that they were isolated within three glacial refugia during the LGM. One of these clades has remained largely isolated within the Ross Sea, while the two other clades have intermixed around the coast of Antarctica from Adelie Land to the Weddell Sea. The differentiation of the Ross Sea population has been preserved despite rapid population growth and opportunities for migration. Low effective population sizes during the LGM, followed by a rapid expansion around the beginning of the Holocene, suggest that an optimum set of sea ice conditions exist for emperor penguins, corresponding to available foraging area.</t>
  </si>
  <si>
    <t>[Younger, Jane L.] Univ Tasmania, Inst Marine &amp; Antarctic Studies, Hobart, Tas 7001, Australia; [Younger, Jane L.] Macquarie Univ, Australian Sch Adv Med, Sydney, NSW 2109, Australia; [Clucas, Gemma V.] Univ Southampton Waterfront Campus, Ocean &amp; Earth Sci, Southampton SO14 3ZH, Hants, England; [Clucas, Gemma V.; Rogers, Alex D.; Hart, Tom] Univ Oxford, Dept Zool, Oxford OX1 3PS, England; [Kooyman, Gerald] Univ Calif San Diego, Scripps Inst Oceanog, San Diego, CA 92103 USA; [Wienecke, Barbara] Australian Antarctic Div, Kingston, Tas 7050, Australia; [Trathan, Philip N.] British Antarctic Survey, Cambridge CB3 0ET, England; [Miller, Karen J.] UWA Oceans Inst, Australian Inst Marine Sci, Crawley, WA 6009, Australia; [Miller, Karen J.] Univ Tasmania, Sch Biol Sci, Hobart, Tas 7001, Australia</t>
  </si>
  <si>
    <t>University of Tasmania; Macquarie University; University of Southampton; University of Oxford; University of California System; University of California San Diego; Scripps Institution of Oceanography; Australian Antarctic Division; UK Research &amp; Innovation (UKRI); Natural Environment Research Council (NERC); NERC British Antarctic Survey; Australian Institute of Marine Science; University of Western Australia; University of Tasmania</t>
  </si>
  <si>
    <t>Younger, JL (corresponding author), Univ Tasmania, Inst Marine &amp; Antarctic Studies, Private Bag 129, Hobart, Tas 7001, Australia.</t>
  </si>
  <si>
    <t>Jane.Younger@utas.edu.au; gemma.clucas@noc.soton.ac.uk</t>
  </si>
  <si>
    <t>Clucas, Gemma/ABF-9073-2021; Miller, Karen/A-7902-2011; Miller, Karen/V-4098-2019</t>
  </si>
  <si>
    <t>Younger, Jane/0000-0001-5974-7350; Clucas, Gemma/0000-0002-4305-1719</t>
  </si>
  <si>
    <t>Australian Antarctic Science Project [4184]; ANZ Trustees Holsworth Wildlife Research Endowment; NERC; Penguin Lifelines; British Antarctic Survey Ecosystems Programme; Darwin Initiative; NERC [bas0100025] Funding Source: UKRI; Natural Environment Research Council [1272500, bas0100025] Funding Source: researchfish</t>
  </si>
  <si>
    <t>Australian Antarctic Science Project; ANZ Trustees Holsworth Wildlife Research Endowment; NERC(UK Research &amp; Innovation (UKRI)Natural Environment Research Council (NERC)); Penguin Lifelines; British Antarctic Survey Ecosystems Programme; Darwin Initiative; NERC(UK Research &amp; Innovation (UKRI)Natural Environment Research Council (NERC)); Natural Environment Research Council(UK Research &amp; Innovation (UKRI)Natural Environment Research Council (NERC))</t>
  </si>
  <si>
    <t>We gratefully acknowledge the assistance of Dick Filby, Adventure Network International and Hannah McKeand in sample collection and logistics at Gould Bay, Francoise Amelineau for samples from Pointe Geologie, James Bumac for sample collection at Fold Island, British Antarctic Survey staff at Halley Bay, Roger Kirkwood for sample collection at Auster, and Paul Ponganis and the NSF for facilitating feather collection in the Ross Sea (NSF 09-44220). We thank John van den Hoff for his insights regarding Antarctic refugia, Gareth Dyke for commenting on earlier drafts of the manuscript, and Samuel Jaccard for advice regarding LGM primary productivity estimates. We are also grateful to Simon Foote for providing key infrastructure and to Patrick Lelliott for his assistance in the laboratory. This project was funded by Australian Antarctic Science Project 4184 (KM, BW, JY), ANZ Trustees Holsworth Wildlife Research Endowment (JY), NERC and Penguin Lifelines (GVC), British Antarctic Survey Ecosystems Programme (PNT) and the Darwin Initiative (TH).</t>
  </si>
  <si>
    <t>1354-1013</t>
  </si>
  <si>
    <t>1365-2486</t>
  </si>
  <si>
    <t>GLOBAL CHANGE BIOL</t>
  </si>
  <si>
    <t>Glob. Change Biol.</t>
  </si>
  <si>
    <t>10.1111/gcb.12882</t>
  </si>
  <si>
    <t>Biodiversity Conservation; Ecology; Environmental Sciences</t>
  </si>
  <si>
    <t>CH4BZ</t>
  </si>
  <si>
    <t>WOS:000353977500010</t>
  </si>
  <si>
    <t>Slater, BJ; McLoughlin, S; Hilton, J</t>
  </si>
  <si>
    <t>Slater, Ben J.; McLoughlin, Stephen; Hilton, Jason</t>
  </si>
  <si>
    <t>A high-latitude Gondwanan lagerstatte: The Permian permineralised peat biota of the Prince Charles Mountains, Antarctica</t>
  </si>
  <si>
    <t>Insect-plant interaction; Palaeoecology; Glossopteris; Coal; Fungal-plant interaction</t>
  </si>
  <si>
    <t>CENTRAL TRANSANTARCTIC MOUNTAINS; BAINMEDART COAL MEASURES; DEVONIAN RHYNIE CHERT; PANGEAN BREAK-UP; MASS EXTINCTION; FOSSIL RECORD; GLOSSOPTERIS FLORA; TRIGONOTARBID ARACHNID; ARTHROPOD INTERACTIONS; REVISED STRATIGRAPHY</t>
  </si>
  <si>
    <t>The Toploje Member chert is a Roadian to Wordian autochthonous-parautochthonous silicified peat preserved within the Lambert Graben, East Antarctica. It preserves a remarkable sample of terrestrial life from high-latitude central Gondwana prior to the Capitanian mass extinction event from both mega- and microfossil evidence that includes cryptic components rarely seen in other fossil assemblages. The peat layer is dominated by glossopterid and cordaitalean gymnosperms and contains moderately common herbaceous lycophytes, together with a broad array of dispersed organs of ferns and other gymnosperms. Rare arthropod-plant and fungal-plant interactions are preserved in detail, together with a plethora of fungal morphotypes, Peronosporomycetes, arthropod remains and a diverse coprolite assemblage. Comparisons to other Palaeozoic ecosystems show that the macroflora is of low diversity. The fungal and invertebrate-plant associations demonstrate that a multitude of ecological interactions were well developed by the Middle Permian in high-latitude forest mires that contributed to the dominant coal deposits of the Southern Hemisphere. Quantitative analysis of the constituents of the silicified peat and of macerals within adjacent coal seams reveals that whilst silicified peats provide an unparalleled sample of the organisms forming Permian coals, they do not necessarily reflect the volumetric proportions of constituents within the derived coal. The Toploje Member chert Lagerstatte provides a snapshot of a rapidly entombed mire climax ecosystem in the closing stages of the Palaeozoic, but prior to the onset of the protracted crisis that engulfed and overthrew these ecosystems at the close of the Permian. (C) 2014 The Authors. Published by Elsevier B.V. on behalf of International Association for Gondwana Research. This is an open access article under the CC BY license</t>
  </si>
  <si>
    <t>[Slater, Ben J.; Hilton, Jason] Univ Birmingham, Sch Geog Earth &amp; Environm Sci, Birmingham, W Midlands, England; [McLoughlin, Stephen] Swedish Museum Nat Hist, Dept Paleobiol, S-10405 Stockholm, Sweden</t>
  </si>
  <si>
    <t>University of Birmingham; Swedish Museum of Natural History</t>
  </si>
  <si>
    <t>Slater, BJ (corresponding author), Univ Birmingham, Sch Geog Earth &amp; Environm Sci, Birmingham, W Midlands, England.</t>
  </si>
  <si>
    <t>bxs574@bham.ac.uk</t>
  </si>
  <si>
    <t>Hilton, Jason/JCE-0756-2023; Hilton, Jason/F-5830-2012</t>
  </si>
  <si>
    <t>Hilton, Jason/0000-0003-0286-8236; Hilton, Jason/0000-0003-0286-8236; Slater, Ben/0000-0002-5774-9114</t>
  </si>
  <si>
    <t>Natural Environment Research Council, U.K. [NE/H5250381/1]; Synthesys programme of the EU [SE-TAF-4827]; Australian Antarctic Division via Antarctic Science Advisory Council [509]; Swedish Research Council (VR); Australian Research Council</t>
  </si>
  <si>
    <t>Natural Environment Research Council, U.K.(UK Research &amp; Innovation (UKRI)Natural Environment Research Council (NERC)); Synthesys programme of the EU; Australian Antarctic Division via Antarctic Science Advisory Council; Swedish Research Council (VR)(Swedish Research Council); Australian Research Council(Australian Research Council)</t>
  </si>
  <si>
    <t>This investigation forms part of the PhD study by BJS. This research was supported by the Natural Environment Research Council, U.K. (NE/H5250381/1 to BJS) and the Synthesys programme of the EU to support research on museum collections (SE-TAF-4827 to BJS). The Australian Antarctic Division provided financial and logistical support for collecting the specimens via Antarctic Science Advisory Council Project 509; Profs. D. Cantrill and A. Drinnan helped collect material in the field on two Antarctic expeditions. Thanks to Pollyanna von Knorring for the landscape illustration in Fig. 10. SM acknowledges funding support from a Swedish Research Council (VR) grant and an Australian Research Council Linkage grant. The late Alan Cook of Keiraville Konsultants Pty Ltd is acknowledged for petrographic analysis of coal samples from the Bainmedart Coal Measures.</t>
  </si>
  <si>
    <t>10.1016/j.gr.2014.01.004</t>
  </si>
  <si>
    <t>CI8LW</t>
  </si>
  <si>
    <t>WOS:000355024800009</t>
  </si>
  <si>
    <t>Cornils, A; Wend-Heckmann, B</t>
  </si>
  <si>
    <t>Cornils, Astrid; Wend-Heckmann, Britta</t>
  </si>
  <si>
    <t>First report of the planktonic copepod Oithona davisae in the northern Wadden Sea (North Sea): Evidence for recent invasion?</t>
  </si>
  <si>
    <t>Oithona davisae; Non-indigenous species; Copepoda; North Sea; Wadden Sea</t>
  </si>
  <si>
    <t>PSEUDODIAPTOMUS-MARINUS; SOUTHERN BIGHT; BLACK-SEA; ZOOPLANKTON; ESTUARY; FERRARI; RECORD; COASTS; ORSI</t>
  </si>
  <si>
    <t>In October 2010, specimens of Oithona were taken from the List Tidal Basin in the northern Wadden Sea (North Sea) for a biogeographic study on Oithona similis. These specimens could not be assigned to O. similis or any of the other Oithona species known from the North Sea genetically. These specimens were identified as Oithona davisae Ferrari and Orsi 1984, a Northwest Pacific species, known as an invasive species from the Black Sea and the northwestern Mediterranean Sea. Recent sampling provided evidence that O. davisae is still present in the northern Wadden Sea and may thus now be a permanent plankton species.</t>
  </si>
  <si>
    <t>[Cornils, Astrid; Wend-Heckmann, Britta] Helmholtz Zentrum Polar &amp; Meeresforsch, Alfred Wegener Inst, D-27570 Bremerhaven, Germany</t>
  </si>
  <si>
    <t>Cornils, A (corresponding author), Helmholtz Zentrum Polar &amp; Meeresforsch, Alfred Wegener Inst, D-27570 Bremerhaven, Germany.</t>
  </si>
  <si>
    <t>astrid.cornils@awi.de</t>
  </si>
  <si>
    <t>Cornils, Astrid/P-2943-2014</t>
  </si>
  <si>
    <t>Cornils, Astrid/0000-0003-4536-9015</t>
  </si>
  <si>
    <t>Deutsche Forschungsgemeinschaft (DFG) [CO706/2-1]</t>
  </si>
  <si>
    <t>The authors would like to acknowledge the help of Andrea Eschbach and Christoph Held. Harald und Ragnhild Asmus kindly provided access to samples from the time series stored at the Wattenmeerstation Sylt. We are also grateful to Shuhei Nishida who kindly confirmed the identification of O. davisae. A.C. was supported by the Deutsche Forschungsgemeinschaft (DFG) in the framework of the priority programme Antarctic Research with comparative investigations in Arctic ice areas (CO706/2-1).</t>
  </si>
  <si>
    <t>10.1007/s10152-015-0426-7</t>
  </si>
  <si>
    <t>WOS:000354241700011</t>
  </si>
  <si>
    <t>Peck, ED; Randall, CE; Harvey, VL; Marsh, DR</t>
  </si>
  <si>
    <t>Peck, E. D.; Randall, C. E.; Harvey, V. L.; Marsh, D. R.</t>
  </si>
  <si>
    <t>Simulated solar cycle effects on the middle atmosphere: WACCM3 Versus WACCM4</t>
  </si>
  <si>
    <t>HALOGEN OCCULTATION EXPERIMENT; NITRIC-OXIDE; NOX ENHANCEMENTS; OZONE; VARIABILITY; MODEL; TEMPERATURE; MESOSPHERE; CHEMISTRY; STRATOSPHERE</t>
  </si>
  <si>
    <t>The Whole Atmosphere Community Climate Model version 4 (WACCM4) is used to quantify solar cycle impacts, including both irradiance and particle precipitation, on the middle atmosphere. Results are compared to previous work using WACCM version 3 (WACCM3) to estimate the sensitivity of simulated solar cycle effects to model modifications. The residual circulation in WACCM4 is stronger than in WACCM3, leading to larger solar cycle effects from energetic particle precipitation; this impacts polar stratospheric odd nitrogen and ozone, as well as polar mesospheric temperatures. The cold pole problem, which is present in both versions, is exacerbated in WACCM4, leading to more ozone loss in the Antarctic stratosphere. Relative to WACCM3, a westerly shift in the WACCM4 zonal winds in the tropical stratosphere and mesosphere, and a strengthening and poleward shift of the Antarctic polar night jet, are attributed to inclusion of the QBO and changes in the gravity wave parameterization in WACCM4. Solar cycle effects in WACCM3 and WACCM4 are qualitatively similar. However, the EPP-induced increase from solar minimum to solar maximum in polar stratospheric NOy is about twice as large in WACCM4 as in WACCM3; correspondingly, maximum increases in polar O-3 loss from solar min to solar max are more than twice as large in WACCM4. This does not cause large differences in the WACCM3 versus WACCM4 solar cycle responses in temperature and wind. Overall, these results provide a framework for future studies using WACCM to analyze the impacts of the solar cycle on the middle atmosphere.</t>
  </si>
  <si>
    <t>[Peck, E. D.; Randall, C. E.; Harvey, V. L.] Univ Colorado, Atmospher &amp; Space Phys Lab, Boulder, CO 80309 USA; [Peck, E. D.; Randall, C. E.] Univ Colorado, Dept Atmospher &amp; Ocean Sci, Boulder, CO 80309 USA; [Marsh, D. R.] Natl Ctr Atmospher Res, Boulder, CO 80307 USA</t>
  </si>
  <si>
    <t>University of Colorado System; University of Colorado Boulder; University of Colorado System; University of Colorado Boulder; National Center Atmospheric Research (NCAR) - USA</t>
  </si>
  <si>
    <t>Peck, ED (corresponding author), Univ Colorado, Atmospher &amp; Space Phys Lab, Campus Box 392, Boulder, CO 80309 USA.</t>
  </si>
  <si>
    <t>ethan.peck@lasp.colorado.edu</t>
  </si>
  <si>
    <t>Marsh, Daniel/A-8406-2008; RANDALL, CORA/L-8760-2014; HARVEY, V LYNN/M-3995-2017</t>
  </si>
  <si>
    <t>Marsh, Daniel/0000-0001-6699-494X; RANDALL, CORA/0000-0002-4313-4397; HARVEY, V LYNN/0000-0002-7928-0804</t>
  </si>
  <si>
    <t>NASA LWS [NNX10AQ54G, NNX14AH54G]; NSF [AGS 1135432, 1107498]; NSF CEDAR AGS [0940124]; National Science Foundation; Office of Science of the U.S. Department of Energy; Directorate For Geosciences; Div Atmospheric &amp; Geospace Sciences [1135432, 0940124] Funding Source: National Science Foundation</t>
  </si>
  <si>
    <t>NASA LWS(National Aeronautics &amp; Space Administration (NASA)); NSF(National Science Foundation (NSF)); NSF CEDAR AGS; National Science Foundation(National Science Foundation (NSF)); Office of Science of the U.S. Department of Energy(United States Department of Energy (DOE)); Directorate For Geosciences; Div Atmospheric &amp; Geospace Sciences(National Science Foundation (NSF)NSF - Directorate for Geosciences (GEO))</t>
  </si>
  <si>
    <t>We appreciate the contribution of MIPAS data from the Karlsruhe Institute for Technology. We thank Matthias Brakebusch for his gridding routine. E.D.P. was funded by NASA LWS NNX10AQ54G and NNX14AH54G as well as NSF AGS 1135432. V.L.H. was supported by the NSF CEDAR AGS grant 0940124 and NSF grant 1107498. The CESM project is supported by the National Science Foundation and the Office of Science of the U.S. Department of Energy. The National Center for Atmospheric Research is sponsored by the National Science Foundation. Resources supporting this work were provided by the NASA High-End Computing (HEC) Program through the NASA Advanced Supercomputing (NAS) Division at Ames Research Center. The WACCM data used in this study can be accessed by contacting Ethan D. Peck at ethan.peck@colorado.edu.</t>
  </si>
  <si>
    <t>10.1002/2014MS000387</t>
  </si>
  <si>
    <t>WOS:000360825000022</t>
  </si>
  <si>
    <t>Bergstrom, DM; Bricher, PK; Raymond, B; Terauds, A; Doley, D; McGeoch, MA; Whinam, J; Glen, M; Yuan, ZQ; Kiefer, K; Shaw, JD; Bramely-Alves, J; Rudman, T; Mohammed, C; Lucieer, A; Visoiu, M; van Vuuren, BJ; Ball, MC</t>
  </si>
  <si>
    <t>Bergstrom, Dana M.; Bricher, Phillippa K.; Raymond, Ben; Terauds, Aleks; Doley, David; McGeoch, Melodie A.; Whinam, Jennie; Glen, Morag; Yuan, Ziqing; Kiefer, Kate; Shaw, Justine D.; Bramely-Alves, Jessica; Rudman, Tim; Mohammed, Caroline; Lucieer, Arko; Visoiu, Micah; van Vuuren, Bettine Jansen; Ball, Marilyn C.</t>
  </si>
  <si>
    <t>Rapid collapse of a sub-Antarctic alpine ecosystem: the role of climate and pathogens</t>
  </si>
  <si>
    <t>JOURNAL OF APPLIED ECOLOGY</t>
  </si>
  <si>
    <t>alpine; Azorella macquariensis; climate change; ecosystem transformation; environmental stress; Macquarie Island; Pathogen</t>
  </si>
  <si>
    <t>MACQUARIE ISLAND; AZORELLA; TIME</t>
  </si>
  <si>
    <t>Ecosystem change is predicted to become more prevalent with climate change. Widespread dieback of cushion plants and bryophytes in alpine fellfield on Macquarie Island may represent such change. Loss of the keystone endemic cushion plant, Azorella macquariensis, was so severe that it has been declared critically endangered. We document the dieback and its extent. Due to the rapidity of the event, we sought to infer causes by testing two mechanistic hypotheses: (i) that extensive dieback was due to a pathogen and (ii) that dieback was a consequence of a change in climate that induced stress in several susceptible species. We searched for pathogens using both conventional and next-generation sequencing techniques. We examined plant functional morphology in conjunction with a long-term climate record of plant-relevant climate parameters to determine whether environmental conditions had become inimical for A.macquariensis. Dieback was found across the entire range of A.macquariensis. A survey found 88% of 115 stratified/ random sites contained affected cushions and 84% contained dead bryophytes. Within-site dieback increased over time. No conclusive evidence that A.macquariensis deaths were caused by a definitive disease-causing pathogen emerged. However, the presence of bacterial, fungal and oomycete taxa, some potentially pathogenic, suggested that stressed cushions could become susceptible to infection. The primary cause of collapse is suspected failure of A.macquariensis and other fellfield species to withstand recent decadal changes in summer water availability. Increased wind speed, sunshine hours and evapotranspiration resulted in accumulated deficits of plant available water spanning 17years (1992-2008). High vulnerability to interrupted water supply was consistent with functional morphology of A.macquariensis, and climate change has altered the species' environment from wet and misty to one subject to periods of drying.Synthesis and applications. With alpine fellfield dieback baseline data on Macquarie Island established, future monitoring will determine whether this event represents a transient, decadal-level change in the ecosystem or the initiation of a climate-related, transformation away from an Azorella-dominated fellfield ecosystem. That mechanisms driving ecosystem collapse were complex and multiple stressors appeared to be impacting cumulatively may be relevant to other locations. With alpine fellfield dieback baseline data on Macquarie Island established, future monitoring will determine whether this event represents a transient, decadal-level change in the ecosystem or the initiation of a climate-related, transformation away from an Azorella-dominated fellfield ecosystem. That mechanisms driving ecosystem collapse were complex and multiple stressors appeared to be impacting cumulatively may be relevant to other locations.</t>
  </si>
  <si>
    <t>[Bergstrom, Dana M.; Raymond, Ben; Terauds, Aleks; Kiefer, Kate; Shaw, Justine D.] Australian Antarctic Div, Dept Environm, Kingston, Tas 7050, Australia; [Bricher, Phillippa K.; Lucieer, Arko] Univ Tasmania, Sch Land &amp; Food, Hobart, Tas 7001, Australia; [Bricher, Phillippa K.; Glen, Morag; Mohammed, Caroline] Univ Tasmania, Tasmanian Inst Agr, Hobart, Tas 7001, Australia; [Doley, David] Univ Queensland, Ctr Mined Land Rehabil, Brisbane, Qld 4072, Australia; [McGeoch, Melodie A.] Monash Univ, Sch Biol Sci, Melbourne, Vic 3004, Australia; [Whinam, Jennie; Yuan, Ziqing; Rudman, Tim; Visoiu, Micah] Dept Primary Ind Pk Water &amp; Environm, Hobart, Tas 7000, Australia; [Shaw, Justine D.] Univ Queensland, Sch Biol Sci, Brisbane, Qld 4072, Australia; [Bramely-Alves, Jessica] Univ Wollongong, Sch Biol Sci, Wollongong, NSW 2522, Australia; [van Vuuren, Bettine Jansen] Univ Johannesburg, Dept Zool, Johannesburg, South Africa; [Ball, Marilyn C.] Australian Natl Univ, Res Sch Biol, Div Sci, Canberra, ACT 0200, Australia</t>
  </si>
  <si>
    <t>Australian Antarctic Division; University of Tasmania; University of Tasmania; University of Queensland; Monash University; University of Queensland; University of Wollongong; University of Johannesburg; Australian National University</t>
  </si>
  <si>
    <t>Bergstrom, DM (corresponding author), Australian Antarctic Div, Dept Environm, 203 Channel Highway, Kingston, Tas 7050, Australia.</t>
  </si>
  <si>
    <t>dana.bergstrom@aad.gov.au</t>
  </si>
  <si>
    <t>Jansen van Vuuren, Bettine/E-6227-2013; Lucieer, Arko/F-1247-2013; Ball, Marilyn/D-1180-2009; Terauds, Aleks/A-4991-2010; Mohammed, Caroline L/J-7225-2014; Bergstrom, Dana/AAC-2837-2022; McGeoch, Melodie/F-8353-2011</t>
  </si>
  <si>
    <t>Jansen van Vuuren, Bettine/0000-0002-5334-5358; Lucieer, Arko/0000-0002-9468-4516; Ball, Marilyn/0000-0001-9170-940X; Bergstrom, Dana/0000-0001-8484-8954; Shaw, Justine/0000-0002-9603-2271; Terauds, Aleks/0000-0001-7804-6648; McGeoch, Melodie/0000-0003-3388-2241</t>
  </si>
  <si>
    <t>Australian Antarctic Division; Tasmanian Department of Primary Industries, Parks, Water and Environment; Royal Tasmanian Botanical Gardens</t>
  </si>
  <si>
    <t>Chris Ware, Jack Egerton Natalie Tapson, Ben Jenner, Jared Abdul-Rahman, Helen Achurch, Martin Diekman, Jason Mundy and many Parks and Wildlife rangers assisted with fieldwork. The Australian Antarctic Division, Tasmanian Department of Primary Industries, Parks, Water and Environment and the Royal Tasmanian Botanical Gardens supported this project. We thank Peter le Roux, Dugald McLaren and an anonymous reviewer for helpful comments.</t>
  </si>
  <si>
    <t>0021-8901</t>
  </si>
  <si>
    <t>1365-2664</t>
  </si>
  <si>
    <t>J APPL ECOL</t>
  </si>
  <si>
    <t>J. Appl. Ecol.</t>
  </si>
  <si>
    <t>10.1111/1365-2664.12436</t>
  </si>
  <si>
    <t>CI5PW</t>
  </si>
  <si>
    <t>WOS:000354811700025</t>
  </si>
  <si>
    <t>Ellis, LT; Asthana, AK; Srivastava, A; Bakalin, VA; Bednarek-Ochyra, H; Cano, MJ; Jiménez, JA; Alonso, M; Deme, J; Csiky, J; Dia, MG; Campisi, P; Erzberger, P; Garilleti, R; Gorobets, KV; Gremmen, NJM; Jimenez, MS; Suárez, GM; Jukoniene, I; Kiebacher, T; Kirmaci, M; Koczur, A; Kürschner, H; Lara, F; Mazimpaka, V; Larraín, J; Lebouvier, M; Medina, R; Natcheva, R; Newsham, KK; Nobis, M; Nowak, A; Ören, M; Özçelik, AD; Orgaz, JD; Peralta, DF; Plásek, V; Cíhal, L; Ristow, R; Sawicki, J; Schäfer-Verwimp, A; Smith, VR; Stebel, A; Stefanut, S; Subkaite, M; Sun, BY; Useliene, A; Uyar, G; Vána, J; Yoon, YJ; Park, SJ</t>
  </si>
  <si>
    <t>Ellis, L. T.; Asthana, A. K.; Srivastava, A.; Bakalin, V. A.; Bednarek-Ochyra, H.; Cano, M. J.; Jimenez, J. A.; Alonso, M.; Deme, J.; Csiky, J.; Dia, M. G.; Campisi, P.; Erzberger, P.; Garilleti, R.; Gorobets, K. V.; Gremmen, N. J. M.; Jimenez, M. S.; Suarez, G. M.; Jukoniene, I.; Kiebacher, T.; Kirmaci, M.; Koczur, A.; Kuerschner, H.; Lara, F.; Mazimpaka, V.; Larrain, J.; Lebouvier, M.; Medina, R.; Natcheva, R.; Newsham, K. K.; Nobis, M.; Nowak, A.; Oeren, M.; Oezcelik, A. D.; Orgaz, J. D.; Peralta, D. F.; Plasek, V.; Cihal, L.; Ristow, R.; Sawicki, J.; Schaefer-Verwimp, A.; Smith, V. R.; Stebel, A.; Stefanut, S.; Subkaite, M.; Sun, B. -Y.; Useliene, A.; Uyar, G.; Vana, J.; Yoon, Y. -J.; Park, S. J.</t>
  </si>
  <si>
    <t>New national and regional bryophyte records, 43</t>
  </si>
  <si>
    <t>JOURNAL OF BRYOLOGY</t>
  </si>
  <si>
    <t>RED LIST; ORTHOTRICHUM-HISPANICUM; UPDATED CHECKLIST; NORTH-AMERICA; SOUTH-AMERICA; MOSS FLORA; GRIMMIACEAE; MUSCI; GENUS; POTTIACEAE</t>
  </si>
  <si>
    <t>[Ellis, L. T.] Nat Hist Museum, London SW7 5BD, England; [Asthana, A. K.] CSIR, Natl Bot Res Inst, Lucknow, Uttar Pradesh, India; [Srivastava, A.; Bakalin, V. A.] Bot Garden Inst, Vladivostok, Russia; [Bakalin, V. A.] Russian Acad Sci, Inst Biol &amp; Soil Sci, Vladivostok 690041, Russia; [Bednarek-Ochyra, H.] Polish Acad Sci, Inst Bot, Lab Bryol, PL-00901 Warsaw, Poland; [Cano, M. J.; Jimenez, J. A.; Alonso, M.; Oeren, M.; Oezcelik, A. D.; Orgaz, J. D.] Univ Murcia, Dept Biol Vegetal Bot, E-30001 Murcia, Spain; [Deme, J.; Csiky, J.] Univ Pecs, Inst Biol, Pecs, Hungary; [Dia, M. G.; Campisi, P.] Univ Palermo, Lab Briol, I-90133 Palermo, Italy; [Garilleti, R.] Univ Valencia, Dept Bot, E-46100 Burjassot, Spain; [Gorobets, K. V.] Far Eastern State Univ, Dept Biodivers &amp; Marine Bioresources, Vladivostok 690600, Russia; [Jimenez, M. S.; Suarez, G. M.] Consejo Nacl Invest Cient &amp; Tecn, RA-1033 Buenos Aires, DF, Argentina; [Jimenez, M. S.] Inst Bot Nordeste, Corrientes, Argentina; [Suarez, G. M.] San Miguel Tucuman, Fdn Miguel Lillo, San Miguel De Tucuman, Argentina; [Jukoniene, I.] Nat Res Ctr, Inst Bot, Vilnius, Lithuania; [Kiebacher, T.] Swiss Fed Res Inst WSL, Birmensdorf, Switzerland; [Kirmaci, M.] Adnan Menderes Univ, Biyol Bolumu, Kepez Aydin, Turkey; [Koczur, A.] Polish Acad Sci, Inst Nat Conservat, Krakow, Poland; [Kuerschner, H.] Free Univ Berlin, Inst Biol Systemat Bot &amp; Pflanzengeog, Berlin, Germany; [Lara, F.; Mazimpaka, V.] Univ Autonoma Madrid, Dept Biol Bot, Madrid, Spain; [Larrain, J.] Field Museum, Sci &amp; Educ, Chicago, IL USA; [Lebouvier, M.] Univ Rennes, CNRS, UMR 6553, Rennes, France; [Medina, R.] Univ Connecticut, Dept Ecol &amp; Evolutionary Biol, Storrs, CT USA; [Natcheva, R.] Bulgarian Acad Sci, Inst Biodivers &amp; Ecosyst Res, Sofia, Bulgaria; [Newsham, K. K.] NERC British Antarctic Survey, Ecosyst Programme, Cambridge, England; [Newsham, K. K.] Univ Ctr Svalbard, Dept Arct Biol, Longyearbyen, Norway; [Nobis, M.] Jagiellonian Univ, PL-31007 Krakow, Poland; [Nowak, A.] Univ Opole, Opole, Poland; [Oezcelik, A. D.; Orgaz, J. D.] Hiroshima Univ, Dept Biol Sci, Hiroshima 730, Japan; [Orgaz, J. D.] Bulent Ecevit Univ, Fac Art &amp; Sci, Dept Biol, Zonguldak, Turkey; [Peralta, D. F.] Inst Bot, Sao Paulo, Brazil; [Plasek, V.; Cihal, L.; Sawicki, J.] Univ Ostrava, Ostrava, Czech Republic; [Ristow, R.] Univ Fed Fronteira Sul, Edmundo Gaievski, Parana, Brazil; [Sawicki, J.] Univ Warmia &amp; Mazury, Olsztyn, Poland; [Smith, V. R.] Univ Stellenbosch, Dept Bot, ZA-7600 Stellenbosch, South Africa; [Stebel, A.] Med Univ Silesia, Dept Pharmaceut Bot, Sosnowiec, Poland; [Stefanut, S.] Romanian Acad, Inst Biol Bucharest, Bucharest, Romania; [Subkaite, M.] Vilnius Univ, Fac Nat Sci, Vilnius, Lithuania; [Sun, B. -Y.] Chonbuk Natl Univ, Jeonju 561756, South Korea; [Useliene, A.] Viesvile State Strict Nat Reserve, Taurage Distr, Lithuania; [Uyar, G.] Gazi Univ, Polatli Fac Art &amp; Sci, Dept Biol, Ankara, Turkey; [Vana, J.] Charles Univ Prague, Dept Bot, CR-11636 Prague 1, Czech Republic; [Yoon, Y. -J.; Park, S. J.] KIOST, Korea Polar Res Inst, Inchon, South Korea</t>
  </si>
  <si>
    <t>Natural History Museum London; Council of Scientific &amp; Industrial Research (CSIR) - India; CSIR - National Botanical Research Institute (NBRI); Russian Academy of Sciences; Botanical Garden Institute of the Far Eastern Branch of the Russian Academy of Sciences; Russian Academy of Sciences; Federal Scientific Center of the East Asia Terrestrial Biodiversity, Far Eastern Branch of the Russian Academy of Sciences; Polish Academy of Sciences; University of Murcia; University of Pecs; University of Palermo; University of Valencia; Far Eastern Federal University; Consejo Nacional de Investigaciones Cientificas y Tecnicas (CONICET); Miguel Lillo Foundation; Consejo Nacional de Investigaciones Cientificas y Tecnicas (CONICET); Nature Research Center - Lithuania; Swiss Federal Institutes of Technology Domain; Swiss Federal Institute for Forest, Snow &amp; Landscape Research; Adnan Menderes University; Polish Academy of Sciences; Free University of Berlin; Autonomous University of Madrid; Field Museum of Natural History (Chicago); Universite de Rennes; Centre National de la Recherche Scientifique (CNRS); CNRS - Institute of Ecology &amp; Environment (INEE); University of Connecticut; Bulgarian Academy of Sciences; University Centre Svalbard (UNIS); Jagiellonian University; University of Opole; Hiroshima University; Bulent Ecevit University; Instituto de Botanica - Sao Paulo; University of Ostrava; Universidade Federal da Fronteira Sul; University of Warmia &amp; Mazury; Stellenbosch University; Medical University Silesia; Institute of Biology Bucharest; Romanian Academy of Sciences; Vilnius University; Jeonbuk National University; Gazi University; Charles University Prague; Korea Institute of Ocean Science &amp; Technology (KIOST); Korea Polar Research Institute (KOPRI)</t>
  </si>
  <si>
    <t>Ellis, LT (corresponding author), Nat Hist Museum, Dept Life Sci, Cromwell Rd, London SW7 5BD, England.</t>
  </si>
  <si>
    <t>l.ellis@nhm.ac.uk</t>
  </si>
  <si>
    <t>Bednarek-Ochyra, Halina/K-7507-2012; Nobis, Marcin/AAA-9560-2020; Orgaz, Jose David/S-9600-2017; UNAN, Ayse Dilek/ABD-6985-2021; Sawicki, Jakub/H-4432-2012; Garilleti, Ricardo/A-2862-2014; Váňa, Jiří/I-5979-2016; Unan, Ayşe Dilek/JMR-0817-2023; Stefanut, Sorin/B-9350-2011; Medina, Rafael/AFP-2227-2022; Bakalin, Vadim A./S-8876-2017; Plasek, Vitezslav/D-8242-2014; Cano, Maria J./G-9675-2015; Nowak, Arkadiusz/U-3240-2019; Stefanut, Sorin/N-3318-2019; Jiménez, Juan Antonio/G-9430-2015; Nobis, Marcin/N-7645-2014; Jukoniene, Ilona/ACK-3261-2022; Stefanut, Sorin/GRO-5620-2022; Lara Garcia, Francisco/I-3003-2014; Peralta, Denilson/D-3777-2015; OREN, MUHAMMET/F-7571-2013</t>
  </si>
  <si>
    <t>Nobis, Marcin/0000-0002-1594-2418; UNAN, Ayse Dilek/0000-0003-4812-7871; Sawicki, Jakub/0000-0002-4759-8113; Garilleti, Ricardo/0000-0002-5977-2908; Stefanut, Sorin/0000-0002-1061-8942; Medina, Rafael/0000-0001-5629-1503; Bakalin, Vadim A./0000-0001-7897-4305; Plasek, Vitezslav/0000-0002-4664-2135; Cano, Maria J./0000-0002-1297-457X; Jiménez, Juan Antonio/0000-0002-1461-9491; Stefanut, Sorin/0000-0002-1061-8942; Natcheva, Rayna/0000-0001-7873-5523; Alonso-Garcia, Marta/0000-0002-2935-7754; Lara Garcia, Francisco/0000-0002-1665-5277; Jimenez, Soledad/0000-0001-6676-8897; Peralta, Denilson/0000-0003-4304-7258; Bednarek-Ochyra, Halina/0000-0002-6994-8313; OREN, MUHAMMET/0000-0003-1839-3087; Suarez, Guillermo/0000-0002-7131-0634; Stebel, Adam/0000-0003-2198-4216; Nowak, Arkadiusz/0000-0001-8638-0208</t>
  </si>
  <si>
    <t>PIUNT [PIP 0078, PICT 1838]; Ministry of Environment, Forests AMP; Climate Change, New Delhi; Spanish government [CGL2010-15959]; FEDER; Institute of Biology Bucharest of Romanian Academy [RO1567-IBB03/2014]; Russian Foundation for Basic Researches [13-04-00775, 15-34-20101]; Survey of Korean Indigenous Species'' (NIBR) from the National Institute of Biological Resources of the Ministry of Environment in Korea [2013-02-001]; Polish National Science Centre [N N 303 796 940]; Institute of Botany of the Polish Academy of Sciences; Spanish MICINN [CGL2011-28857/BOS]; MINECO [CGL2013-43246-P]; Scientific and Technological Research Council of Turkey [112T653]; Institute of Environmental Technologies [CZ.1.05/2.1.00/03.0100]; 'Research and Development for Innovations' Operational Programme; European Union; state budget of the Czech Republic [LO1208]; University of Ostrava [SGS27/PRF/2014]; Natural Environment Research Council; Natural Environment Research Council [bas0100036] Funding Source: researchfish; NERC [bas0100036] Funding Source: UKRI</t>
  </si>
  <si>
    <t>PIUNT; Ministry of Environment, Forests AMP; Climate Change, New Delhi(Ministry of Environment (ME), Republic of Korea); Spanish government(Spanish Government); FEDER(European Union (EU)Spanish Government); Institute of Biology Bucharest of Romanian Academy; Russian Foundation for Basic Researches(Russian Foundation for Basic Research (RFBR)); Survey of Korean Indigenous Species'' (NIBR) from the National Institute of Biological Resources of the Ministry of Environment in Korea(Ministry of Environment (ME), Republic of Korea); Polish National Science Centre; Institute of Botany of the Polish Academy of Sciences; Spanish MICINN(Spanish Government); MINECO(Spanish Government); Scientific and Technological Research Council of Turkey(Turkiye Bilimsel ve Teknolojik Arastirma Kurumu (TUBITAK)); Institute of Environmental Technologies; 'Research and Development for Innovations' Operational Programme; European Union(European Union (EU)); state budget of the Czech Republic; University of Ostrava;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</si>
  <si>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J. D. Orgaz thanks the curator in Stockholm (S) for the loan of samples. The research of M. S. Jimenez, Guillermo M. Suarez and J. Larrain was supported by PIUNT, PIP 0078 and PICT 1838. A. K. Asthana and A. Srivastava are grateful to the Director, CSIR-National Botanical Research Institute, Lucknow for encouragement and providing facilities, and the Ministry of Environment, Forests &amp; Climate Change, New Delhi is acknowledged for providing financial assistance. The work of M. J. Cano, J. A. Jimenez and M. Alonso was carried out with the financial support of the Spanish government (project CGL2010-15959 co-financed by FEDER). They are very grateful to Asuncion Cano and the rest of the staff from Museo de Historia Natural of Universidad Nacional Mayor de San Marcos (Lima, Peru) for their assistance during their trip to Peru. The contribution of I. Jukoniene. has been in connection with the long-term programme of the Nature Research Centre, Institute of Botany, Vilnius, Lithuania Biological diversity investigations and projections under conditions of global change and anthropogenic activity. S. Stefanut acknowledges the support by project no. RO1567-IBB03/2014 through the Institute of Biology Bucharest of Romanian Academy. The work of V. Bakalin was supported by grants from the Russian Foundation for Basic Researches (13-04-00775, 15-34-20101). That of Y.-J. Yoon, K. V. Gorobets, S. J. Park and B.-Y. Sun was supported by the grant Survey of Korean Indigenous Species'' (NIBR No. 2013-02-001) from the National Institute of Biological Resources of the Ministry of Environment in Korea. The contributions by H. Bednarek-Ochyra have been financially supported by the Polish National Science Centre through grant No. N N 303 796 940 and, in part, by the statutory fund of the Institute of Botany of the Polish Academy of Sciences. She is also grateful to the Curators at AD, BR and C for the loan of the herbarium material and to Richard Zander, St. Louis, for naming the specimen of Didymodon brachyphyllus. The field work of Marc Leboubier on Ile Amsterdam was organised within the programme 136 ECOBIO of the French Polar Institute (IPEV) and Valdon R. Smith on the Prince Edward Islands was logistically supported from the South African Department for Environmental Affairs and Tourism. F. Lara, R. Garilleti and V. Mazimpaka are grateful for financial support by the Spanish MICINN through grant CGL2011-28857/BOS and MINECO through grant CGL2013-43246-P. A. D. Ozcelik, G: Uyar and M. Oren would like to thank The Scientific and Technological Research Council of Turkey for financial support (Project Number: 112T653). The contribution by V. Plasek is part of a research project of the Institute of Environmental Technologies, reg. no. CZ.1.05/2.1.00/03.0100, supported by the 'Research and Development for Innovations' Operational Programme, and financed by the Structural Funds of the European Union and by the state budget of the Czech Republic, Project LO1208 of the National Feasibility Programme I of the Czech Republic. The contribution by L. Cihal is a part of grant project SGS27/PRF/2014 financed by University of Ostrava. For J. Vana and K. K. Newsham, logistic support was provided by the British Antarctic Survey's Operations Group, officers and crew of the RRS Ernest Shackleton and staff at King Edward Point research station. Helen J. Peat loaned the AAS herbarium specimens, and funding was provided by the Natural Environment Research Council. All are gratefully acknowledged.</t>
  </si>
  <si>
    <t>0373-6687</t>
  </si>
  <si>
    <t>1743-2820</t>
  </si>
  <si>
    <t>J BRYOL</t>
  </si>
  <si>
    <t>J. Bryol.</t>
  </si>
  <si>
    <t>10.1179/1743282015Y.0000000003</t>
  </si>
  <si>
    <t>CK7UQ</t>
  </si>
  <si>
    <t>WOS:000356440000006</t>
  </si>
  <si>
    <t>Beers, JM; Jayasundara, N</t>
  </si>
  <si>
    <t>Beers, Jody M.; Jayasundara, Nishad</t>
  </si>
  <si>
    <t>Antarctic notothenioid fish: what are the future consequences of 'losses' and 'gains' acquired during long-term evolution at cold and stable temperatures?</t>
  </si>
  <si>
    <t>Acclimation capacity; Biochemical adaptation; Climate change; Cold adapted; Hemoglobin; Icefish; Stenothermal; Thermal tolerance</t>
  </si>
  <si>
    <t>HEAT-SHOCK RESPONSE; CLIMATE-CHANGE; THERMAL TOLERANCE; SOUTHERN-OCEAN; NEW-ZEALAND; TREMATOMUS-BERNACCHII; CARDIAC-PERFORMANCE; FREEZING RESISTANCE; OXYGEN LIMITATION; BODY-TEMPERATURE</t>
  </si>
  <si>
    <t>Antarctic notothenioids dominate the fish fauna of the Southern Ocean. Evolution for millions of years at cold and stable temperatures has led to the acquisition of numerous biochemical traits that allow these fishes to thrive in sub-zero waters. The gain of antifreeze glycoproteins has afforded notothenioids the ability to avert freezing and survive at temperatures often hovering near the freezing point of seawater. Additionally, possession of cold-adapted proteins and membranes permits them to sustain appropriate metabolic rates at exceptionally low body temperatures. The notothenioid genome is also distinguished by the disappearance of traits in some species, losses that might prove costly in a warmer environment. Perhaps the best-illustrated example is the lack of expression of hemoglobin in white-blooded icefishes from the family Channichthyidae. Loss of key elements of the cellular stress response, notably the heat shock response, has also been observed. Along with their attainment of cold tolerance, notothenioids have developed an extreme stenothermy and many species perish at temperatures only a few degrees above their habitat temperatures. Thus, in light of today's rapidly changing climate, it is critical to evaluate how these extreme stenotherms will respond to rising ocean temperatures. It is conceivable that the remarkable cold specialization of notothenioids may ultimately leave them vulnerable to future thermal increases and threaten their fitness and survival. Within this context, our review provides a current summary of the biochemical losses and gains that are known for notothenioids and examines these cold-adapted traits with a focus on processes underlying thermal tolerance and acclimation capacity.</t>
  </si>
  <si>
    <t>[Beers, Jody M.] Stanford Univ, Hopkins Marine Stn, Pacific Grove, CA 93950 USA; [Jayasundara, Nishad] Duke Univ, Nicholas Sch Environm, Durham, NC 27708 USA</t>
  </si>
  <si>
    <t>Stanford University; Duke University</t>
  </si>
  <si>
    <t>Beers, JM (corresponding author), Stanford Univ, Hopkins Marine Stn, 120 Ocean View Blvd, Pacific Grove, CA 93950 USA.</t>
  </si>
  <si>
    <t>jbeers@stanford.edu</t>
  </si>
  <si>
    <t>Jayasundara, Nishad/AAR-7871-2021</t>
  </si>
  <si>
    <t>Jayasundara, Nishad/0000-0003-2485-6893</t>
  </si>
  <si>
    <t>National Science Foundation [ANT 0437887, ANT 0739637, OPP 0504072]</t>
  </si>
  <si>
    <t>Antarctic research by J.M.B. was supported by the National Science Foundation [grants ANT 0437887 and ANT 0739637 to B.D.S.]. Field work for N.J. was funded by the National Science Foundation [grant OPP 0504072 to D.T.M.] in support of the Antarctic Marine Biology course at McMurdo Station.</t>
  </si>
  <si>
    <t>10.1242/jeb.116129</t>
  </si>
  <si>
    <t>CK8OI</t>
  </si>
  <si>
    <t>WOS:000356497200006</t>
  </si>
  <si>
    <t>Duman, JG</t>
  </si>
  <si>
    <t>Duman, John G.</t>
  </si>
  <si>
    <t>Animal ice-binding (antifreeze) proteins and glycolipids: an overview with emphasis on physiological function</t>
  </si>
  <si>
    <t>Antifreeze proteins; Ice-binding proteins; Ice-nucleating proteins; Cold tolerance</t>
  </si>
  <si>
    <t>BEETLE DENDROIDES-CANADENSIS; CUCUJUS-CLAVIPES-PUNICEUS; EELPOUT ZOARCES-VIVIPARUS; TOLERANT ALASKAN BEETLE; ANTARCTIC NOTOTHENIOID FISH; THERMAL HYSTERESIS PROTEIN; HIGH-THROUGHPUT PROTEOMICS; FLY TIPULA-TRIVITTATA; UPIS-CERAMBOIDES; FREEZING RESISTANCE</t>
  </si>
  <si>
    <t>Ice-binding proteins (IBPs) assist in subzero tolerance of multiple cold-tolerant organisms: animals, plants, fungi, bacteria etc. IBPs include: (1) antifreeze proteins (AFPs) with high thermal hysteresis antifreeze activity; (2) low thermal hysteresis IBPs; and (3) ice-nucleating proteins (INPs). Several structurally different IBPs have evolved, even within related taxa. Proteins that produce thermal hysteresis inhibit freezing by a non-colligative mechanism, whereby they adsorb onto ice crystals or ice-nucleating surfaces and prevent further growth. This lowers the so-called hysteretic freezing point below the normal equilibrium freezing/melting point, producing a difference between the two, termed thermal hysteresis. True AFPs with high thermal hysteresis are found in freeze-avoiding animals (those that must prevent freezing, as they die if frozen) especially marine fish, insects and other terrestrial arthropods where they function to prevent freezing at temperatures below those commonly experienced by the organism. Low thermal hysteresis IBPs are found in freeze-tolerant organisms (those able to survive extracellular freezing), and function to inhibit recrystallization - a potentially damaging process whereby larger ice crystals grow at the expense of smaller ones - and in some cases, prevent lethal propagation of extracellular ice into the cytoplasm. Ice-nucleator proteins inhibit supercooling and induce freezing in the extracellular fluid at high subzero temperatures in many freeze-tolerant species, thereby allowing them to control the location and temperature of ice nucleation, and the rate of ice growth. Numerous nuances to these functions have evolved. Antifreeze glycolipids with significant thermal hysteresis activity were recently identified in insects, frogs and plants.</t>
  </si>
  <si>
    <t>Univ Notre Dame, Dept Biol Sci, Notre Dame, IN 46556 USA</t>
  </si>
  <si>
    <t>University of Notre Dame</t>
  </si>
  <si>
    <t>Duman, JG (corresponding author), Univ Notre Dame, Dept Biol Sci, Notre Dame, IN 46556 USA.</t>
  </si>
  <si>
    <t>Duman.1@nd.edu</t>
  </si>
  <si>
    <t>COMPANY OF BIOLOGISTS LTD</t>
  </si>
  <si>
    <t>BIDDER BUILDING CAMBRIDGE COMMERCIAL PARK COWLEY RD, CAMBRIDGE CB4 4DL, CAMBS, ENGLAND</t>
  </si>
  <si>
    <t>10.1242/jeb.116905</t>
  </si>
  <si>
    <t>WOS:000356497200007</t>
  </si>
  <si>
    <t>Logan, CA; Buckley, BA</t>
  </si>
  <si>
    <t>Logan, Cheryl A.; Buckley, Bradley A.</t>
  </si>
  <si>
    <t>Transcriptomic responses to environmental temperature in eurythermal and stenothermal fishes</t>
  </si>
  <si>
    <t>Cellular stress response; Eurytherm; Gene expression; Microarray; Non-model species; RNAseq; Stenotherm</t>
  </si>
  <si>
    <t>HEAT-SHOCK RESPONSE; GILLICHTHYS-MIRABILIS COOPER; THRESHOLD INDUCTION TEMPERATURE; TROUT ONCORHYNCHUS-MYKISS; TUNA THUNNUS-ORIENTALIS; CORAL-REEF FISH; RED-BLOOD-CELLS; GENE-EXPRESSION; ANTARCTIC FISH; THERMAL-ACCLIMATION</t>
  </si>
  <si>
    <t>Ectothermic species like fishes differ greatly in the thermal ranges they tolerate; some eurythermal species may encounter temperature ranges in excess of 25 degrees C, whereas stenothermal species in polar and tropical waters live at essentially constant temperatures. Thermal specialization comes with fitness trade-offs and as temperature increases due to global warming, the physiological basis of specialization and thermal plasticity has become of great interest. Over the past 50 years, comparative physiologists have studied the physiological and molecular differences between stenothermal and eurythermal fishes. It is now well known that many stenothermal fishes have lost an inducible heat shock response (HSR). Recent advances in transcriptomics have now made it possible to examine genome-wide changes in gene expression (GE) in non-model ecologically important fish, broadening our view beyond the HSR to regulation of genes involved in hundreds of other cellular processes. Here, we review the major findings from transcriptomic studies of extreme eurythermal and stenothermal fishes in response to acute and long-term exposure to temperature, both time scales being critically important for predicting climate change responses. We consider possible molecular adaptations that underlie eurythermy and stenothermy in teleosts. Furthermore, we highlight the challenges that still face the field of comparative environmental genomics and suggest fruitful paths of future investigation.</t>
  </si>
  <si>
    <t>[Logan, Cheryl A.] Calif State Univ, Div Sci &amp; Environm Policy, Seaside, CA 93955 USA; [Buckley, Bradley A.] Portland State Univ, Ctr Life Extreme Environm, Portland, OR 97207 USA</t>
  </si>
  <si>
    <t>Portland State University</t>
  </si>
  <si>
    <t>Logan, CA (corresponding author), Calif State Univ, Div Sci &amp; Environm Policy, Seaside, CA 93955 USA.</t>
  </si>
  <si>
    <t>clogan@csumb.edu</t>
  </si>
  <si>
    <t>Logan, Cheryl/AAU-3609-2021</t>
  </si>
  <si>
    <t>Logan, Cheryl/0000-0001-7639-4956</t>
  </si>
  <si>
    <t>NSF [OPP-0443754]</t>
  </si>
  <si>
    <t>Some of the research discussed was supported by NSF grant OPP-0443754 to B.A.B.</t>
  </si>
  <si>
    <t>10.1242/jeb.114397</t>
  </si>
  <si>
    <t>WOS:000356497200013</t>
  </si>
  <si>
    <t>Evans, TG</t>
  </si>
  <si>
    <t>Evans, Tyler G.</t>
  </si>
  <si>
    <t>Considerations for the use of transcriptomics in identifying the 'genes that matter' for environmental adaptation</t>
  </si>
  <si>
    <t>Environment; Microarray; Physiology; RNA-seq; Stress; Temperature; Transcriptomics</t>
  </si>
  <si>
    <t>FISH TREMATOMUS-BERNACCHII; SEQUENCE-SPECIFIC CONTROL; HEAT-SHOCK RESPONSE; GENOME-WIDE; ANTARCTIC FISH; RNA-SEQ; PHYSIOLOGICAL PLASTICITY; PROTEIN ABUNDANCE; DUPLICATE GENES; EXPRESSION</t>
  </si>
  <si>
    <t>Transcriptomics has emerged as a powerful approach for exploring physiological responses to the environment. However, like any other experimental approach, transcriptomics has its limitations. Transcriptomics has been criticized as an inappropriate method to identify genes with large impacts on adaptive responses to the environment because: (1) genes with large impacts on fitness are rare; (2) a large change in gene expression does not necessarily equate to a large effect on fitness; and (3) protein activity is most relevant to fitness, and mRNA abundance is an unreliable indicator of protein activity. In this review, these criticisms are re-evaluated in the context of recent systems-level experiments that provide new insight into the relationship between gene expression and fitness during environmental stress. In general, these criticisms remain valid today, and indicate that exclusively using transcriptomics to screen for genes that underlie environmental adaptation will overlook constitutively expressed regulatory genes that play major roles in setting tolerance limits. Standard practices in transcriptomic data analysis pipelines may also be limiting insight by prioritizing highly differentially expressed and conserved genes over those genes that undergo moderate fold-changes and cannot be annotated. While these data certainly do not undermine the continued and widespread use of transcriptomics within environmental physiology, they do highlight the types of research questions for which transcriptomics is best suited and the need for more gene functional analyses. Such information is pertinent at a time when transcriptomics has become increasingly tractable and many researchers may be contemplating integrating transcriptomics into their research programs.</t>
  </si>
  <si>
    <t>Calif State Univ Hayward, Dept Biol Sci, Hayward, CA 94542 USA</t>
  </si>
  <si>
    <t>California State University System; California State University East Bay</t>
  </si>
  <si>
    <t>Evans, TG (corresponding author), Calif State Univ Hayward, Dept Biol Sci, Hayward, CA 94542 USA.</t>
  </si>
  <si>
    <t>tyler.evans@csueastbay.edu</t>
  </si>
  <si>
    <t>California State University East Bay</t>
  </si>
  <si>
    <t>This work was funded by a faculty support grant provided by California State University East Bay to T.G.E.</t>
  </si>
  <si>
    <t>10.1242/jeb.114306</t>
  </si>
  <si>
    <t>WOS:000356497200014</t>
  </si>
  <si>
    <t>Choi, JI; Srinivasan, P; Park, H</t>
  </si>
  <si>
    <t>Choi, Jong-Il; Srinivasan, Periasamy; Park, Hyun</t>
  </si>
  <si>
    <t>Decontamination of Withania somnifera by Gamma Irradiation and its Effect on Antioxidant Activities</t>
  </si>
  <si>
    <t>JOURNAL OF FOOD QUALITY</t>
  </si>
  <si>
    <t>RADICAL-SCAVENGING ACTIVITY; TOTAL PHENOLIC CONTENT; LIPID-PEROXIDATION; HYDROGEN-PEROXIDE; GLYCOWITHANOLIDES; EXTRACTS; CAPACITY; YIELD</t>
  </si>
  <si>
    <t>The current investigation was carried out to study the effect of gamma irradiations on decontamination of Withania somnifera and its antioxidant activity. W.somnifera dry roots were packed and irradiated at doses of 1-10kGy following the storage at 4C within a week. At the dose of 10kGy, the microbial contamination was lowered below detection level. Glycowithanolides are known for antioxidant components present in W.somnifera. The antioxidant activity of W.somnifera extract was investigated by measuring 1,1-diphenyl-2-picrylhydrazyl, hydroxyl and superoxide radical-scavenging activities. These activities were increased in samples extracted from the irradiated roots at 10kGy. The extraction yield of the glycowithanolides was considered as one of the reasons for the increase of antioxidant activities of the extract. Practical ApplicationsWithania somnifera is an important medicinal plant and has been widely used in India and other parts of the world as a home remedy for several diseases. Gamma irradiation has been used as a phytosanitary treatment of food and herbal materials. The present study was conducted to evaluate the effect of gamma irradiation on decontamination of W.somnifera and its effect on the antioxidant properties. These results suggest that gamma irradiation can be applied for phytosanitary of other herbal plants.</t>
  </si>
  <si>
    <t>[Choi, Jong-Il] Chonnam Natl Univ, Dept Biotechnol &amp; Bioengn, Gwangju 500757, South Korea; [Srinivasan, Periasamy] Korea Atom Energy Res Inst, Adv Radiat Technol Inst, Jeongeup, South Korea; [Park, Hyun] Korea Polar Res Inst, Inchon, South Korea</t>
  </si>
  <si>
    <t>Chonnam National University; Korea Atomic Energy Research Institute (KAERI); Korea Polar Research Institute (KOPRI); Korea Institute of Ocean Science &amp; Technology (KIOST)</t>
  </si>
  <si>
    <t>Golden Seed Project, Ministry of Oceans and Fisheries [213004-04-2-SBA30]; Chonnam National University; Antarctic organisms: Cold-Adaptation Mechanisms and application grant - Korea Polar Research Institute [PE14070]</t>
  </si>
  <si>
    <t>Golden Seed Project, Ministry of Oceans and Fisheries; Chonnam National University; Antarctic organisms: Cold-Adaptation Mechanisms and application grant - Korea Polar Research Institute</t>
  </si>
  <si>
    <t>This research was supported by Golden Seed Project, Ministry of Oceans and Fisheries (213004-04-2-SBA30), by the research supporting program by Chonnam National University 2013, and by the Antarctic organisms: Cold-Adaptation Mechanisms and its application grant (PE14070) funded by the Korea Polar Research Institute.</t>
  </si>
  <si>
    <t>WILEY-HINDAWI</t>
  </si>
  <si>
    <t>ADAM HOUSE, 3RD FL, 1 FITZROY SQ, LONDON, WIT 5HE, ENGLAND</t>
  </si>
  <si>
    <t>0146-9428</t>
  </si>
  <si>
    <t>1745-4557</t>
  </si>
  <si>
    <t>J FOOD QUALITY</t>
  </si>
  <si>
    <t>J. Food Qual.</t>
  </si>
  <si>
    <t>10.1111/jfq.12134</t>
  </si>
  <si>
    <t>CJ8LB</t>
  </si>
  <si>
    <t>WOS:000355750800007</t>
  </si>
  <si>
    <t>Le Moigne, FAC; Poulton, AJ; Henson, SA; Daniels, CJ; Fragoso, GM; Mitchell, E; Richier, S; Russell, BC; Smith, HEK; Tarling, GA; Young, JR; Zubkov, M</t>
  </si>
  <si>
    <t>Le Moigne, Frederic A. C.; Poulton, Alex J.; Henson, Stephanie A.; Daniels, Chris J.; Fragoso, Glaucia M.; Mitchell, Elaine; Richier, Sophie; Russell, Benjamin C.; Smith, Helen E. K.; Tarling, Geraint A.; Young, Jeremy R.; Zubkov, Mike</t>
  </si>
  <si>
    <t>Carbon export efficiency and phytoplankton community composition in the Atlantic sector of the Arctic Ocean</t>
  </si>
  <si>
    <t>Arctic; carbon export; phytoplankton; remineralization</t>
  </si>
  <si>
    <t>PARTICULATE ORGANIC-CARBON; NORTH-ATLANTIC; TIME-SERIES; FRAM STRAIT; SEA-ICE; PHAEOCYSTIS BLOOMS; VERTICAL EXPORT; PARTICLE EXPORT; BARENTS SEA; BERING-SEA</t>
  </si>
  <si>
    <t>Arctic primary production is sensitive to reductions in sea ice cover, and will likely increase into the future. Whether this increased primary production (PP) will translate into increased export of particulate organic carbon (POC) is currently unclear. Here we report on the POC export efficiency during summer 2012 in the Atlantic sector of the Arctic Ocean. We coupled 234-thorium based estimates of the export flux of POC to onboard incubation-based estimates of PP. Export efficiency (defined as the fraction of PP that is exported below 100 m depth: ThE-ratio) showed large variability (0.090.19-1.30.3). The highest ThE-ratio (1.30.3) was recorded in a mono-specific bloom of Phaeocystis pouchetii located in the ice edge. Blooming diatom dominated areas also had high ThE-ratios (0.10.1-0.5 +/- 0.2), while mixed and/or prebloom communities showed lower ThE-ratios (0.10 +/- 0.03-0.19 +/- 0.05). Furthermore, using oxygen saturation, bacterial abundance, bacterial production, and zooplankton oxygen demand, we also investigated spatial variability in the degree to which this sinking material may be remineralized in the upper mesopelagic (&lt;300 m). Our results suggest that blooming diatoms and P. pouchetii can export a significant fraction of their biomass below the surface layer (100 m) in the open Arctic Ocean. Also, we show evidence that the material sinking from a P. pouchetii bloom may be remineralized (&gt;100 m) at a similar rate as the material sinking from diatom blooms in the upper mesopelagic, contrary to previous findings.</t>
  </si>
  <si>
    <t>[Le Moigne, Frederic A. C.; Poulton, Alex J.; Henson, Stephanie A.; Zubkov, Mike] Natl Oceanog Ctr, Southampton, Hants, England; [Le Moigne, Frederic A. C.] Helmholtz Ctr Ocean Res, GEOMAR, Kiel, Germany; [Daniels, Chris J.; Fragoso, Glaucia M.; Richier, Sophie; Russell, Benjamin C.; Smith, Helen E. K.] Univ Southampton, Southampton, Hants, England; [Mitchell, Elaine] Scottish Assoc Marine Sci, Oban, Argyll, Uruguay; [Tarling, Geraint A.] NERC, British Antarct Survey, Cambridge, England; [Young, Jeremy R.] UCL, London, England</t>
  </si>
  <si>
    <t>NERC National Oceanography Centre; Helmholtz Association; GEOMAR Helmholtz Center for Ocean Research Kiel; University of Southampton; UK Research &amp; Innovation (UKRI); Natural Environment Research Council (NERC); NERC British Antarctic Survey; University of London; University College London</t>
  </si>
  <si>
    <t>Le Moigne, FAC (corresponding author), Natl Oceanog Ctr, European Way, Southampton, Hants, England.</t>
  </si>
  <si>
    <t>flemoigne@geomar.de</t>
  </si>
  <si>
    <t>Fragoso, Glaucia/P-9725-2016; Zubkov, Mikhail/AAW-9674-2020; Henson, Stephanie/AAC-9709-2019; Le Moigne, Frederic/O-9851-2014; Daniels, Chris/H-2627-2014; Poulton, Alex/A-9859-2012</t>
  </si>
  <si>
    <t>Zubkov, Mikhail/0000-0001-7723-6810; Le Moigne, Frederic/0000-0001-7316-5111; Daniels, Chris/0000-0003-2453-267X; Fragoso, Glaucia/0000-0002-4497-2536; Young, Jeremy/0000-0001-9320-9804; Poulton, Alex/0000-0002-5149-6961</t>
  </si>
  <si>
    <t>UK Natural Environment Research Council (NERC); UK Department of Environment, Food, and Rural Affairs (Defra); UK Department of Energy and Climate Change (DECC) via the UK Ocean Acidification research programme (NERC) [NE/H017097/1]; NERC [NE/J004383/1]; Natural Environment Research Council [NE/J004383/1, noc010009, bas0100035, NE/H017097/1] Funding Source: researchfish; NERC [NE/J004383/1, bas0100035, NE/H017097/1, noc010009] Funding Source: UKRI</t>
  </si>
  <si>
    <t>UK Natural Environment Research Council (NERC)(UK Research &amp; Innovation (UKRI)Natural Environment Research Council (NERC)); UK Department of Environment, Food, and Rural Affairs (Defra)(Department for Environment, Food &amp; Rural Affairs (DEFRA)); UK Department of Energy and Climate Change (DECC) via the UK Ocean Acidification research programme (NERC); NERC(UK Research &amp; Innovation (UKRI)Natural Environment Research Council (NERC)); Natural Environment Research Council(UK Research &amp; Innovation (UKRI)Natural Environment Research Council (NERC)); NERC(UK Research &amp; Innovation (UKRI)Natural Environment Research Council (NERC))</t>
  </si>
  <si>
    <t>Katsiaryna Pabortsava, Richard Sanders, Jeff Benson, Andy Milton, Sinhue Torres-Valdes, Polly Hill (NOC), Frances Hopkins, John Stephens (PML), Mark Moore (University of Southampton), Eric Achterberg (GEOMAR Kiel/University of Southampton), and Robert Thomas (BODC) are acknowledged for help and advice. This research cruise could not have been undertaken without the efforts of a large number of people located in several organizations within the UK. We are grateful for the help and assistance of all those involved including: the Master Graham Chapman, officers and crew of the James Clark Ross; the scientists and technical support staff of cruise JR271; the staff of the British Antarctic Survey, Cambridge, National Marine Facilities, Southampton, and the Scottish Association for Marine Science, Oban. Raymond Leakey is warmly acknowledged for leading cruise JR 271 and scientific advice. We are also grateful to the UK Natural Environment Research Council (NERC), the UK Department of Environment, Food, and Rural Affairs (Defra), and the UK Department of Energy and Climate Change (DECC) for funding the research cruise via the UK Ocean Acidification research programme (NERC grant NE/H017097/1), and to the Danish, Icelandic, and Norwegian diplomatic authorities for granting permission to travel and work in Greenland, Iceland, and Svalbard coastal and offshore waters. We would like to thank two anonymous reviewers for providing constructive comments. This research was also funded by the NERC SeasFX project (grant NE/J004383/1). Data are held at the British Oceanographic Data Centre (http://bodc.ac.uk/).</t>
  </si>
  <si>
    <t>10.1002/2015JC010700</t>
  </si>
  <si>
    <t>WOS:000358124100002</t>
  </si>
  <si>
    <t>Ooki, A; Nomura, D; Nishino, S; Kikuchi, T; Yokouchi, Y</t>
  </si>
  <si>
    <t>Ooki, Atsushi; Nomura, Daiki; Nishino, Shigeto; Kikuchi, Takashi; Yokouchi, Yoko</t>
  </si>
  <si>
    <t>A global-scale map of isoprene and volatile organic iodine in surface seawater of the Arctic, Northwest Pacific, Indian, and Southern Oceans</t>
  </si>
  <si>
    <t>halocarbon; VOC; iodomethane; biogenic</t>
  </si>
  <si>
    <t>ABSORPTION CROSS-SECTIONS; TO-AIR FLUX; METHYL-IODIDE; NONMETHANE HYDROCARBONS; CHLOROPHYLL-A; SEA; EMISSION; ATLANTIC; HALOCARBONS; BROMOFORM</t>
  </si>
  <si>
    <t>Isoprene (C5H8) and three volatile organic iodine compounds (VOIs: CH3I, C2H5I, and CH2ClI) in surface seawater were measured in the western Arctic, Northwest Pacific, Indian, and Southern Oceans during the period 2008-2012. These compounds are believed to play an important role in the marine atmospheric chemistry after their emission. The measurements were performed with high time-resolution (1-6 h intervals) using an online equilibrator gas chromatography mass spectrometer. C5H8 was most abundant in high-productivity transitional waters and eutrophic tropical waters. The chlorophyll-a normalized production rates of C5H8 were high in the warm subtropical and tropical waters, suggesting the existence of a high emitter of C5H8 in the biological community of the warm waters. High concentrations of the three VOIs in highly productive transitional water were attributed to biological productions. For CH3I, the highest concentrations were widely distributed in the basin area of the oligotrophic subtropical NW Pacific, probably due to photochemical production and/or high emission rates from phytoplankton. In contrast, the lowest concentrations of C2H5I in subtropical waters were attributed to photochemical removal. Enhancement of CH2ClI concentrations in the shelf-slope areas of the Chukchi Sea and the transitional waters of the NW Pacific in winter suggested that vertical mixing with subsurface waters by regional upwelling or winter cooling acts to increase the CH2ClI concentrations in surface layer. Sea-air flux calculations revealed that the fluxes of CH2ClI were the highest among the three VOIs in shelf-slope areas; the CH3I flux was highest in basin areas.</t>
  </si>
  <si>
    <t>[Ooki, Atsushi] Hokkaido Univ, Fac Fisheries Sci, Hakodate, Hokkaido, Japan; [Nomura, Daiki] Hokkaido Univ, Inst Low Temp Sci, Sapporo, Hokkaido 060, Japan; [Nishino, Shigeto; Kikuchi, Takashi] Japan Agcy Marine Earth Sci &amp; Technol, Inst Arct Climate &amp; Environm Res, Yokosuka, Kanagawa 2370061, Japan; [Yokouchi, Yoko] Natl Inst Environm Studies, Tsukuba, Ibaraki, Japan</t>
  </si>
  <si>
    <t>Hokkaido University; Hokkaido University; Japan Agency for Marine-Earth Science &amp; Technology (JAMSTEC); National Institute for Environmental Studies - Japan</t>
  </si>
  <si>
    <t>Ooki, A (corresponding author), Hokkaido Univ, Fac Fisheries Sci, Hakodate, Hokkaido, Japan.</t>
  </si>
  <si>
    <t>ooki@fish.hokudai.ac.jp</t>
  </si>
  <si>
    <t>NISHINO, Shigeto/0000-0002-0560-241X</t>
  </si>
  <si>
    <t>JSPS KAKENHI [24681001]; Australian Antarctic Project [4073]; [18067012]; Grants-in-Aid for Scientific Research [24681001, 15K16135, 15H05116, 15H02799] Funding Source: KAKEN</t>
  </si>
  <si>
    <t>JSPS KAKENHI(Ministry of Education, Culture, Sports, Science and Technology, Japan (MEXT)Japan Society for the Promotion of ScienceGrants-in-Aid for Scientific Research (KAKENHI)); Australian Antarctic Project; ; Grants-in-Aid for Scientific Research(Ministry of Education, Culture, Sports, Science and Technology, Japan (MEXT)Japan Society for the Promotion of ScienceGrants-in-Aid for Scientific Research (KAKENHI))</t>
  </si>
  <si>
    <t>We thank the chief scientists, captains, and crews of the Hokko-maru, Hakuho-maru, Tansei-maru, Mirai, and Aurora Australis. We also thank K. Kuma for the measurements made during the Mirai cruise, and A. Tsuda for the chlorophyll-a measurement during the Hakuho and Tansei cruises. The measurements made during the Hokko-maru cruise, the Hakuho-maru cruises, and the Tansei-maru cruise were supported by a Grant-in-Aid for Scientific Research in Priority Areas Western Pacific Air-Sea Interaction Study (W-PASS) under grant 18067012. The W-PASS is a contribution to the Surface Ocean Lower Atmosphere Study (SOLAS) Core Project of the International Geosphere-Biosphere Programme (IGBP). The measurements during the Mirai cruise were supported by JSPS KAKENHI Grant 24681001 and the Arctic Climate Change Research Project under the Green Network of Excellence (GRENE). GRENE was initiated by the Ministry of Education, Culture, Sports, Science and Technology (MEXT) Japan. The measurements during the Aurora Australis cruise of the SIPEX-2 project were supported by the Australian Antarctic Project (4073). Our mapping data (C5H8, CH3I, C2H5I, and CH2ClI) can access via supporting information of this paper.</t>
  </si>
  <si>
    <t>10.1002/2014JC010519</t>
  </si>
  <si>
    <t>WOS:000358124100013</t>
  </si>
  <si>
    <t>Holt, B; Johnson, MP; Perkovic-Martin, D; Panzer, B</t>
  </si>
  <si>
    <t>Holt, Benjamin; Johnson, Michael P.; Perkovic-Martin, Dragana; Panzer, Ben</t>
  </si>
  <si>
    <t>Snow depth on Arctic sea ice derived from radar: In situ comparisons and time series analysis</t>
  </si>
  <si>
    <t>snow on sea Ice</t>
  </si>
  <si>
    <t>ULTRA-WIDE-BAND; THICKNESS; VARIABILITY</t>
  </si>
  <si>
    <t>The snow radar being flown on NASA's Operation IceBridge, ongoing aircraft campaigns to the Arctic and the Antarctic are providing unique observations of the depth of snow on the sea ice cover. In this paper, we focus on the radar-derived snow depth results from the 2009-2012 Arctic campaigns. We develop and evaluate the use of a distinct snow layer tracker to measure snow depth based on a Support Vector Machine (SVM) supervised learning algorithm. The snow radar is designed to detect both the air-snow and snow-ice interfaces using ultrawideband frequencies from 2 to 8 GHz. The quality, errors, and repeatability of the snow radar snow depth estimates are examined, based on comparisons with in situ data obtained during two separate sea ice field campaigns, the GreenArc 2009 and the CryoVEx 2011 campaigns off Greenland in the Lincoln Sea. Finally, we analyze 4 years (2009-2012) of three annually repeated sea ice flight lines obtained in early spring, located off Greenland and the Canadian Arctic. We examine the annual variations of snow depth differences between perennial and seasonal ice when available. Overall, the snow layer tracker produced consistent, accurate results for snow depths between 0.10 and approximate to 0.60 m. This was confirmed with comparisons with the two data sets from the in situ measurement campaigns as well as with the time series analysis, and is consistent with other published results.</t>
  </si>
  <si>
    <t>[Holt, Benjamin; Johnson, Michael P.; Perkovic-Martin, Dragana] CALTECH, Jet Prop Lab, Pasadena, CA 91125 USA; [Panzer, Ben] Sandia Natl Labs, Albuquerque, NM 87185 USA</t>
  </si>
  <si>
    <t>California Institute of Technology; National Aeronautics &amp; Space Administration (NASA); NASA Jet Propulsion Laboratory (JPL); United States Department of Energy (DOE); Sandia National Laboratories</t>
  </si>
  <si>
    <t>Holt, B (corresponding author), CALTECH, Jet Prop Lab, Pasadena, CA 91125 USA.</t>
  </si>
  <si>
    <t>Benjamin.M.Holt@jpl.nasa.gov</t>
  </si>
  <si>
    <t>National Aeronautics and Space Administration</t>
  </si>
  <si>
    <t>National Aeronautics and Space Administration(National Aeronautics &amp; Space Administration (NASA))</t>
  </si>
  <si>
    <t>This work was performed at the Jet Propulsion Laboratory, California Institute of Technology, and at Kansas University, under contract with the National Aeronautics and Space Administration. Ben Panzer performed this work while at the University of Kansas. The authors wish to thank the following for valuable discussions: Christian Haas (York University) regarding the CryoVEx field measurements, Ron Kwok (JPL), and Prasad Gogineni and Carl Leuschen (University of Kansas). We also wish to thank Jackie Richter-Menge and Bruce Elder (CRREL) as well as Sinead Farrell (University of Maryland) for providing the GreenArc 2009 data. The snow radar raw data utilized for this study were produced by CReSIS and made available, along with the ATM, CAMBOT, and DMS imagery through the National Snow and Ice Data Center IceBridge data portal (http://nsidc.org/icebridge/portal/). To identify snow depths for different sea ice types, we utilized derived sea ice type output data available from the EUMETSAT Ocean and Sea Ice Processing Centre (http://saf.met.no/p/ice/#type).</t>
  </si>
  <si>
    <t>10.1002/2015JC010815</t>
  </si>
  <si>
    <t>WOS:000358124100021</t>
  </si>
  <si>
    <t>Zhang, QH; Lockwood, M; Foster, JC; Zhang, SR; Zhang, BC; McCrea, IW; Moen, J; Lester, M; Ruohoniemi, JM</t>
  </si>
  <si>
    <t>Zhang, Q-H; Lockwood, M.; Foster, J. C.; Zhang, S-R; Zhang, B-C; McCrea, I. W.; Moen, J.; Lester, M.; Ruohoniemi, J. M.</t>
  </si>
  <si>
    <t>Direct observations of the full Dungey convection cycle in the polar ionosphere for southward interplanetary magnetic field conditions</t>
  </si>
  <si>
    <t>Dungey convection cycle; polar cap patches; GPS TEC; EISCAT radar</t>
  </si>
  <si>
    <t>F-REGION PATCHES; LATITUDE; MAGNETOTAIL; IONIZATION; SUPERDARN; IMF; RECONNECTION; EXPLANATION; SUBSTORMS; BOUNDARY</t>
  </si>
  <si>
    <t>Tracking the formation and full evolution of polar cap ionization patches in the polar ionosphere, we directly observe the full Dungey convection cycle for southward interplanetary magnetic field (IMF) conditions. This enables us to study how the Dungey cycle influences the patches' evolution. The patches were initially segmented from the dayside storm enhanced density plume at the equatorward edge of the cusp, by the expansion and contraction of the polar cap boundary due to pulsed dayside magnetopause reconnection, as indicated by in situ Time History of Events and Macroscale Interactions during Substorms (THEMIS) observations. Convection led to the patches entering the polar cap and being transported antisunward, while being continuously monitored by the globally distributed arrays of GPS receivers and Super Dual Auroral Radar Network radars. Changes in convection over time resulted in the patches following a range of trajectories, each of which differed somewhat from the classical twin-cell convection streamlines. Pulsed nightside reconnection, occurring as part of the magnetospheric substorm cycle, modulated the exit of the patches from the polar cap, as confirmed by coordinated observations of the magnetometer at TromsO and European Incoherent Scatter TromsO UHF radar. After exiting the polar cap, the patches broke up into a number of plasma blobs and returned sunward in the auroral return flow of the dawn and/or dusk convection cell. The full circulation time was about 3h.</t>
  </si>
  <si>
    <t>[Zhang, Q-H] Shandong Univ, Inst Space Sci, Shandong Prov Key Lab Opt Astron &amp; Solar Terr Env, Weihai, Peoples R China; [Lockwood, M.] Univ Reading, Dept Meteorol, Reading RG6 2AH, Berks, England; [Foster, J. C.; Zhang, S-R] MIT, Haystack Observ, Westford, MA 01886 USA; [Zhang, B-C] Polar Res Inst China, SOA Key Lab Polar Sci, Shanghai, Peoples R China; [McCrea, I. W.] Rutherford Appleton Lab, SSTD, Div Space Sci, Didcot OX11 0QX, Oxon, England; [Moen, J.] Univ Oslo, Dept Phys, Oslo, Norway; [Lester, M.] Univ Leicester, Dept Phys &amp; Astron, Leicester LE1 7RH, Leics, England; [Ruohoniemi, J. M.] Virginia Tech, Bradley Dept Elect &amp; Comp Engn, Blacksburg, VA USA</t>
  </si>
  <si>
    <t>Shandong University; University of Reading; Massachusetts Institute of Technology (MIT); Polar Research Institute of China; UK Research &amp; Innovation (UKRI); Science &amp; Technology Facilities Council (STFC); STFC Rutherford Appleton Laboratory; University of Oslo; University of Leicester; Virginia Polytechnic Institute &amp; State University</t>
  </si>
  <si>
    <t>Zhang, QH (corresponding author), Shandong Univ, Inst Space Sci, Shandong Prov Key Lab Opt Astron &amp; Solar Terr Env, Weihai, Peoples R China.</t>
  </si>
  <si>
    <t>zhangqinghe@sdu.edu.cn</t>
  </si>
  <si>
    <t>Lockwood, Mike/G-1030-2011; Zhang, Qing-He/G-4572-2014; Lester, Mark/C-9657-2016; Zhang, Shun-Rong/G-7593-2015</t>
  </si>
  <si>
    <t>Lockwood, Mike/0000-0002-7397-2172; Zhang, Qing-He/0000-0003-2429-4050; Zhang, Shun-Rong/0000-0002-1946-3166; Zhang, Beichen/0000-0002-0927-9568; Foster, John/0000-0002-1993-241X</t>
  </si>
  <si>
    <t>National Basic Research Program of China [2012CB825603]; National Natural Science Foundation of China [41274149, 41104091, 41031064, 41274148]; Chinese Arctic and Antarctic Administration [IC201112]; Shandong Provincial Natural Science Foundation [JQ201412]; Research Council of Norway [230996]; NERC [NE/K011766/1]; NSF [ATM-0733510]; Natural Environment Research Council [NE/K011766/1] Funding Source: researchfish; Science and Technology Facilities Council [ST/M000885/1, PP/E007929/1] Funding Source: researchfish; NERC [NE/K011766/1, BIGF010001] Funding Source: UKRI; STFC [PP/E007929/1, ST/M000885/1] Funding Source: UKRI; Div Atmospheric &amp; Geospace Sciences; Directorate For Geosciences [1242204] Funding Source: National Science Foundation; Div Atmospheric &amp; Geospace Sciences; Directorate For Geosciences [1341918] Funding Source: National Science Foundation</t>
  </si>
  <si>
    <t>National Basic Research Program of China(National Basic Research Program of China); National Natural Science Foundation of China(National Natural Science Foundation of China (NSFC)); Chinese Arctic and Antarctic Administration; Shandong Provincial Natural Science Foundation(Natural Science Foundation of Shandong Province); Research Council of Norway(Research Council of Norway); NERC(UK Research &amp; Innovation (UKRI)Natural Environment Research Council (NERC)); NSF(National Science Foundation (NSF));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 Div Atmospheric &amp; Geospace Sciences; Directorate For Geosciences(National Science Foundation (NSF)NSF - Directorate for Geosciences (GEO)); Div Atmospheric &amp; Geospace Sciences; Directorate For Geosciences(National Science Foundation (NSF)NSF - Directorate for Geosciences (GEO))</t>
  </si>
  <si>
    <t>This work is supported by the National Basic Research Program of China (grant 2012CB825603), the National Natural Science Foundation of China (grants 41274149, 41104091, 41031064, and 41274148), the International Collaboration Supporting Project, Chinese Arctic and Antarctic Administration (IC201112), and the Shandong Provincial Natural Science Foundation (grant JQ201412). J. Moen is supported by the Research Council of Norway grant 230996. M. Lester is supported by NERC grant NE/K011766/1. J. Foster and S.-R. Zhang receive partial support from NSF cooperative agreement ATM-0733510. We thank the MIT Haystack Observatory for generating GPS TEC data and making them available through the Madrigal Database (http://madrigal.haystack. mit.edu/), and the NASA CDAWeb site for the solar wind and IMF data from the ACE spacecraft. J. M. Ruohoniemi is supported by NSF grant AGS-1243070. SuperDARN is a collection of radars funded by national scientific funding agencies of Australia, Canada, China, France, Japan, South Africa, United Kingdom, and United States of America.</t>
  </si>
  <si>
    <t>10.1002/2015JA021172</t>
  </si>
  <si>
    <t>hybrid, Green Published, Green Accepted</t>
  </si>
  <si>
    <t>WOS:000358199100033</t>
  </si>
  <si>
    <t>Woodger, LA; Halford, AJ; Millan, RM; McCarthy, MP; Smith, DM; Bowers, GS; Sample, JG; Anderson, BR; Liang, X</t>
  </si>
  <si>
    <t>Woodger, L. A.; Halford, A. J.; Millan, R. M.; McCarthy, M. P.; Smith, D. M.; Bowers, G. S.; Sample, J. G.; Anderson, B. R.; Liang, X.</t>
  </si>
  <si>
    <t>A summary of the BARREL campaigns: Technique for studying electron precipitation</t>
  </si>
  <si>
    <t>radiation belts; event timing; multipoint observation; electron precipitation; gamma ray burst; X-ray spectroscopy</t>
  </si>
  <si>
    <t>OUTER RADIATION BELT; RELATIVISTIC ELECTRON; EMIC WAVES; LOSSES; MAGNETOSPHERE; SPIKES; SAMPEX; STORMS; FLUX</t>
  </si>
  <si>
    <t>The Balloon Array for Radiation belt Relativistic Electron Losses (BARREL) studies the loss of energetic electrons from Earth's radiation belts. BARREL's array of slowly drifting balloon payloads was designed to capitalize on magnetic conjunctions with NASA's Van Allen Probes. Two campaigns were conducted from Antarctica in 2013 and 2014. During the first campaign in January and February of 2013, there were three moderate geomagnetic storms with SYM-H-min&lt; -40nT. Similarly, two minor geomagnetic storms occurred during the second campaign, starting in December of 2013 and continuing on into February of 2014. Throughout the two campaigns, BARREL observed electron precipitation over a wide range of energies and exhibiting temporal structure from hundreds of milliseconds to hours. Relativistic electron precipitation was observed in the dusk to midnight sector, and microburst precipitation was primarily observed near dawn. In this paper we review the two BARREL science campaigns and discuss the data products and analysis techniques as applied to relativistic electron precipitation observed on 19 January 2013.</t>
  </si>
  <si>
    <t>[Woodger, L. A.; Halford, A. J.; Millan, R. M.; Anderson, B. R.] Dartmouth Coll, Dept Phys &amp; Astron, Hanover, NH 03755 USA; [McCarthy, M. P.] Univ Washington, Dept Earth &amp; Space Sci, Seattle, WA 98195 USA; [Smith, D. M.; Bowers, G. S.; Liang, X.] Univ Calif Santa Cruz, SCIPP, Santa Cruz, CA 95064 USA; [Sample, J. G.] Univ Calif Berkeley, Space Sci Lab, Berkeley, CA 94720 USA</t>
  </si>
  <si>
    <t>Dartmouth College; University of Washington; University of Washington Seattle; University of California System; University of California Santa Cruz; University of California System; University of California Berkeley</t>
  </si>
  <si>
    <t>Woodger, LA (corresponding author), Dartmouth Coll, Dept Phys &amp; Astron, Hanover, NH 03755 USA.</t>
  </si>
  <si>
    <t>Leslie.Woodger@dartmouth.edu</t>
  </si>
  <si>
    <t>Halford, Alexa/AAH-2098-2019</t>
  </si>
  <si>
    <t>Halford, Alexa/0000-0002-5383-4602; Bowers, Gregory/0000-0002-9524-2234; Anderson, Brett/0000-0001-5937-5497</t>
  </si>
  <si>
    <t>NASA [NNX08AM58G]; National Environmental Research Council/British Antarctic Survey; South African National Antarctic Program; Van Allen ProbeECT - JHU/APL [967399]; NASA [NNX08AM58G, 94485] Funding Source: Federal RePORTER</t>
  </si>
  <si>
    <t>NASA(National Aeronautics &amp; Space Administration (NASA)); National Environmental Research Council/British Antarctic Survey; South African National Antarctic Program; Van Allen ProbeECT - JHU/APL; NASA(National Aeronautics &amp; Space Administration (NASA))</t>
  </si>
  <si>
    <t>The authors acknowledge NASA grant NNX08AM58G and the BARREL team for the use of BARREL data. BARREL data used in this paper can be obtained through the SPEDAS software package as well as at CDAWeb website. The authors would like to thank the National Environmental Research Council/British Antarctic Survey and the South African National Antarctic Program for their support and collaboration during the BARREL balloon campaigns. We acknowledge the Fermi mission for the use of their data specifically the GBM instrument (http://heasarc.gsfc.nasa.gov/FTP/fermi/data/gbm). MagEIS efforts are supported by Van Allen ProbeECT funding provided by JHU/APL contract 967399. We acknowledge the use of NASA/GSFC's Space Physics Data Facility's OMNIWeb (or CDAWeb) service and OMNI data.</t>
  </si>
  <si>
    <t>10.1002/2014JA020874</t>
  </si>
  <si>
    <t>WOS:000358199100062</t>
  </si>
  <si>
    <t>Lukianova, R; Kozlovsky, A; Shalimov, S; Ulich, T; Lester, M</t>
  </si>
  <si>
    <t>Lukianova, Renata; Kozlovsky, Alexander; Shalimov, Sergey; Ulich, Thomas; Lester, Mark</t>
  </si>
  <si>
    <t>Thermal and dynamical perturbations in the winter polar mesosphere-lower thermosphere region associated with sudden stratospheric warmings under conditions of low solar activity</t>
  </si>
  <si>
    <t>stratospheric warming; mesospheric cooling; wind shear; atmospheric gravity waves; meteor radar</t>
  </si>
  <si>
    <t>CIRCULATION CHANGES; TEMPERATURES; VARIABILITY; EVENT; WINDS; MODEL</t>
  </si>
  <si>
    <t>The upper mesospheric neutral winds and temperatures have been derived from continuous meteor radar (MR) measurements over Sodankyla, Finland, in 2008-2014. Under conditions of low solar activity pronounced sudden mesospheric coolings linked to the major stratospheric warming (SSW) in 2009 and a medium SSW in 2010 are observed while there is no observed thermal signature of the major SSW in 2013 occurred during the solar maximum. Mesosphere-ionosphere anomalies observed simultaneously by the MR, the Aura satellite, and the rapid-run ionosonde during a period of major SSW include the following features. The mesospheric temperature minimum occurs 1day ahead of the stratospheric maximum, and the mesospheric cooling is almost of the same value as the stratospheric warming (similar to 50K), the former decay faster than the latter. In the course of SSW, a strong mesospheric wind shear of similar to 70m/s/km occurs. The wind turns clockwise (anticlockwise) from north-eastward (south-eastward) to south-westward (north-westward) above (below) 90km. As the mesospheric temperature reaches its minimum, the gravity waves (GW) in the ionosphere with periods of 10-60min decay abruptly while the GWs with longer periods are not affected. The effect is explained by selective filtering and/or increased turbulence near the mesopause.</t>
  </si>
  <si>
    <t>[Lukianova, Renata] RAS, Geophys Ctr, Moscow 117901, Russia; [Lukianova, Renata] Arctic &amp; Antarctic Res Inst, St Petersburg, Russia; [Kozlovsky, Alexander; Ulich, Thomas] Sodankyla Geophys Observ, Sodankyla, Finland; [Shalimov, Sergey] RAS, Inst Phys Earth, Moscow 117901, Russia; [Shalimov, Sergey] Space Res Inst, Moscow, Russia; [Lester, Mark] Univ Leicester, Dept Phys &amp; Astron, Leicester LE1 7RH, Leics, England</t>
  </si>
  <si>
    <t>Russian Academy of Sciences; Geophysical Center of the Russian Academy of Sciences; Arctic &amp; Antarctic Research Institute; Russian Academy of Sciences; Schmidt Institute of Physics of the Earth of the Russian Academy of Sciences; Russian Academy of Sciences; Space Research Institute of the Russian Academy of Sciences; University of Leicester</t>
  </si>
  <si>
    <t>Lukianova, R (corresponding author), RAS, Geophys Ctr, Moscow 117901, Russia.</t>
  </si>
  <si>
    <t>r.lukianova@gcras.ru</t>
  </si>
  <si>
    <t>Lukianova, Renata/K-3293-2012; Ulich, Thomas/G-3727-2018; Lester, Mark/C-9657-2016</t>
  </si>
  <si>
    <t>Lukianova, Renata/0000-0003-2343-9174; Ulich, Thomas/0000-0001-8217-022X; Kozlovsky, Alexander/0000-0003-1468-7600</t>
  </si>
  <si>
    <t>Academy of Finland [276824]; Russian MoES [14.607.21.0058]; NERC [NE/K011766/1]; Natural Environment Research Council [NE/K011766/1] Funding Source: researchfish; Science and Technology Facilities Council [ST/K001000/1] Funding Source: researchfish; NERC [NE/K011766/1] Funding Source: UKRI; STFC [ST/K001000/1] Funding Source: UKRI</t>
  </si>
  <si>
    <t>Academy of Finland(Research Council of Finland); Russian MoES; 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</si>
  <si>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The authors appreciate the NASA for access to the Aura MLS data from http://disc.sci.gsfc.nasa.gov/Aura/data-holdings/MLS/index.shtml and the solar indices from CDAWeb ( http://omniweb.gsfc.nasa.gov/). MERRA results are available through http://disc.sci.gsfc. nasa.gov/daac-bin/DataHoldings.pl.Data of the meteor radar and ionosonde are available from SGO ( http://www.sgo.fi/). R.L. and S.S. acknowledge support from the Academy of Finland grant 276824 and Russian MoES grant 14.607.21.0058. M.L. acknowledges support from NERC via NERC grant NE/K011766/1.</t>
  </si>
  <si>
    <t>10.1002/2015JA021269</t>
  </si>
  <si>
    <t>WOS:000358199100082</t>
  </si>
  <si>
    <t>Seger, A; Dorantes-Aranda, JJ; Müller, MN; Body, A; Peristyy, A; Place, AR; Park, TG; Hallegraeff, G</t>
  </si>
  <si>
    <t>Seger, Andreas; Dorantes-Aranda, Juan Jose; Muller, Marius N.; Body, Adam; Peristyy, Anton; Place, Allen R.; Park, Tae Gyu; Hallegraeff, Gustaaf</t>
  </si>
  <si>
    <t>Mitigating Fish-Killing Prymnesium parvum Algal Blooms in Aquaculture Ponds with Clay: The Importance of pH and Clay Type</t>
  </si>
  <si>
    <t>JOURNAL OF MARINE SCIENCE AND ENGINEERING</t>
  </si>
  <si>
    <t>Prymnesium parvum; mitigation; clay; pH; ichthyotoxicity; gill cell line assay; RTgill-W1; zeta potential</t>
  </si>
  <si>
    <t>Clay minerals have previously been used to mitigate algal blooms because of their ability to flocculate algal cells or remove nutrients, but also offer considerable potential to remove ichthyotoxins. When a barramundi farm in tropical Australia suffered substantial fish mortalities due to a bloom of the ichthyotoxic haptophyte Prymnesium parvum, the farm manager decided to manipulate pond water N:P ratios through removal of phosphorus by the addition of lanthanum-modified bentonite clay (Phoslock T) to successfully mitigate ichthyotoxic effects. We conducted Prymnesium culture experiments under a range of N:P ratios, screening 14 different clays (two zeolites, four kaolins, six bentonites and two types of Korean loess) at pH 7 and 9 for cell flocculation and removal of ichthyotoxicity assessed with the RTgill-W1 cell line assay. Application of Phoslock (TM) to cultures grown at different N:P effectively removed 60%-100% of water-soluble toxicity of live Prymnesium (dependent on nutritional status). While most clays efficiently flocculated Prymnesium cells (&gt;= 80% removal), cell removal proved a poor predictor of ichthyotoxin adsorption. Extensive clay screening revealed that at elevated pH, as commonly associated with dense algal blooms, most clays either exacerbated ichthyotoxicity or exhibited significantly reduced toxin adsorption. Interpretation of changes in clay zeta potential at pH 7 and 9 provided valuable insight into clay/ichthyotoxin interactions, yet further research is required to completely understand the adsorption mechanisms. Bentonite-type clays proved best suited for ichthyotoxin removal purposes (100% removal at ecologically relevant pH 9) and offer great potential for on-farm emergency response.</t>
  </si>
  <si>
    <t>[Seger, Andreas; Dorantes-Aranda, Juan Jose; Hallegraeff, Gustaaf] Univ Tasmania, Inst Marine &amp; Antarctic Studies, Hobart, Tas 7001, Australia; [Muller, Marius N.] Univ Sao Paulo, Oceanog Inst, BR-05508120 Sao Paulo, SP, Brazil; [Peristyy, Anton] Univ Tasmania, Sch Phys Sci, ACROSS, Hobart, Tas 7001, Australia; [Place, Allen R.] Univ Maryland, Ctr Environm Sci, Inst Marine &amp; Environm Technol, Baltimore, MD 21202 USA; [Park, Tae Gyu] NFRDI, Southeast Sea Fisheries Res Inst, Tongyeong 650943, South Korea</t>
  </si>
  <si>
    <t>University of Tasmania; Universidade de Sao Paulo; University of Tasmania; University System of Maryland; University of Maryland Baltimore; University of Maryland Center for Environmental Science; Institute of Marine &amp; Environmental Technology</t>
  </si>
  <si>
    <t>Seger, A (corresponding author), Univ Tasmania, Inst Marine &amp; Antarctic Studies, Hobart, Tas 7001, Australia.</t>
  </si>
  <si>
    <t>andreas.seger@utas.edu.au; juan.dorantesaranda@utas.edu.au; mnmuller@usp.br; adambody@bigpond.com; anton.peristyy@utas.edu.au; place@umces.edu; taegyupark@gmail.com; gustaaf.hallegraeff@utas.edu.au</t>
  </si>
  <si>
    <t>Seger, Andreas/AAH-4093-2019; Dorantes-Aranda, Juan Jose/J-7737-2014; Place, Allen R/F-9267-2013; Hallegraeff, Gustaaf/C-8351-2013; Muller, Marius N./N-9338-2014</t>
  </si>
  <si>
    <t>Seger, Andreas/0000-0001-7018-0455; Hallegraeff, Gustaaf/0000-0001-8464-7343; Peristyy, Anton/0000-0002-9537-4202; Muller, Marius N./0000-0003-4765-3933; Dorantes-Aranda, Juan J./0000-0003-1513-6501</t>
  </si>
  <si>
    <t>Australian Research Council [DP130102859]; Australian Postgraduate Award</t>
  </si>
  <si>
    <t>Australian Research Council(Australian Research Council); Australian Postgraduate Award(Australian Government)</t>
  </si>
  <si>
    <t>This work was funded by the Australian Research Council (Grant DP130102859), and Andreas Seger was supported by an Australian Postgraduate Award.</t>
  </si>
  <si>
    <t>2077-1312</t>
  </si>
  <si>
    <t>J MAR SCI ENG</t>
  </si>
  <si>
    <t>J. Mar. Sci. Eng.</t>
  </si>
  <si>
    <t>10.3390/jmse3020154</t>
  </si>
  <si>
    <t>Engineering, Marine; Engineering, Ocean; Oceanography</t>
  </si>
  <si>
    <t>VD0QP</t>
  </si>
  <si>
    <t>WOS:000435676800001</t>
  </si>
  <si>
    <t>Boland, EJD; Shuckburgh, E; Haynes, PH; Ledwell, JR; Messias, MJ; Watson, AJ</t>
  </si>
  <si>
    <t>Boland, Emma J. D.; Shuckburgh, Emily; Haynes, Peter H.; Ledwell, James R.; Messias, Marie-Jose; Watson, Andrew J.</t>
  </si>
  <si>
    <t>Estimating a Submesoscale Diffusivity Using a Roughness Measure Applied to a Tracer Release Experiment in the Southern Ocean</t>
  </si>
  <si>
    <t>Geographic location; entity; Southern Ocean; Circulation; Dynamics; Diffusion; Physical Meteorology and Climatology; Isopycnal mixing; Observational techniques and algorithms; Tracers; Models and modeling; Model comparison; Tracers</t>
  </si>
  <si>
    <t>ANTARCTIC CIRCUMPOLAR CURRENT; LOWER STRATOSPHERE; EDDY DIFFUSIVITY; NORTH-ATLANTIC; DRAKE PASSAGE; DISPERSION; ADVECTION; VARIABILITY; CIRCULATION; PYCNOCLINE</t>
  </si>
  <si>
    <t>The use of a measure to diagnose submesoscale isopycnal diffusivity by determining the best match between observations of a tracer and simulations with varying small-scale diffusivities is tested. Specifically, the robustness of a roughness measure to discriminate between tracer fields experiencing different submesoscale isopycnal diffusivities and advected by scaled altimetric velocity fields is investigated. This measure is used to compare numerical simulations of the tracer released at a depth of about 1.5 km in the Pacific sector of the Southern Ocean during the Diapycnal and Isopycnal Mixing Experiment in the Southern Ocean (DIMES) field campaign with observations of the tracer taken on DIMES cruises. The authors find that simulations with an isopycnal diffusivity of similar to 20 m(2) s(-1) best match observations in the Pacific sector of the Antarctic Circumpolar Current (ACC), rising to similar to 20-50 m(2) s(-1) through Drake Passage, representing submesoscale processes and any mesoscale processes unresolved by the advecting altimetry fields. The roughness measure is demonstrated to be a statistically robust way to estimate a small-scale diffusivity when measurements are relatively sparse in space and time, although it does not work if there are too few measurements overall. The planning of tracer measurements during a cruise in order to maximize the robustness of the roughness measure is also considered. It is found that the robustness is increased if the spatial resolution of tracer measurements is increased with the time since tracer release.</t>
  </si>
  <si>
    <t>[Boland, Emma J. D.; Shuckburgh, Emily] British Antarctic Survey, Cambridge CB3 0ET, England; [Haynes, Peter H.] Univ Cambridge, Dept Appl Math &amp; Theoret Phys, Cambridge CB3 9EW, England; [Ledwell, James R.] Woods Hole Oceanog Inst, Woods Hole, MA 02543 USA; [Messias, Marie-Jose] Univ E Anglia, Sch Environm Sci, Norwich NR4 7TJ, Norfolk, England; [Watson, Andrew J.] Univ Exeter, Coll Life &amp; Environm Sci, Exeter, Devon, England</t>
  </si>
  <si>
    <t>UK Research &amp; Innovation (UKRI); Natural Environment Research Council (NERC); NERC British Antarctic Survey; University of Cambridge; Woods Hole Oceanographic Institution; University of East Anglia; University of Exeter</t>
  </si>
  <si>
    <t>Boland, EJD (corresponding author), British Antarctic Survey, Madingley Rd, Cambridge CB3 0ET, England.</t>
  </si>
  <si>
    <t>emmomp@bas.ac.uk</t>
  </si>
  <si>
    <t>Boland, Emma/AFV-9181-2022</t>
  </si>
  <si>
    <t>Boland, Emma/0000-0003-2430-7763; Shuckburgh, Emily/0000-0001-9206-3444; Messias, Marie-Jose/0000-0002-3852-2854; Haynes, Peter/0000-0002-7726-6988; Watson, Andrew/0000-0002-9654-8147</t>
  </si>
  <si>
    <t>U.K. Natural Environment Research Council; U.S. National Science Foundation; Division Of Ocean Sciences; Directorate For Geosciences [1232962] Funding Source: National Science Foundation; Natural Environment Research Council [bas0100033, bas0100028, NE/J009687/1, NE/E005985/2] Funding Source: researchfish; NERC [bas0100033, NE/J009687/1, NE/E005985/2, bas0100028] Funding Source: UKRI</t>
  </si>
  <si>
    <t>U.K. Natural Environment Research Council(UK Research &amp; Innovation (UKRI)Natural Environment Research Council (NERC)); U.S. National Science Foundation(National Science Foundation (NSF));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</si>
  <si>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thank the U.K. Natural Environment Research Council and the U.S. National Science Foundation for funding the DIMES project.</t>
  </si>
  <si>
    <t>10.1175/JPO-D-14-0047.1</t>
  </si>
  <si>
    <t>WOS:000356227700009</t>
  </si>
  <si>
    <t>Han, Y; Jun, SJ; Miyahara, M; Lee, HG; Ahn, J; Chung, JW; Do Hur, S; Hong, SB</t>
  </si>
  <si>
    <t>Han, Yeongcheol; Jun, Seong Joon; Miyahara, Morihiro; Lee, Hun-Gyu; Ahn, Jinho; Chung, Ji Woong; Do Hur, Soon; Hong, Sang Bum</t>
  </si>
  <si>
    <t>Shallow ice-core drilling on Styx glacier, northern Victoria Land, Antarctica in the 2014-2015 summer</t>
  </si>
  <si>
    <t>JOURNAL OF THE GEOLOGICAL SOCIETY OF KOREA</t>
  </si>
  <si>
    <t>ice core; Antarctic Jang Bogo Station; tephra; drill</t>
  </si>
  <si>
    <t>Ice cores are drilled from polar glaciers because they are useful for studying past climate and environment that change through time. We here report on the progress of the first shallow ice-core drilling program of Korea Polar Research Institute since the establishment of the Antarctic Jang Bogo station, the second Antarctic research station of Korea. The drilling was performed on the Styx glacier about 85 km north of the Jang Bogo station in the 2014-2015 summer season, and a 210.5 m long ice core was taken in 300 runs, in 20 days. The age at the bottom of the ice core was estimated to be 1.36 ka based on the depth-density profile and on the temperature at 15 m depth. The drill was stuck at a depth of 104 m but was recovered by using ethanol. The tephra ash layers were observed at depths of 97.01, 99.18 and 165.37 m, whose ages were tentatively estimated to be 0.56, 0.57 and 1.04 ka, respectively. Further study should include in-depth work for the tephra layer ages.</t>
  </si>
  <si>
    <t>[Han, Yeongcheol; Jun, Seong Joon; Chung, Ji Woong; Do Hur, Soon; Hong, Sang Bum] Korea Polar Res Inst, Div Climate Change, Incheon 406840, South Korea; [Miyahara, Morihiro] ANORI Inc, Nishinomiya, Hyogo 6620957, Japan; [Lee, Hun-Gyu; Ahn, Jinho] Seoul Natl Univ, Sch Earth &amp; Environm Sci, Seoul 151747, South Korea</t>
  </si>
  <si>
    <t>Korea Polar Research Institute (KOPRI); Seoul National University (SNU)</t>
  </si>
  <si>
    <t>Hong, SB (corresponding author), Korea Polar Res Inst, Div Climate Change, Incheon 406840, South Korea.</t>
  </si>
  <si>
    <t>hong909@kopri.re.kr</t>
  </si>
  <si>
    <t>GEOLOGICAL SOC KOREA</t>
  </si>
  <si>
    <t>KOREA SCIENCE &amp; TECHNOLOGY CTR, RM 813, 7 GIL 22, TEHERAN- RO, GANGNAM-GUNA, SEOUL, 06130, SOUTH KOREA</t>
  </si>
  <si>
    <t>0435-4036</t>
  </si>
  <si>
    <t>2288-7377</t>
  </si>
  <si>
    <t>J GEOL SOC KOREA</t>
  </si>
  <si>
    <t>J. Geol. Soc. Korea</t>
  </si>
  <si>
    <t>10.14770/jgsk.2015.51.3.343</t>
  </si>
  <si>
    <t>VH7PZ</t>
  </si>
  <si>
    <t>WOS:000454034000009</t>
  </si>
  <si>
    <t>Stonik, V; Stonik, I</t>
  </si>
  <si>
    <t>Stonik, Valentin; Stonik, Inna</t>
  </si>
  <si>
    <t>Low-Molecular-Weight Metabolites from Diatoms: Structures, Biological Roles and Biosynthesis</t>
  </si>
  <si>
    <t>diatoms; lipids; oxylipins; sterols; isoprenoid hydrocarbons; pigments; domoic acid; miscellaneous</t>
  </si>
  <si>
    <t>BRANCHED ISOPRENOID ALKENES; PSEUDO-NITZSCHIA-MULTISERIES; POLYUNSATURATED FATTY-ACIDS; ANTARCTIC SEA-ICE; LONG-CHAIN POLYAMINES; MARINE DIATOM; DOMOIC ACID; LIQUID-CHROMATOGRAPHY; SYNEDRA-ACUS; LIPIDS</t>
  </si>
  <si>
    <t>Diatoms are abundant and important biological components of the marine environment that biosynthesize diverse natural products. These microalgae are rich in various lipids, carotenoids, sterols and isoprenoids, some of them containing toxins and other metabolites. Several groups of diatom natural products have attracted great interest due to their potential practical application as energy sources (biofuel), valuable food constituents, and prospective materials for nanotechnology. In addition, hydrocarbons, which are used in climate reconstruction, polyamines which participate in biomineralization, new apoptotic agents against tumor cells, attractants and deterrents that regulate the biochemical communications between marine species in seawaters have also been isolated from diatoms. However, chemical studies on these microalgae are complicated by difficulties, connected with obtaining their biomass, and the influence of nutrients and contaminators in their environment as well as by seasonal and climatic factors on the biosynthesis of the corresponding natural products. Overall, the number of chemically studied diatoms is lower than that of other algae, but further studies, particularly those connected with improvements in the isolation and structure elucidation technique as well as the genomics of diatoms, promise both to increase the number of studied species with isolated biologically active natural products and to provide a clearer perception of their biosynthesis.</t>
  </si>
  <si>
    <t>[Stonik, Valentin] FEB RAS, GB Elyakov Pacific Inst Bioorgan Chem, Lab Chem Marine Nat Prod, Vladivostok 690022, Russia; [Stonik, Valentin] Far Eastern Fed Univ, Vladivostok 690950, Russia; [Stonik, Inna] FEB RAS, AV Zhirmunsky Inst Marine Biol, Lab Ecol Shelf Communities, Vladivostok 690041, Russia</t>
  </si>
  <si>
    <t>Elyakov Pacific Institute of Bioorganic Chemistry; Russian Academy of Sciences; Far Eastern Federal University; Russian Academy of Sciences; National Scientific Center of Marine Biology, Far East Branch of the Russian Academy of Sciences</t>
  </si>
  <si>
    <t>Stonik, I (corresponding author), FEB RAS, AV Zhirmunsky Inst Marine Biol, Lab Ecol Shelf Communities, Vladivostok 690041, Russia.</t>
  </si>
  <si>
    <t>stonik@piboc.dvo.ru; innast2004@mail.ru</t>
  </si>
  <si>
    <t>Stonik, Valentin/O-1985-2013; Stonik, Inna/E-8900-2019</t>
  </si>
  <si>
    <t>Stonik, Inna/0000-0003-1467-0374</t>
  </si>
  <si>
    <t>Russian Foundation for Basic Research [15-04-05643a]</t>
  </si>
  <si>
    <t>This study was supported by the Russian Foundation for Basic Research (15-04-05643a).</t>
  </si>
  <si>
    <t>10.3390/md13063672</t>
  </si>
  <si>
    <t>CL9EZ</t>
  </si>
  <si>
    <t>WOS:000357279900025</t>
  </si>
  <si>
    <t>Cortese, G; Prebble, J</t>
  </si>
  <si>
    <t>Cortese, Giuseppe; Prebble, Joe</t>
  </si>
  <si>
    <t>A radiolarian-based modern analogue dataset for palaeoenvironmental reconstructions in the southwest Pacific</t>
  </si>
  <si>
    <t>MARINE MICROPALEONTOLOGY</t>
  </si>
  <si>
    <t>radiolaria; Pacific Ocean; palaeotemperature</t>
  </si>
  <si>
    <t>SEA-SURFACE TEMPERATURES; NEW-ZEALAND; SOUTHERN-OCEAN; ATLANTIC; EASTERN; ASSEMBLAGES; SEDIMENTS; OFFSHORE; PALEOTEMPERATURES; OCEANOGRAPHY</t>
  </si>
  <si>
    <t>Radiolarian species relative abundances have been estimated for a suite of 88 surface sediment samples obtained from a broad area of the southwest Pacific/Southern Ocean bounded by 10 degrees S to 65 degrees S in latitude, and 145 degrees E to 170 degrees W in longitude. This allowed the documentation of a long environmental gradient (28.8 to -1.4 degrees C for mean annual sea-surface temperature, SST), and covered the most important surface oceanographic features in the area, including the Subtropical (STF), Subantarctic (SAF) and Antarctic Polar (APF) Fronts. The most abundant species in the dataset show strong relationships to surface hydrography, examples are: Antarctissa spp. (5% abundance isoline is a good indicator for the average position of the SAF), Colonials (5% isoline approximates the average location of the Tasman Front, between New Zealand and Australia), Dictyocoryne profunda and Tetrapyle octacantha (essentially absent in subantarctic/antarctic waters, and documenting warm-water connections to higher latitudes, being present in the Tasmanian retroflection region and/or on the Campbell Plateau). The Factor Analysis model, with a calibration error of +/- 1.3 degrees C, was based on 93 taxa (of the 243 taxa recognised in this study) and 7 factors/assemblages, which explained 87.4% of the total information contained in the dataset The first five assemblages are readily interpreted in terms of water masses, oceanographic fronts and regions: Subtropical Water/Tasman Front (Factor 1), Circumpolar Surface Water (Factor 2), Equatorial Pacific (Factor 3), Subantarctic Water/Campbell Plateau (Factor 4), and as a subfactor for Subtropical Water (Factor 5). A canonical correspondence analysis identified sea surface temperature as the main environmental explanatory variable for samples with SST 7 degrees C-28 degrees C. Due to the elevated nitrate concentrations in high southern latitude surface waters, nitrate concentration is the main explanatory variable when all samples are considered. In a companion paper, this modem analogue dataset has been applied to relative abundance data from sediment core Y9, in order to reconstruct the SST changes over the last 160 ka at the eastemmost boundary of the Campbell Plateau, east of New Zealand. (C) 2015 Elsevier B.V. All rights reserved.</t>
  </si>
  <si>
    <t>[Cortese, Giuseppe; Prebble, Joe] GNS Sci, Lower Hutt 5040, New Zealand</t>
  </si>
  <si>
    <t>Cortese, G (corresponding author), GNS Sci, POB 30368, Lower Hutt 5040, New Zealand.</t>
  </si>
  <si>
    <t>g.cortese@gns.cri.nz</t>
  </si>
  <si>
    <t>Cortese, Giuseppe/0000-0003-1780-3371; Prebble, Joseph/0000-0002-7268-4187</t>
  </si>
  <si>
    <t>New Zealand Government through the GNS Science Global Change through Time Program [540GCT51-00]</t>
  </si>
  <si>
    <t>New Zealand Government through the GNS Science Global Change through Time Program</t>
  </si>
  <si>
    <t>A series of national and international core repositories provided the surface sample material used in this study. These include the core repository at the National Institute of Water and Atmospheric Research (NIWA, New Zealand); three of IODP's (Integrated Ocean Drilling Program) core repository centres: Kochi Core Center (jointly managed by Kochi University and JAMSTEC, the Japan Agency for Marine-Earth Science and Technology), the IODP West Coast repository at Scripps Institution of Oceanography, and the IODP Gulf Coast Repository at Texas A&amp;M University; the Oregon State University Marine Geology Repository located at the College of Earth, Ocean, and Atmospheric Sciences; the Wood Hole Oceanographic Institution core repository; and the IfM/GEOMAR core repository in Kiel. The help of these repositories, and the funding agencies providing support to them, is hereby greatly appreciated. Chlorophyll-a data used in this paper were produced with the Giovanni online data system, developed and maintained by the NASA GES DISC. The study was supported by the New Zealand Government through the GNS Science Global Change through Time Program (Grant number: 540GCT51-00).</t>
  </si>
  <si>
    <t>0377-8398</t>
  </si>
  <si>
    <t>1872-6186</t>
  </si>
  <si>
    <t>MAR MICROPALEONTOL</t>
  </si>
  <si>
    <t>Mar. Micropaleontol.</t>
  </si>
  <si>
    <t>10.1016/j.marmicro.2015.05.002</t>
  </si>
  <si>
    <t>CQ3PQ</t>
  </si>
  <si>
    <t>WOS:000360515400003</t>
  </si>
  <si>
    <t>Payne, NL; Snelling, EP; Fitzpatrick, R; Seymour, J; Courtney, R; Barnett, A; Watanabe, YY; Sims, DW; Squire, L; Semmens, JM</t>
  </si>
  <si>
    <t>Payne, Nicholas L.; Snelling, Edward P.; Fitzpatrick, Richard; Seymour, Jamie; Courtney, Robert; Barnett, Adam; Watanabe, Yuuki Y.; Sims, David W.; Squire, Lyle, Jr.; Semmens, Jayson M.</t>
  </si>
  <si>
    <t>A new method for resolving uncertainty of energy requirements in large water breathers: the mega-flume' seagoing swim-tunnel respirometer</t>
  </si>
  <si>
    <t>allometry; biomass; daily energy expenditure; ectotherm; feeding requirements; field metabolic rate; power curve; tuna; white shark; wind tunnel</t>
  </si>
  <si>
    <t>FIELD METABOLIC-RATE; BODY-MASS; TEMPERATURE-DEPENDENCE; SHARKS; EFFICIENCY; ANIMALS; RATES; ACCELERATION; LOCOMOTION; SPEED</t>
  </si>
  <si>
    <t>Body size is a key determinant of metabolic rate, but logistical constraints have led to a paucity of energetics measurements from large water-breathing animals. As a result, estimating energy requirements of large fish generally relies on extrapolation of metabolic rate from individuals of lower body mass using allometric relationships that are notoriously variable. Swim-tunnel respirometry is the gold standard' for measuring active metabolic rates in water-breathing animals, yet previous data are entirely derived from body masses &lt;10kg - at least one order of magnitude lower than the body masses of many top-order marine predators. Here, we describe the design and testing of a new method for measuring metabolic rates of large water-breathing animals: a c.26000L seagoing mega-flume' swim-tunnel respirometer. We measured the swimming metabolic rate of a 21-m, 36-kg zebra shark Stegostoma fasciatum within this new mega-flume and compared the results to data we collected from other S.fasciatum (38-477kg body mass) swimming in static respirometers and previously published measurements of active metabolic rate measurements from other shark species. The mega-flume performed well during initial tests, with intra- and interspecific comparisons suggesting accurate metabolic rate measurements can be obtained with this new tool. Inclusion of our data showed that the scaling exponent of active metabolic rate with mass for sharks ranging from 013 to 477kg was 079; a similar value to previous estimates for resting metabolic rates in smaller fishes. We describe the operation and usefulness of this new method in the context of our current uncertainties surrounding energy requirements of large water-breathing animals. We also highlight the sensitivity of mass-extrapolated energetic estimates in large aquatic animals and discuss the consequences for predicting ecosystem impacts such as trophic cascades.</t>
  </si>
  <si>
    <t>[Payne, Nicholas L.; Watanabe, Yuuki Y.] Natl Inst Polar Res, Tachikawa, Tokyo 1908518, Japan; [Payne, Nicholas L.] Univ New S Wales, Sch Biol Earth &amp; Environm, Sydney, NSW 2052, Australia; [Snelling, Edward P.] Univ Adelaide, Sch Biol Sci, Adelaide, SA 5005, Australia; [Fitzpatrick, Richard; Courtney, Robert; Barnett, Adam] James Cook Univ, Sch Marine &amp; Trop Biol, Cairns, Qld 4878, Australia; [Seymour, Jamie] James Cook Univ, Australian Inst Trop Hlth &amp; Med, Cairns, Qld 4878, Australia; [Barnett, Adam] Deakin Univ, Sch Life &amp; Environm Sci, Burwood, Vic 3125, Australia; [Watanabe, Yuuki Y.] SOKENDAI Grad Univ Adv Studies, Tachikawa, Tokyo 1908518, Japan; [Sims, David W.] Marine Biol Assoc UK, Plymouth PL1 2PB, Devon, England; [Sims, David W.] Univ Southampton, Natl Oceanog Ctr Southampton, Ocean &amp; Earth Sci, Southampton SO14 3ZH, Hants, England; [Sims, David W.] Univ Southampton, Ctr Biol Sci, Southampton SO17 1BJ, Hants, England; [Squire, Lyle, Jr.] Cairns Marine, Stratford, Qld 4870, Australia; [Semmens, Jayson M.] Univ Tasmania, Inst Marine &amp; Antarctic Studies, Hobart, Tas 7001, Australia</t>
  </si>
  <si>
    <t>Research Organization of Information &amp; Systems (ROIS); National Institute of Polar Research (NIPR) - Japan; University of New South Wales Sydney; University of Adelaide; James Cook University; James Cook University; Deakin University; Graduate University for Advanced Studies - Japan; Marine Biological Association United Kingdom; NERC National Oceanography Centre; University of Southampton; University of Southampton; University of Tasmania</t>
  </si>
  <si>
    <t>Payne, NL (corresponding author), Natl Inst Polar Res, Tachikawa, Tokyo 1908518, Japan.</t>
  </si>
  <si>
    <t>n.payne@unsw.edu.au</t>
  </si>
  <si>
    <t>Payne, Nicholas L/E-7811-2013; Watanabe, Yuuki/D-5079-2012; Seymour, Jamie/C-9748-2013</t>
  </si>
  <si>
    <t>Courtney, Robert/0000-0002-3914-1551; , Adam/0000-0001-7430-8428; Semmens, Jayson/0000-0003-1742-6692; Watanabe, Yuuki/0000-0001-9731-1769; Payne, Nicholas/0000-0002-5274-471X; Seymour, Jamie/0000-0002-4805-3289</t>
  </si>
  <si>
    <t>OceansIQ; Japan Society for the Promotion of Science [P13749]; Grants-in-Aid for Scientific Research [15F13749, 13F03749, 25850138] Funding Source: KAKEN</t>
  </si>
  <si>
    <t>OceansIQ;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</si>
  <si>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Funding was provided by OceansIQ, and NLP was supported by a postdoctoral fellowship from the Japan Society for the Promotion of Science (P13749).</t>
  </si>
  <si>
    <t>10.1111/2041-210X.12358</t>
  </si>
  <si>
    <t>CL1QI</t>
  </si>
  <si>
    <t>WOS:000356718500005</t>
  </si>
  <si>
    <t>Silva, MC; Matias, R; Wanless, RM; Ryan, PG; Stephenson, BM; Bolton, M; Ferrand, N; Coelho, MM</t>
  </si>
  <si>
    <t>Silva, Monica C.; Matias, Rafael; Wanless, Ross M.; Ryan, Peter G.; Stephenson, Brent M.; Bolton, Mark; Ferrand, Nuno; Manuela Coelho, M.</t>
  </si>
  <si>
    <t>Understanding the mechanisms of antitropical divergence in the seabird White-faced Storm-petrel (Procellariiformes: Pelagodroma marina) using a multilocus approach</t>
  </si>
  <si>
    <t>anonymous nuclear markers; antitropical divergence; coalescence; gene flow; Pelagodroma; Procellariiformes</t>
  </si>
  <si>
    <t>POPULATION-STRUCTURE; GENE FLOW; CLIMATIC CHANGES; MIGRATION RATES; PHYLOGEOGRAPHY; DIFFERENTIATION; SPECIATION; ATLANTIC; HISTORY; DEMOGRAPHY</t>
  </si>
  <si>
    <t>Analytical methods that apply coalescent theory to multilocus data have improved inferences of demographic parameters that are critical to understanding population divergence and speciation. In particular, at the early stages of speciation, it is important to implement models that accommodate conflicting gene trees, and benefit from the presence of shared polymorphisms. Here, we employ eleven nuclear loci and the mitochondrial control region to investigate the phylogeography and historical demography of the pelagic seabird White-faced Storm-petrel (Pelagodroma marina) by sampling subspecies across its antitropical distribution. Groups are all highly differentiated: global mitochondrial phi(ST)=0.89 (P&lt;0.01) and global nuclear phi(ST) varies between 0.22 and 0.83 (all P&lt;0.01). The complete lineage sorting of the mitochondrial locus between hemispheres is corroborated by approximately half of the nuclear genealogies, suggesting a long-term antitropical divergence in isolation. Coalescent-based estimates of demographic parameters suggest that hemispheric divergence of P.marina occurred approximately 840000ya (95% HPD 582000-1170000), in the absence of gene flow, and divergence within the Southern Hemisphere occurred 190000ya (95% HPD 96000-600000), both probably associated with the profound palaeo-oceanographic changes of the Pleistocene. A fledgling sampled in St Helena (tropical South Atlantic) suggests recent colonization from the Northern Hemisphere. Despite the great potential for long-distance dispersal, P.marina antitropical groups have been evolving as independent, allopatric lineages, and divergence is probably maintained by philopatry coupled with asynchronous reproductive phenology and local adaptation.</t>
  </si>
  <si>
    <t>[Silva, Monica C.; Manuela Coelho, M.] Univ Lisbon, Fac Ciencias, Ctr Ecol Evolut &amp; Environm Changes, P-1749016 Lisbon, Portugal; [Matias, Rafael] Univ Exeter, Sch Biosci, Ctr Ecol &amp; Conservat, Penryn TR10 9EZ, England; [Matias, Rafael] ISPA Inst Univ, Marine &amp; Environm Sci Ctr, P-1149041 Lisbon, Portugal; [Wanless, Ross M.; Ryan, Peter G.] Univ Cape Town, Percy Fitzpatrick Inst African Ornithol, DST NRF Ctr Excellence, ZA-7701 Rondebosch, South Africa; [Wanless, Ross M.] BirdLife South Africa, Seabird Conservat Program, ZA-8012 Cape Town, South Africa; [Stephenson, Brent M.] Ecovista Photog &amp; Res Ltd, Bay View 4149, Napier, New Zealand; [Bolton, Mark] Royal Soc Protect Birds, RSPB Ctr Conservat Sci, Sandy SG19 2DL, Beds, England; [Ferrand, Nuno] Univ Porto, CIBIO, P-4485661 Vairao, Portugal</t>
  </si>
  <si>
    <t>Universidade de Lisboa; University of Exeter; Instituto Superior Psicologia Aplicada (ISPA); National Research Foundation - South Africa; University of Cape Town; Royal Society for Protection of Birds; Universidade do Porto</t>
  </si>
  <si>
    <t>Silva, MC (corresponding author), Univ Lisbon, Fac Ciencias, Ctr Ecol Evolut &amp; Environm Changes, P-1749016 Lisbon, Portugal.</t>
  </si>
  <si>
    <t>mssilva@fc.ul.pt</t>
  </si>
  <si>
    <t>Silva, Monica/D-3300-2012; Ferrand, Nuno/E-6085-2014; Coelho, Maria/B-8672-2009</t>
  </si>
  <si>
    <t>Silva, Monica/0000-0003-2404-3964; Ferrand, Nuno/0000-0002-2408-4195; Coelho, Maria/0000-0003-3288-1693; Bolton, Mark/0000-0001-5605-687X</t>
  </si>
  <si>
    <t>Fundacao para a Ciencia e a Tecnologia (FCT), Portugal [PTDC/BIA-BDE/65110/2006, UID/BIA/00329/2013]; [SFRH/BPD/22276/2005]; [SFRH/BPD/85700/2012]; Fundação para a Ciência e a Tecnologia [PTDC/BIA-BDE/65110/2006] Funding Source: FCT</t>
  </si>
  <si>
    <t>Fundacao para a Ciencia e a Tecnologia (FCT), Portugal(Fundacao para a Ciencia e a Tecnologia (FCT)); ; ; Fundação para a Ciência e a Tecnologia(Fundacao para a Ciencia e a Tecnologia (FCT))</t>
  </si>
  <si>
    <t>We thank O. Paulo and his research group (CoBiG2) for access to computer resources, as well as the Bioportal server (University of Oslo). W. Walstrom sent us a script to produce the input file for STRUCTURE, S. MacKay wrote the script to run POFAD in batch mode, and S. Joly made his unpublished work available and released a new version of POFAD. We thank K. Omland, V. Sousa, J. Silva, M. Machado, M. Santos and anonymous reviewers for helpful discussions and comments which greatly improved the manuscript. Sampling at Gough Island was supported by the South African National Antarctic Programme and conducted with permission from Tristan's Conservation Department. Sampling at Mokohinau Islands was conducted with permission from New Zealand's Department of Conservation (permit #: AK-19743-FAU). This work was financed by Fundacao para a Ciencia e a Tecnologia (FCT), Portugal, through the research project PTDC/BIA-BDE/65110/2006 and UID/BIA/00329/2013. MCS was supported by postdoctoral fellowships SFRH/BPD/22276/2005 and SFRH/BPD/85700/2012.</t>
  </si>
  <si>
    <t>10.1111/mec.13212</t>
  </si>
  <si>
    <t>CL0FI</t>
  </si>
  <si>
    <t>WOS:000356615200016</t>
  </si>
  <si>
    <t>Clarke, LJ; Weyrich, LS; Cooper, A</t>
  </si>
  <si>
    <t>Clarke, Laurence J.; Weyrich, Laura S.; Cooper, Alan</t>
  </si>
  <si>
    <t>Reintroduction of locally extinct vertebrates impacts arid soil fungal communities</t>
  </si>
  <si>
    <t>Arid Recovery; coextinction; coprophilous; ecological interaction; ecosystem restoration; internal transcribed spacer I (ITS1)</t>
  </si>
  <si>
    <t>DIVERSITY; BIODIVERSITY; ECOSYSTEMS; DYNAMICS; REPTILE; MAMMALS; RABBIT</t>
  </si>
  <si>
    <t>Introduced species have contributed to extinction of native vertebrates in many parts of the world. Changes to vertebrate assemblages are also likely to alter microbial communities through coextinction of some taxa and the introduction of others. Many attempts to restore degraded habitats involve removal of exotic vertebrates (livestock and feral animals) and reintroduction of locally extinct species, but the impact of such reintroductions on microbial communities is largely unknown. We used high-throughput DNA sequencing of the fungal internal transcribed spacer I (ITS1) region to examine whether replacing exotic vertebrates with reintroduced native vertebrates led to changes in soil fungal communities at a reserve in arid central Australia. Soil fungal diversity was significantly different between dune and swale (interdune) habitats. Fungal communities also differed significantly between sites with exotic or reintroduced native vertebrates after controlling for the effect of habitat. Several fungal operational taxonomic units (OTUs) found exclusively inside the reserve were present in scats from reintroduced native vertebrates, providing a direct link between the vertebrate assemblage and soil microbial communities. Our results show that changes to vertebrate assemblages through local extinctions and the invasion of exotic species can alter soil fungal communities. If local extinction of one or several species results in the coextinction of microbial taxa, the full complement of ecological interactions may never be restored.</t>
  </si>
  <si>
    <t>[Clarke, Laurence J.; Weyrich, Laura S.; Cooper, Alan] Univ Adelaide, Australian Ctr Ancient DNA, Adelaide, SA 5005, Australia; [Clarke, Laurence J.] Australian Antarctic Div, Kingston, Tas 7050, Australia; [Clarke, Laurence J.] Univ Tasmania, Antarctic Climate &amp; Ecosyst Cooperat Res Ctr, Hobart, Tas 7001, Australia</t>
  </si>
  <si>
    <t>University of Adelaide; Australian Antarctic Division; University of Tasmania; Antarctic Climate &amp; Ecosystems Cooperative Research Centre (ACE CRC)</t>
  </si>
  <si>
    <t>Clarke, LJ (corresponding author), Univ Adelaide, Australian Ctr Ancient DNA, Adelaide, SA 5005, Australia.</t>
  </si>
  <si>
    <t>laurence.clarke@utas.edu.au</t>
  </si>
  <si>
    <t>Cooper, Alan/E-8171-2012; Clarke, Laurence/N-3579-2017</t>
  </si>
  <si>
    <t>Clarke, Laurence/0000-0002-0844-4453; Weyrich, Laura/0000-0001-5243-4634; Cooper, Alan/0000-0002-7738-7851</t>
  </si>
  <si>
    <t>ARC</t>
  </si>
  <si>
    <t>ARC(Australian Research Council)</t>
  </si>
  <si>
    <t>Thanks to Arid Recovery for allowing us to access and sample sites at the reserve. Jennifer Young helped collect soil samples, Perri Carter (Arid Recovery) and participants in the Port Lincoln High School Indigenous Ranger Cadetship programme collected scats. Steve Delean and John McKinlay provided advice on experimental design and statistical analysis. Matthew Morgan assisted with processing HTS reads with APDP. We thank the ARC for funding and ACAD members for helpful comments and assistance.</t>
  </si>
  <si>
    <t>10.1111/mec.13229</t>
  </si>
  <si>
    <t>WOS:000356615200021</t>
  </si>
  <si>
    <t>Rutterford, LA; Simpson, SD; Jennings, S; Johnson, MP; Blanchard, JL; Schoen, PJ; Sims, DW; Tinker, J; Genner, MJ</t>
  </si>
  <si>
    <t>Rutterford, Louise A.; Simpson, Stephen D.; Jennings, Simon; Johnson, Mark P.; Blanchard, Julia L.; Schoen, Pieter-Jan; Sims, David W.; Tinker, Jonathan; Genner, Martin J.</t>
  </si>
  <si>
    <t>Future fish distributions constrained by depth in warming seas</t>
  </si>
  <si>
    <t>NATURE CLIMATE CHANGE</t>
  </si>
  <si>
    <t>CLIMATE-CHANGE; OCEAN; BIODIVERSITY; ASSEMBLAGE; RESPONSES; IMPACT</t>
  </si>
  <si>
    <t>European continental shelf seas have experienced intense warming over the past 30 years(1). In the North Sea, fish have been comprehensively monitored throughout this period and resulting data provide a unique record of changes in distribution and abundance in response to climate change(2,3). We use these data to demonstrate the remarkable power of generalized additive models (GAMs), trained on data earlier in the time series, to reliably predict trends in distribution and abundance in later years. Then, challenging process-based models that predict substantial and ongoing poleward shifts of cold-water species(4,5), we find that GAMs coupled with climate projections predict future distributions of demersal (bottom-dwelling) fish species over the next 50 years will be strongly constrained by availability of habitat of suitable depth. This will lead to pronounced changes in community structure, species interactions and commercial fisheries, unless individual acclimation or population-level evolutionary adaptations enable fish to tolerate warmer conditions or move to previously uninhabitable locations.</t>
  </si>
  <si>
    <t>[Rutterford, Louise A.; Simpson, Stephen D.] Univ Exeter, Coll Life &amp; Environm Sci, Biosci, Exeter EX4 4QD, Devon, England; [Rutterford, Louise A.; Genner, Martin J.] Univ Bristol, Sch Biol Sci, Bristol BS8 1TQ, Avon, England; [Rutterford, Louise A.; Jennings, Simon] Ctr Environm Fisheries &amp; Aquaculture Sci Cefas, Lowestoft Lab, Lowestoft NR33 0HT, Suffolk, England; [Jennings, Simon] Univ E Anglia, Sch Environm Sci, Norwich NR4 7TJ, Norfolk, England; [Johnson, Mark P.] Natl Univ Ireland Galway, Ryan Inst, Galway, Ireland; [Blanchard, Julia L.] Univ Tasmania, Inst Marine &amp; Antarctic Studies, Hobart, Tas, Australia; [Schoen, Pieter-Jan] Agri Food &amp; Biosci Inst, Belfast BT9 5PX, Antrim, North Ireland; [Sims, David W.] Marine Biol Assoc UK, Lab, Plymouth PL1 2PB, Devon, England; [Sims, David W.] Univ Southampton, Natl Oceanog Ctr Southampton, Ocean &amp; Earth Sci, Southampton SO17 1BJ, Hants, England; [Sims, David W.] Univ Southampton, Ctr Biol Sci, Southampton SO17 1BJ, Hants, England; [Tinker, Jonathan] Hadley Ctr, Met Off, Exeter EX1 3PB, Devon, England</t>
  </si>
  <si>
    <t>University of Exeter; University of Bristol; Centre for Environment Fisheries &amp; Aquaculture Science; University of East Anglia; Ollscoil na Gaillimhe-University of Galway; University of Tasmania; Agri-Food &amp; Biosciences Institute; Marine Biological Association United Kingdom; University of Southampton; NERC National Oceanography Centre; University of Southampton; Met Office - UK; Hadley Centre</t>
  </si>
  <si>
    <t>Simpson, SD (corresponding author), Univ Exeter, Coll Life &amp; Environm Sci, Biosci, Stocker Rd, Exeter EX4 4QD, Devon, England.</t>
  </si>
  <si>
    <t>S.Simpson@exeter.ac.uk</t>
  </si>
  <si>
    <t>Johnson, Mark/W-4226-2019; Blanchard, Julia L/E-4919-2010; Jennings, Simon/F-5085-2012</t>
  </si>
  <si>
    <t>Johnson, Mark/0000-0002-5078-1410; Simpson, Stephen/0000-0002-4856-6164; Jennings, Simon/0000-0002-2390-7225; Blanchard, Julia/0000-0003-0532-4824</t>
  </si>
  <si>
    <t>Natural Environment Research Council (NERC)/Department for Environment food and Rural Affairs (Debra) Sustainable Marine Bioresources award [NE/F001878/1]; NERC KE Fellowship [NE/J500616/2]; NERC-Cefas CASE PhD Studentship [NE/L501669/1]; Great Western Research; Defra; NERC; Worshipful Company of Fishmongers; Marine Biological association; Natural Environment Research Council [NE/F001878/1] Funding Source: researchfish; NERC [mba010005] Funding Source: UKRI</t>
  </si>
  <si>
    <t>Natural Environment Research Council (NERC)/Department for Environment food and Rural Affairs (Debra) Sustainable Marine Bioresources award; NERC KE Fellowship; NERC-Cefas CASE PhD Studentship; Great Western Research; Defra(Department for Environment, Food &amp; Rural Affairs (DEFRA)); NERC(UK Research &amp; Innovation (UKRI)Natural Environment Research Council (NERC)); Worshipful Company of Fishmongers; Marine Biological association(UK Research &amp; Innovation (UKRI)Biotechnology and Biological Sciences Research Council (BBSRC)); Natural Environment Research Council(UK Research &amp; Innovation (UKRI)Natural Environment Research Council (NERC)); NERC(UK Research &amp; Innovation (UKRI)Natural Environment Research Council (NERC))</t>
  </si>
  <si>
    <t>We thank staff of the Centre for Environment, Fisheries and Aquaculture Science UK (Cefas) and all contributors to the International Council for the Exploration of the Sea (ICES) International Bottom Trawl Survey (IBTS) for collecting and providing survey data. We thank S. Vaz for training in GAM modelling in R and D. Maxwell for statistical guidance. This work was supported by a Natural Environment Research Council (NERC)/Department for Environment food and Rural Affairs (Debra) Sustainable Marine Bioresources award (NE/F001878/1), with additional support from a NERC KE Fellowship (S.D.S.; NE/J500616/2), NERC-Cefas CASE PhD Studentship (L.A.R.; NE/L501669/1), Great Western Research (M.J.G.), Defra (S.J. and J.L.B), NERC Oceans 2025 (M.J.G. and D.W.S), The Worshipful Company of Fishmongers (D.W.S), and a Marine Biological association Senior Research Fellowship (D.W.S.).</t>
  </si>
  <si>
    <t>1758-678X</t>
  </si>
  <si>
    <t>1758-6798</t>
  </si>
  <si>
    <t>NAT CLIM CHANGE</t>
  </si>
  <si>
    <t>Nat. Clim. Chang.</t>
  </si>
  <si>
    <t>10.1038/nclimate2607</t>
  </si>
  <si>
    <t>Environmental Sciences; Environmental Studies; Meteorology &amp; Atmospheric Sciences</t>
  </si>
  <si>
    <t>CL2YR</t>
  </si>
  <si>
    <t>WOS:000356814800034</t>
  </si>
  <si>
    <t>Kidston, J; Scaife, AA; Hardiman, SC; Mitchell, DM; Butchart, N; Baldwin, MP; Gray, LJ</t>
  </si>
  <si>
    <t>Kidston, Joseph; Scaife, Adam A.; Hardiman, Steven C.; Mitchell, Daniel M.; Butchart, Neal; Baldwin, Mark P.; Gray, Lesley J.</t>
  </si>
  <si>
    <t>Stratospheric influence on tropospheric jet streams, storm tracks and surface weather</t>
  </si>
  <si>
    <t>SOUTHERN ANNULAR MODE; NORTH-ATLANTIC OSCILLATION; ZONAL FLOW FEEDBACK; ARCTIC OSCILLATION; CLIMATE VARIABILITY; POLAR VORTEX; SOLAR VARIABILITY; SUDDEN WARMINGS; OZONE DEPLETION; ANTARCTIC OZONE</t>
  </si>
  <si>
    <t>A powerful influence on the weather that we experience on the ground can be exerted by the stratosphere. This highly stratified layer of Earth's atmosphere is found 10 to 50 kilometres above the surface and therefore above the weather systems that develop in the troposphere, the lowest layer of the atmosphere. The troposphere is dynamically coupled to fluctuations in the speed of the circumpolar westerly jet that forms in the winter stratosphere: a strengthening circumpolar jet causes a poleward shift in the storm tracks and tropospheric jet stream, whereas a weakening jet causes a shift towards the equator. Following a weakening of the stratospheric jet, impacts on the surface weather include a higher likelihood of extremely low temperature over northern Europe and the eastern USA. Eddy feedbacks in the troposphere amplify the surface impacts, but the mechanisms underlying these dynamics are not fully understood. The same dynamical relationships act at very different timescales, ranging from daily variations to longer-term climate trends, suggesting a single unifying mechanism across timescales. Ultimately, an improved understanding of the dynamical links between the stratosphere and troposphere is expected to lead to improved confidence in both long-range weather forecasts and climate change projections.</t>
  </si>
  <si>
    <t>[Scaife, Adam A.; Hardiman, Steven C.; Butchart, Neal] Met Off, Met Off Hadley Ctr, Exeter EX1 3PB, Devon, England; [Mitchell, Daniel M.; Gray, Lesley J.] Univ Oxford, Dept Phys, Oxford OX1 3PU, England; [Baldwin, Mark P.] Univ Exeter, Exeter EX4 4QH, Devon, England</t>
  </si>
  <si>
    <t>Met Office - UK; Hadley Centre; University of Oxford; University of Exeter</t>
  </si>
  <si>
    <t>Butchart, N (corresponding author), Met Off, Met Off Hadley Ctr, FitzRoy Rd, Exeter EX1 3PB, Devon, England.</t>
  </si>
  <si>
    <t>neal.butchart@metoffice.gov.uk</t>
  </si>
  <si>
    <t>Gray, Lesley J/D-3610-2009; Hardiman, Steven/HDO-0165-2022; Mitchell, Daniel/U-6509-2018</t>
  </si>
  <si>
    <t>Mitchell, Daniel/0000-0002-0117-3486; Gray, Lesley/0000-0002-7803-9277</t>
  </si>
  <si>
    <t>Australian Research Council Discovery Early Career Research Award ARC [DE120102645]; Australian Research Council Centre of Excellence in Climate System Science; Joint UK DECC/Defra Met Office Hadley Centre Climate Programme [GA01101]; Australian Research Council [DE120102645] Funding Source: Australian Research Council; Natural Environment Research Council [NE/M006123/1] Funding Source: researchfish; NERC [NE/M006123/1, NE/M005828/1] Funding Source: UKRI</t>
  </si>
  <si>
    <t>Australian Research Council Discovery Early Career Research Award ARC(Australian Research Council); Australian Research Council Centre of Excellence in Climate System Science(Australian Research Council); Joint UK DECC/Defra Met Office Hadley Centre Climate Programme; Australian Research Council(Australian Research Council); Natural Environment Research Council(UK Research &amp; Innovation (UKRI)Natural Environment Research Council (NERC)); NERC(UK Research &amp; Innovation (UKRI)Natural Environment Research Council (NERC))</t>
  </si>
  <si>
    <t>J.K. was partly supported by the Australian Research Council Discovery Early Career Research Award ARC DE120102645, and the Australian Research Council Centre of Excellence in Climate System Science. The work of A.A.S., S.C.H. and N.B. was supported by the Joint UK DECC/Defra Met Office Hadley Centre Climate Programme (GA01101). All the authors thank E. Gerber for his thought-provoking and constructive comments on earlier versions of the manuscript. The generous assistance of S. Osprey and S. Ineson with the redrawing of Figs 1 and 2, respectively, is gratefully acknowledged. Thanks also to J. Arblaster, C. Cagnazzo, M. Machin, T. Reichler, and D. Thompson.</t>
  </si>
  <si>
    <t>10.1038/NGEO2424</t>
  </si>
  <si>
    <t>CJ1IE</t>
  </si>
  <si>
    <t>WOS:000355236500013</t>
  </si>
  <si>
    <t>Whittaker, JM; Afonso, JC; Masterton, S; Mueller, RD; Wessel, P; Williams, SE; Seton, M</t>
  </si>
  <si>
    <t>Whittaker, J. M.; Afonso, J. C.; Masterton, S.; Mueller, R. D.; Wessel, P.; Williams, S. E.; Seton, M.</t>
  </si>
  <si>
    <t>Long-term interaction between mid-ocean ridges and mantle plumes</t>
  </si>
  <si>
    <t>MIGRATION; CONVECTION; HOTSPOTS; BASALTS; BENEATH; PLATES</t>
  </si>
  <si>
    <t>Plate tectonic motions are commonly considered to be driven by slab pull at subduction zones and ridge push at mid-ocean ridges, with motion punctuated by plumes of hot material rising from the lower mantle(1,2). Within this model, the geometry and location of mid-ocean ridges are considered to be independent of lower-mantle dynamics, such as deeply sourced plumes that produce voluminous lava eruptions-termed large igneous provinces(2). Here we use a global plate model(3) to reconstruct the locations of large igneous provinces relative to plumes and mid-ocean ridges at the time they formed. We find that large igneous provinces repeatedly formed at specific locations where mid-ocean ridges and plumes interact. We calculate how much mantle material was converted to oceanic lithosphere at the mid-ocean ridges and find that slowly migrating ridge systems that have been stabilized by upwelling plumes have extracted large volumes of material from the same part of the upper mantle over periods up to 180 million years. The geochemical signatures of mid-ocean ridge basalts and seismic tomographic data show that upper-mantle temperatures are elevated at significant distances from ridge-plume interactions, indicating a far-field, indirect influence of plume-ridge interactions on the upper-mantle structure. We conclude that strong feedbacks exist between the dynamics of slowly migrating ridges and deeply sourced plumes.</t>
  </si>
  <si>
    <t>[Whittaker, J. M.] Univ Tasmania, Inst Marine &amp; Antarctic Studies, Hobart, Tas 7001, Australia; [Afonso, J. C.] Macquarie Univ, Sydney, NSW 2109, Australia; [Masterton, S.] Univ Leeds, Leeds LS2 9JT, W Yorkshire, England; [Mueller, R. D.; Williams, S. E.; Seton, M.] Univ Sydney, Sch Geosci, Sydney, NSW 2006, Australia; [Wessel, P.] Univ Hawaii, Sch Ocean &amp; Earth Sci &amp; Technol, Honolulu, HI 96822 USA</t>
  </si>
  <si>
    <t>University of Tasmania; Macquarie University; University of Leeds; University of Sydney; University of Hawaii System</t>
  </si>
  <si>
    <t>Whittaker, JM (corresponding author), Univ Tasmania, Inst Marine &amp; Antarctic Studies, Hobart, Tas 7001, Australia.</t>
  </si>
  <si>
    <t>jo.whittaker@utas.edu.au</t>
  </si>
  <si>
    <t>Müller, Dietmar/L-1200-2019; Seton, Maria/H-8272-2013; Whittaker, Joanne/B-3695-2010</t>
  </si>
  <si>
    <t>Müller, Dietmar/0000-0002-3334-5764; Seton, Maria/0000-0001-8541-1367; Whittaker, Joanne/0000-0002-3170-3935; Williams, Simon/0000-0003-4670-8883; Afonso, Juan/0000-0001-9938-6692</t>
  </si>
  <si>
    <t>ARC [DE140100376, FL0992245, DP120102372, DP0987713]; Statoil; University of Sydney International Visiting Research Fellowship; Australian Research Council [DE140100376] Funding Source: Australian Research Council</t>
  </si>
  <si>
    <t>ARC(Australian Research Council); Statoil; University of Sydney International Visiting Research Fellowship(University of Sydney); Australian Research Council(Australian Research Council)</t>
  </si>
  <si>
    <t>The figures in this paper were created using GPlates, GMT, ArcGIS and Matlab. J.M.W. was supported by ARC grant DE140100376. S.E.W. and R.D.M. were supported by ARC grant FL0992245. The work of J.C.A. was supported by ARC grant DP120102372. This is contribution 608 from the ARC CoE CCFS (http://www.ccfs.mq.edu.au). M.S. was supported by ARC grant DP0987713. J.M.W. and M.S. acknowledge the support of Statoil. P.W. was supported by a University of Sydney International Visiting Research Fellowship.</t>
  </si>
  <si>
    <t>U84</t>
  </si>
  <si>
    <t>10.1038/NGEO2437</t>
  </si>
  <si>
    <t>WOS:000355236500023</t>
  </si>
  <si>
    <t>Wilson, DJ; Piotrowski, AM; Galy, A; Banakar, VK</t>
  </si>
  <si>
    <t>Wilson, David J.; Piotrowski, Alexander M.; Galy, Albert; Banakar, Virupaxa K.</t>
  </si>
  <si>
    <t>Interhemispheric controls on deep ocean circulation and carbon chemistry during the last two glacial cycles</t>
  </si>
  <si>
    <t>Circumpolar Deep Water; glaciation; orbital forcing; ocean circulation; carbon cycle; neodymium isotopes</t>
  </si>
  <si>
    <t>MERIDIONAL OVERTURNING CIRCULATION; NEODYMIUM ISOTOPIC COMPOSITION; SOUTHERN-OCEAN; NORTH-ATLANTIC; ATMOSPHERIC CO2; WATER FORMATION; SEA SEDIMENTS; INDIAN-OCEAN; ND-ISOTOPES; GRAIN-SIZE</t>
  </si>
  <si>
    <t>Changes in ocean circulation structure, together with biological cycling, have been proposed for trapping carbon in the deep ocean during glacial periods of the Late Pleistocene, but uncertainty remains in the nature and timing of deep ocean circulation changes through glacial cycles. In this study, we use neodymium (Nd) and carbon isotopes from a deep Indian Ocean sediment core to reconstruct water mass mixing and carbon cycling in Circumpolar Deep Water over the past 250 thousand years, a period encompassing two full glacial cycles and including a range of orbital forcing. Building on recent studies, we use reductive sediment leaching supported by measurements on isolated phases (foraminifera and fish teeth) in order to obtain a robust seawater Nd isotope reconstruction. Neodymium isotopes record a changing North Atlantic Deep Water (NADW) component in the deep Indian Ocean that bears a striking resemblance to Northern Hemisphere climate records. In particular, we identify both an approximately in-phase link to Northern Hemisphere summer insolation in the precession band and a longer-term reduction of NADW contributions over the course of glacial cycles. The orbital timescale changes may record the influence of insolation forcing, for example via NADW temperature and/or Antarctic sea ice extent, on deep stratification and mixing in the Southern Ocean, leading to isolation of the global deep oceans from an NADW source during times of low Northern Hemisphere summer insolation. That evidence could support an active role for changing deep ocean circulation in carbon storage during glacial inceptions. However, mid-depth water mass mixing and deep ocean carbon storage were largely decoupled within glacial periods, and a return to an interglacial-like circulation state during marine isotope stage (MIS) 6.5 was accompanied by only minor changes in atmospheric CO2. Although a gradual reduction of NADW export through glacial periods may have produced slow climate feedbacks linked to the growth of Northern Hemisphere ice sheets, carbon cycling in the glacial ocean was instead more strongly linked to Southern Ocean processes.</t>
  </si>
  <si>
    <t>[Wilson, David J.; Piotrowski, Alexander M.; Galy, Albert] Univ Cambridge, Dept Earth Sci, Godwin Lab Palaeoclimate Res, Cambridge CB2 3EQ, England; [Wilson, David J.] Univ London Imperial Coll Sci Technol &amp; Med, Dept Earth Sci &amp; Engn, London, England; [Galy, Albert] Univ Lorraine, CNRS, CRPG, Vandoeuvre Les Nancy, France; [Banakar, Virupaxa K.] Natl Inst Oceanog, Panaji, India</t>
  </si>
  <si>
    <t>University of Cambridge; Imperial College London; Universite de Lorraine; Centre National de la Recherche Scientifique (CNRS); Council of Scientific &amp; Industrial Research (CSIR) - India; CSIR - National Institute of Oceanography (NIO)</t>
  </si>
  <si>
    <t>Wilson, DJ (corresponding author), Univ Cambridge, Dept Earth Sci, Godwin Lab Palaeoclimate Res, Cambridge CB2 3EQ, England.</t>
  </si>
  <si>
    <t>david.wilson1@imperial.ac.uk</t>
  </si>
  <si>
    <t>Wilson, David/ITV-6768-2023; Galy, Albert/A-8518-2011; Wilson, David/AAA-9939-2019; Galy, Albert/M-3101-2019</t>
  </si>
  <si>
    <t>Wilson, David/0000-0003-2786-4688; Galy, Albert/0000-0001-9978-4287; Wilson, David/0000-0003-2786-4688; Galy, Albert/0000-0001-9978-4287</t>
  </si>
  <si>
    <t>NERC [NE/F006047/1, RG50124]; NERC [NE/F006047/1] Funding Source: UKRI; Natural Environment Research Council [NE/F006047/1] Funding Source: researchfish</t>
  </si>
  <si>
    <t>Data to support this article are provided in Tables S1-S6 of the supporting information. We thank Jo Clegg, Jason Day, Linda Booth, Mike Hall, and James Rolfe for laboratory support, and Harry Elderfield for helpful comments on an earlier version of the manuscript. We are also grateful to Jimin Yu, Chris Charles, and anonymous reviewers for their detailed comments and suggestions that helped us to improve the manuscript. This study was supported by a NERC studentship to D.J.W. and NERC grant NE/F006047/1, RG50124 to A.M.P./A.G.</t>
  </si>
  <si>
    <t>10.1002/2014PA002707</t>
  </si>
  <si>
    <t>Green Published, Green Submitted</t>
  </si>
  <si>
    <t>WOS:000358041400004</t>
  </si>
  <si>
    <t>Dehnhard, N; Eens, M; Demongin, L; Quillfeldt, P; Poisbleau, M</t>
  </si>
  <si>
    <t>Dehnhard, Nina; Eens, Marcel; Demongin, Laurent; Quillfeldt, Petra; Poisbleau, Maud</t>
  </si>
  <si>
    <t>Individual Consistency and Phenotypic Plasticity in Rockhopper Penguins: Female but Not Male Body Mass Links Environmental Conditions to Reproductive Investment</t>
  </si>
  <si>
    <t>LONG-TERM REPEATABILITY; EUDYPTES-C.-CHRYSOCOME; SOUTHERN ANNULAR MODE; FOOD AVAILABILITY; ANTARCTIC PENINSULA; BREEDING PHENOLOGY; METABOLIC-RATE; CLIMATE-CHANGE; MARION ISLAND; EGG MASS</t>
  </si>
  <si>
    <t>In marine habitats, increasing ocean temperatures due to global climate change may distinctly reduce nutrient and consequently food availability for seabirds. Food availability is a known driver of body mass and reproductive investment in birds, but these traits may also depend on individual effects. Penguins show extreme intra-annual body mass variation and rely on accumulated body reserves for successful breeding. However, no study so far has tested individual consistency and phenotypic responses in body mass and reproductive investment in this taxon. Using a unique dataset on individually marked female and male southern rockhopper penguins (Eudyptes chrysocome chrysocome) across six years, we investigated 1) the individual consistency in body mass (measured at egg laying), body condition and reproductive investment across years, subsequently 2) identified the best-explanatory temperature-related environmental variables for female and male body mass, and 3) tested the effect of female and male body mass on reproductive investment. Body mass, body condition and reproductive investment were all highly repeatable. As body condition should control for the structural size of the birds, the similarly high repeatability estimates for body mass and body condition suggested that the consistent between-individual body mass differences were independent of structural size. This supported the use of body mass for the subsequent analyses. Body mass was higher under colder environmental conditions (positive Southern Annular Mode), but the overall phenotypic response appeared limited. Reproductive investment increased with female but not male body mass. While environmental effects on body mass in our study period were rather small, one can expect that ongoing global climate change will lead to a deterioration of food availability and we might therefore in the long-term expect a phenotypical decline in body mass and reproductive investment.</t>
  </si>
  <si>
    <t>[Dehnhard, Nina; Eens, Marcel; Demongin, Laurent; Poisbleau, Maud] Univ Antwerp, Dept Biol Ethol, Antwerp, Belgium; [Dehnhard, Nina; Demongin, Laurent; Quillfeldt, Petra; Poisbleau, Maud] Max Planck Inst Ornithol, Dept Migrat &amp; Immunoecol, Radolfzell am Bodensee, Germany; [Dehnhard, Nina; Demongin, Laurent; Quillfeldt, Petra; Poisbleau, Maud] Univ Konstanz, Dept Biol, Constance, Germany; [Quillfeldt, Petra] Univ Giessen, Dept Anim Ecol &amp; Systemat, D-35390 Giessen, Germany</t>
  </si>
  <si>
    <t>University of Antwerp; Max Planck Society; University of Konstanz; Justus Liebig University Giessen</t>
  </si>
  <si>
    <t>Dehnhard, N (corresponding author), Univ Antwerp, Dept Biol Ethol, Campus Drie Eiken,Univ Pl 1, Antwerp, Belgium.</t>
  </si>
  <si>
    <t>nina.dehnhard@uantwerpen.be</t>
  </si>
  <si>
    <t>Dehnhard, Nina/H-6160-2016; Quillfeldt, Petra/A-9549-2009; Eens, Marcel/AAC-8466-2020; Poisbleau, Maud/B-9968-2014</t>
  </si>
  <si>
    <t>Dehnhard, Nina/0000-0002-4182-2698; Quillfeldt, Petra/0000-0002-4450-8688;</t>
  </si>
  <si>
    <t>FWO Flanders [1.2.619.10.N.00, 1.5.020.11.N.00, 1265414N]; Deutsche Forschungsgemeinschaft DFG [Qu 148/1-ff]; Environmental Studies Budget grant from Falkland Islands Government; University of Antwerp</t>
  </si>
  <si>
    <t>FWO Flanders(FWO); Deutsche Forschungsgemeinschaft DFG(German Research Foundation (DFG)); Environmental Studies Budget grant from Falkland Islands Government; University of Antwerp</t>
  </si>
  <si>
    <t>The authors obtained funding from the University of Antwerp, FWO Flanders (grant numbers: 1.2.619.10.N.00, 1.5.020.11.N.00 and 1265414N), the Deutsche Forschungsgemeinschaft DFG (Qu 148/1-ff) and an Environmental Studies Budget grant from the Falkland Islands Government. The funders had no role in study design, data collection and analyses, decision to publish, or preparation of the manuscript.</t>
  </si>
  <si>
    <t>e0128776</t>
  </si>
  <si>
    <t>10.1371/journal.pone.0128776</t>
  </si>
  <si>
    <t>CL0KF</t>
  </si>
  <si>
    <t>WOS:000356630900190</t>
  </si>
  <si>
    <t>Wei, STS; Higgins, CM; Adriaenssens, EM; Cowan, DA; Pointing, SB</t>
  </si>
  <si>
    <t>Wei, Sean T. S.; Higgins, Colleen M.; Adriaenssens, Evelien M.; Cowan, Don A.; Pointing, Stephen B.</t>
  </si>
  <si>
    <t>Genetic signatures indicate widespread antibiotic resistance and phage infection in microbial communities of the McMurdo Dry Valleys, East Antarctica</t>
  </si>
  <si>
    <t>Antibiotic resistance; Antarctic Dry Valleys; Phage; Trophic controls; Virus</t>
  </si>
  <si>
    <t>DIVERSITY; HOT; MICROORGANISMS; VIRUS; LIFE</t>
  </si>
  <si>
    <t>The McMurdo Dry Valleys of Antarctica support extensive yet cryptic microbial communities but little evidence for 'top-down' herbivory control. A question therefore arises as to how standing microbial biomass is regulated. Here, we present results from a survey of soil and rock microbial community metagenomes using the GeoChip microarray that demonstrate antibiotic resistance and phage infection are widespread. We interrogated a range of dry valley locations from maritime to extreme inland sites. Antibiotic resistance genes were identified in three categories: beta-lactamases, tetracycline and vanomycin plus a range of transporter genes. Frequency of recovery generally reflected microbial diversity, with greatest abundance among Halobacteria, Proteobacteria and the photosynthetic bacteria (Chlorobi, Chloroflexi and Cyanobacteria). However, no clear differences between locations and soil/rock communities were apparent. Phage signals were also recovered from all locations in soil and rock communities. The Leviviridae, Myoviridae, Podoviridae and Siphoviridae were ubiquitous . The Corticoviridae occurred only in moisture-sufficient hyporheic soils, the Microviridae occurred only in maritime and hyporheic sites and an unidentified group within the order Caudovirales occurred only at dry inland sites. We postulate that widespread antibiotic resistance indicates potential inter-specific interaction and that phage signals indicate possible 'bottom-up' trophic regulation in the dry valleys.</t>
  </si>
  <si>
    <t>[Wei, Sean T. S.; Higgins, Colleen M.; Pointing, Stephen B.] Auckland Univ Technol, Inst Appl Ecol New Zealand, Sch Appl Sci, Auckland 1142, New Zealand; [Adriaenssens, Evelien M.; Cowan, Don A.] Univ Pretoria, Ctr Microbial Ecol &amp; Genom, ZA-0002 Pretoria, South Africa; [Pointing, Stephen B.] Univ Waikato, Int Ctr Terr Antarctic Res, Hamilton 3240, New Zealand</t>
  </si>
  <si>
    <t>University of Pretoria; University of Waikato</t>
  </si>
  <si>
    <t>Pointing, SB (corresponding author), Auckland Univ Technol, Inst Appl Ecol New Zealand, Sch Appl Sci, Auckland 1142, New Zealand.</t>
  </si>
  <si>
    <t>steve.pointing@aut.ac.nz</t>
  </si>
  <si>
    <t>Wei, Sean Ting-Shyang/JZC-7873-2024; Cowan, Donald A/E-3991-2012; Adriaenssens, Evelien/E-8004-2013; Pointing, Stephen/JHT-2500-2023</t>
  </si>
  <si>
    <t>Wei, Sean Ting-Shyang/0000-0003-3783-6429; Cowan, Donald A/0000-0001-8059-861X; Adriaenssens, Evelien/0000-0003-4826-5406;</t>
  </si>
  <si>
    <t>10.1007/s00300-015-1649-4</t>
  </si>
  <si>
    <t>WOS:000354806300013</t>
  </si>
  <si>
    <t>Boger, SD; Hirdes, W; Ferreira, CAM; Schulte, B; Jenett, T; Fanning, CM</t>
  </si>
  <si>
    <t>Boger, S. D.; Hirdes, W.; Ferreira, C. A. M.; Schulte, B.; Jenett, T.; Fanning, C. M.</t>
  </si>
  <si>
    <t>Reply to comment by J-L Zhou on From passive margin to volcano-sedimentary forearc: The Tonian to Cryogenian evolution of the Anosyen Domain of southeastern Madagascar by Boger et al. Precambrian Research, Volume 247, July 2014, Pages 159-186</t>
  </si>
  <si>
    <t>Madagascar; Tectonics; Geochemistry; Imorona-Itsindo suite; Cryogenian; Indo-Antarctic craton</t>
  </si>
  <si>
    <t>SOUTHERN INDIA; SRI-LANKA; MAGMATISM; RODINIA; AGE; GEOCHRONOLOGY; CONSTRAINTS; GRANITES; HISTORY; COMPLEX</t>
  </si>
  <si>
    <t>[Boger, S. D.] Univ Melbourne, Sch Earth Sci, Melbourne, Vic 3010, Australia; [Hirdes, W.] Bundesanstalt Geowissensch &amp; Rohstoffe, D-30655 Hannover, Germany; [Ferreira, C. A. M.] GaiaPix, ZA-2123 Pinegowrie, South Africa; [Schulte, B.; Jenett, T.] GAF AG, D-80634 Munich, Germany; [Fanning, C. M.] Australian Natl Univ, Res Sch Earth Sci, Canberra, ACT 0200, Australia</t>
  </si>
  <si>
    <t>University of Melbourne; Melbourne Bioinformatics; Australian National University</t>
  </si>
  <si>
    <t>Boger, SD (corresponding author), Univ Melbourne, Sch Earth Sci, Melbourne, Vic 3010, Australia.</t>
  </si>
  <si>
    <t>sdboger@unimelb.edu.au</t>
  </si>
  <si>
    <t>Fanning, C. Mark/I-6449-2016</t>
  </si>
  <si>
    <t>Boger, Steven/0000-0003-0739-6266</t>
  </si>
  <si>
    <t>10.1016/j.precamres.2015.02.018</t>
  </si>
  <si>
    <t>CF6LC</t>
  </si>
  <si>
    <t>WOS:000352667200010</t>
  </si>
  <si>
    <t>Baltar, F; Stuck, E; Morales, S; Currie, K</t>
  </si>
  <si>
    <t>Baltar, Federico; Stuck, Esther; Morales, Sergio; Currie, Kim</t>
  </si>
  <si>
    <t>Bacterioplankton carbon cycling along the Subtropical Frontal Zone off New Zealand</t>
  </si>
  <si>
    <t>HETEROTROPHIC BACTERIA; CONTINENTAL-SHELF; GROWTH EFFICIENCY; SOUTHLAND CURRENT; OTAGO PENINSULA; SURFACE-WATER; RESPIRATION; IRON; PHYTOPLANKTON; METABOLISM</t>
  </si>
  <si>
    <t>Marine heterotrophic bacterioplankton (Bacteria and Archaea) play a central role in ocean carbon cycling. As such, identifying the factors controlling these microbial populations is crucial to fully understanding carbon fluxes. We studied bacterioplankton activities along a transect crossing three water masses (i.e., Subtropical waters [STW], Sub-Antarctic waters [SAW] and neritic waters [NW]) with contrasting nutrient regimes across the Subtropical Frontal Zone. In contrast to bacterioplankton production and community respiration, bacterioplankton respiration increased in the offshore SAW, causing a seaward increase in the contribution of bacteria to community respiration (from 7% to 100%). Cell-specific bacterioplankton respiration also increased in SAW, but cell-specific production did not, suggesting that prokaryotic cells in SAW were investing more energy towards respiration than growth. This was reflected in a 5-fold decline in bacterioplankton growth efficiency (BGE) towards SAW. One way to explain this decrease in BGE could be due to the observed reduction in phytoplankton biomass (and presumably organic matter concentration) towards SAW. However, this would not explain why bacterioplankton respiration was highest in SAW, where phytoplankton biomass was lowest. Another factor affecting BGE could be the iron limitation characteristic of high-nutrient low-chlorophyll (HNLC) regions like SAW. Our field-study based evidences would agree with previous laboratory experiments in which iron stress provoked a decrease in BGE of marine bacterial isolates. Our results suggest that there is a strong gradient in bacterioplankton carbon cycling rates along the Subtropical Frontal Zone, mainly due to the HNLC conditions of SAW. We suggest that Fe-induced reduction of BGE in HNLC regions like SAW could be relevant in marine carbon cycling, inducing bacterioplankton to act as a link or a sink of organic carbon by impacting on the quantity of organic carbon they incorporate into biomass or respire as CO2. (C) 2015 Elsevier Ltd. All rights reserved.</t>
  </si>
  <si>
    <t>[Baltar, Federico; Stuck, Esther] Univ Otago, Dept Marine Sci, Dunedin 9054, New Zealand; [Morales, Sergio] Univ Otago, Dept Microbiol &amp; Immunol, Dunedin 9054, New Zealand; [Currie, Kim] Univ Otago, Dept Chem, Dunedin 9054, New Zealand</t>
  </si>
  <si>
    <t>University of Otago; University of Otago; University of Otago</t>
  </si>
  <si>
    <t>Baltar, F (corresponding author), Univ Otago, Dept Marine Sci, POB 56, Dunedin 9054, New Zealand.</t>
  </si>
  <si>
    <t>federico.baltar@otago.ac.nz</t>
  </si>
  <si>
    <t>Baltar, Federico/Q-6303-2019; Morales, Sergio/F-5252-2017</t>
  </si>
  <si>
    <t>Baltar, Federico/0000-0001-8907-1494; Morales, Sergio/0000-0002-5862-0726</t>
  </si>
  <si>
    <t>University of Otago Research Grant (UORG)</t>
  </si>
  <si>
    <t>We would like to thank the skippers and crew of the RV Polaris II for their help during the sampling events, and the technical staff at the Portobello Marine Laboratory. FB was supported by an University of Otago Research Grant (UORG).</t>
  </si>
  <si>
    <t>10.1016/j.pocean.2015.05.019</t>
  </si>
  <si>
    <t>CK9HV</t>
  </si>
  <si>
    <t>WOS:000356552100013</t>
  </si>
  <si>
    <t>Martinez, MI; Arribas, LP; Berecoechea, JJ; Brogger, MI; Penchaszadeh, PE</t>
  </si>
  <si>
    <t>Ignacio Martinez, Mariano; Pilar Arribas, Lorena; Jose Berecoechea, Juan; Ignacio Brogger, Martin; Enrique Penchaszadeh, Pablo</t>
  </si>
  <si>
    <t>Echinoderm diversity in the Southwestern Atlantic</t>
  </si>
  <si>
    <t>REVISTA DE BIOLOGIA TROPICAL</t>
  </si>
  <si>
    <t>Echinodermata; biodiversity; B/O Puerto Deseado; Argentine Sea; Antarctica</t>
  </si>
  <si>
    <t>URCHIN LOXECHINUS-ALBUS; MAR-DEL-PLATA; REPRODUCTIVE-CYCLE; ANASTERIAS-MINUTA; ARGENTINE SEA; GOLFO NUEVO; ECHINOIDEA; ASTEROIDEA</t>
  </si>
  <si>
    <t>Studies of biodiversity of echinoderms from South America have increased in recent years. Here we summarize sampling done on three expeditions along the Argentinean coast (35 degrees - 55 degrees S) and near the Antarctic Peninsula. The first campaign, Mejillon II (M-II; 2009), was carried out between 35 degrees - 39 degrees S and covered a depth range between 10 to 140 m. The second was part of the Summer Antarctic Campaign 2011 (CAV-III; 2011) that took place around the Antarctic Peninsula, South Shetland and South Orkney Islands (depth range between 67 to 754 m). The last cruise was the final stretch of the Summer Antarctic Campaign 2011 (CAV-IV; 2011), from 39 degrees - 55 degrees S and between 30 - 140 m depth. As result, 74 stations have been studied, of which 68 had at least one echinoderm specimen. From the total number of stations, the occurrence percentages for each class were Asteroidea (68 %), Echinoidea (64 %), Ophiuroidea (55 %), Holothuroidea (51 %) and Crinoidea (20 %). In the M-II campaign, echinoderms were presented in 94 % of the sampled stations, with Echinoidea most frequent (74 %). In the CAV-III campaign echinoderms were presented in all the stations; Ophiuroidea were found in all stations. The lowest occurrence of echinoderms was found in the CAV-IV campaign (82 %), where Asteroidea was present in the 73 % of the samples, and crinoids were absent.</t>
  </si>
  <si>
    <t>[Ignacio Martinez, Mariano; Pilar Arribas, Lorena; Jose Berecoechea, Juan; Enrique Penchaszadeh, Pablo] Consejo Nacl Invest Cient &amp; Tecn, Lab Ecosistemas Costeros, Museo Argentino Ciencias Nat Bernardino Rivadavia, Buenos Aires, DF, Argentina; [Ignacio Brogger, Martin] Consejo Nacl Invest Cient &amp; Tecn, Ctr Nacl Patagon, Lab Reprod &amp; Biol Integrat Invertebrados Marinos, Puerto Madryn, Argentina</t>
  </si>
  <si>
    <t>Museo Argentino de Ciencias Naturales Bernardino Rivadavia (MACN); Consejo Nacional de Investigaciones Cientificas y Tecnicas (CONICET); Consejo Nacional de Investigaciones Cientificas y Tecnicas (CONICET); Centro Nacional Patagonico (CENPAT)</t>
  </si>
  <si>
    <t>Martinez, MI (corresponding author), Consejo Nacl Invest Cient &amp; Tecn, Lab Ecosistemas Costeros, Museo Argentino Ciencias Nat Bernardino Rivadavia, Buenos Aires, DF, Argentina.</t>
  </si>
  <si>
    <t>mmartinez@macn.gov.ar; lorearribas@yahoo.com.ar; bereco.jj@hotmail.com; mbrogger@bg.fcen.uba.ar; pablopench@gmail.com</t>
  </si>
  <si>
    <t>Penchaszadeh, Pablo/ABB-8472-2021</t>
  </si>
  <si>
    <t>Penchaszadeh, Pablo/0000-0002-2043-8814; Brogger, Martin/0000-0002-1229-5032; Martinez, Mariano/0000-0003-4438-4504</t>
  </si>
  <si>
    <t>Consejo Nacional de Investigaciones Cientificas y Tecnicas (CONICET) [PIP-0253]; Agencia Nacional de Promocion Cientifica y Tecnologica [PICT 2012-0561, PICT 2013-2504]</t>
  </si>
  <si>
    <t>Consejo Nacional de Investigaciones Cientificas y Tecnicas (CONICET)(Consejo Nacional de Investigaciones Cientificas y Tecnicas (CONICET)); Agencia Nacional de Promocion Cientifica y Tecnologica(ANPCyTSpanish Government)</t>
  </si>
  <si>
    <t>We thank the crew of the B/O Puerto Deseado, and especially to all the participants of the first Latin American Echinoderm Congress (CLE) for providing productive discussions about biogeography and on species diversity and distribution. Authors are members of CONICET. Partial financial support was provided by Consejo Nacional de Investigaciones Cientificas y Tecnicas (CONICET PIP-0253) and by Agencia Nacional de Promocion Cientifica y Tecnologica (PICT 2012-0561 and PICT 2013-2504).</t>
  </si>
  <si>
    <t>SAN JOSE</t>
  </si>
  <si>
    <t>UNIVERSIDAD DE COSTA RICA CIUDAD UNIVERSITARIA, SAN JOSE, 00000, COSTA RICA</t>
  </si>
  <si>
    <t>2215-2075</t>
  </si>
  <si>
    <t>REV BIOL TROP</t>
  </si>
  <si>
    <t>Rev. Biol. Trop.</t>
  </si>
  <si>
    <t>DR6NT</t>
  </si>
  <si>
    <t>WOS:000380019300011</t>
  </si>
  <si>
    <t>Gonzalez-Aravena, M; Perez-Troncoso, C; Urtubia, R; Branco, P; da Silva, JRMC; Mercado, L; De Lorgeril, J; Bethke, J; Paschke, K</t>
  </si>
  <si>
    <t>Gonzalez-Aravena, Marcelo; Perez-Troncoso, Carolina; Urtubia, Rocio; Branco, Paola; Machado Cunha da Silva, Jose Roberto; Mercado, Luis; De Lorgeril, Julien; Bethke, Jorn; Paschke, Kurt</t>
  </si>
  <si>
    <t>Immune response of the Antarctic sea urchin Sterechinus neumayeri: cellular, molecular and physiological approach</t>
  </si>
  <si>
    <t>Sea urchin; Antarctica; Sterechinus neumayeri; coelomocytes; phagocytosis; gene expression</t>
  </si>
  <si>
    <t>ODONTASTER-VALIDUS KOEHLER; IN-VITRO PHAGOCYTOSIS; INCREASING PROTEIN; GENE-EXPRESSION; BINDING-PROTEIN; CELOMOCYTES; TISSUES; CLONING; STRESS; VIVO</t>
  </si>
  <si>
    <t>In the Antarctic marine environment, the water temperature is usually between 2 and - 1.9 degrees C. Consequently, some Antarctic species have lost the capacity to adapt to sudden changes in temperature. The study of the immune response in Antarctic sea urchin (Sterechinus neumayeri) could help us understand the future impacts of global warming on endemic animals in the Antarctic Peninsula. In this study, the Antarctic sea urchins were challenged with lipopolysaccharides and Vibrio alginolitycus. The cellular response was evaluated by the number of coelomocytes and phagocytosis. A significant increase was observed in red sphere cells and total coelomocytes in animals exposed to LPS. A significant rise in phagocytosis in animals stimulated by LPS was also evidenced. Moreover, the gene expression of three immune related genes was measured by qPCR, showing a rapid increase in their expression levels. By contrast, these immune genes showed a depression in their expression by a thermal effect at 5 and 10 degrees C. In addition, during bacterial injection, the oxygen consumption was higher in challenged animals. Our results showed that the immune response in the Antarctic sea urchin may be affected by acute thermal stress and that this immune response has a metabolic cost.</t>
  </si>
  <si>
    <t>[Gonzalez-Aravena, Marcelo; Perez-Troncoso, Carolina; Urtubia, Rocio] Inst Antartico Chileno, Dept Cient, Punta Arenas, Chile; [Branco, Paola; Machado Cunha da Silva, Jose Roberto] Univ Sao Paulo, Inst Ciencias Biomed, Dept Biol Celular &amp; Desenvolvimento, BR-05508 Sao Paulo, Brazil; [Paschke, Kurt] Univ Austral Chile, Inst Acuicultura, Lab Ecofisiol Crustaceos, Valdivia, Chile; [De Lorgeril, Julien] UM 2 IFREMER CNRS, UMR 5119, Ecol Coastal Marine Syst Ecosym, Montpellier, France; [Mercado, Luis; Bethke, Jorn] Pontificia Univ Catolica Valparaiso, Inst Biol, Valparaiso, Chile</t>
  </si>
  <si>
    <t>Universidade de Sao Paulo; Universidad Austral de Chile; Ifremer; Universite de Montpellier; Pontificia Universidad Catolica de Valparaiso</t>
  </si>
  <si>
    <t>Gonzalez-Aravena, M (corresponding author), Inst Antartico Chileno, Dept Cient, Punta Arenas, Chile.</t>
  </si>
  <si>
    <t>mgonzalez@inach.cl; pbranco@usp.br; lmercado@ucv.cl; jdelorgeril@ifremer.fr; kpaschke@uach.cl</t>
  </si>
  <si>
    <t>González, Marcelo/ABF-1450-2020; Silva, J.R.M.C./H-7496-2016; Julien, de Lorgeril/O-7488-2014</t>
  </si>
  <si>
    <t>Silva, J.R.M.C./0000-0002-1687-8526; Mercado, Luis/0000-0003-3883-5188; Bethke, Jorn/0000-0001-7457-4072; Gonzalez, Marcelo/0000-0001-9986-9504; Julien, de Lorgeril/0000-0002-6400-5455</t>
  </si>
  <si>
    <t>Fondecyt Project [11090265]</t>
  </si>
  <si>
    <t>Fondecyt Project(Comision Nacional de Investigacion Cientifica y Tecnologica (CONICYT)CONICYT FONDECYT)</t>
  </si>
  <si>
    <t>This study was supported by the Fondecyt Project 11090265 and logistic support from the Chilean Antarctic Institute (INACH). We thank Elie Poulin, Angie Diaz, Karine Gerard, Luis Miguel Pardo, Ignacio Garrido and Maria Jose Diaz for their diving support.</t>
  </si>
  <si>
    <t>0034-7744</t>
  </si>
  <si>
    <t>WOS:000380019300027</t>
  </si>
  <si>
    <t>de Cárcer, DA; López-Bueno, A; Pearce, DA; Alcamí, A</t>
  </si>
  <si>
    <t>Aguirre de Carcer, Daniel; Lopez-Bueno, Alberto; Pearce, David A.; Alcami, Antonio</t>
  </si>
  <si>
    <t>Biodiversity and distribution of polar freshwater DNA viruses</t>
  </si>
  <si>
    <t>MARINE VIRUSES; PHOTOSYNTHESIS GENES; VIRAL COMMUNITIES; WEB SERVER; DIVERSITY; GENOME; ALIGNMENT; VIROME</t>
  </si>
  <si>
    <t>Viruses constitute the most abundant biological entities and a large reservoir of genetic diversity on Earth. Despite the recent surge in their study, our knowledge on their actual biodiversity and distribution remains sparse. We report the first metagenomic analysis of Arctic freshwater viral DNA communities and a comparative analysis with other freshwater environments. Arctic viromes are dominated by unknown and single-stranded DNA viruses with no close relatives in the database. These unique viral DNA communities mostly relate to each other and present some minor genetic overlap with other environments studied, including an Arctic Ocean virome. Despite common environmental conditions in polar ecosystems, the Arctic and Antarctic DNA viromes differ at the fine-grain genetic level while sharing a similar taxonomic composition. The study uncovers some viral lineages with a bipolar distribution, suggesting a global dispersal capacity for viruses, and seemingly indicates that viruses do not follow the latitudinal diversity gradient known for macroorganisms. Our study sheds light into the global biogeography and connectivity of viral communities.</t>
  </si>
  <si>
    <t>[Aguirre de Carcer, Daniel; Lopez-Bueno, Alberto; Alcami, Antonio] Univ Autonoma Madrid, CSIC, Ctr Biol Mol Severo Ochoa, E-28049 Madrid, Spain; [Pearce, David A.] British Antarctic Survey, Nat Environm Res Council, Cambridge CB3 0ET, England; [Pearce, David A.] Univ Northumbria, Fac Hlth &amp; Life Sci, Newcastle Upon Tyne NE1 8ST, Tyne &amp; Wear, England; [Pearce, David A.] Univ Ctr Svalbard, N-9171 Longyearbyen, Norway</t>
  </si>
  <si>
    <t>Consejo Superior de Investigaciones Cientificas (CSIC); CSIC - Centro de Biologia Molecular Severo Ochoa (CBM); Autonomous University of Madrid; UK Research &amp; Innovation (UKRI); Natural Environment Research Council (NERC); NERC British Antarctic Survey; Northumbria University; University Centre Svalbard (UNIS)</t>
  </si>
  <si>
    <t>Alcamí, A (corresponding author), Univ Autonoma Madrid, CSIC, Ctr Biol Mol Severo Ochoa, E-28049 Madrid, Spain.</t>
  </si>
  <si>
    <t>Aguirre de Carcer, Daniel/C-7000-2011; Alcami, Antonio/F-8512-2015</t>
  </si>
  <si>
    <t>Aguirre de Carcer, Daniel/0000-0003-1104-9566; Pearce, David/0000-0001-5292-4596; Alcami, Antonio/0000-0002-3333-6016; Lopez-Bueno, Alberto/0000-0002-6324-8623</t>
  </si>
  <si>
    <t>Spanish Ministry of Economy and Competitiveness [CTM2011-15091-E/ANT.D.A.d.C.]; Marie Curie International Incoming Fellowship [PIIF-GA-2012-328287]; Ramon y Cajal Fellowship [RYC-2010-06300]; NERC [bas0100035] Funding Source: UKRI; Natural Environment Research Council [bas0100035] Funding Source: researchfish</t>
  </si>
  <si>
    <t>Spanish Ministry of Economy and Competitiveness(Spanish Government); Marie Curie International Incoming Fellowship(European Union (EU)); Ramon y Cajal Fellowship(Spanish Government); NERC(UK Research &amp; Innovation (UKRI)Natural Environment Research Council (NERC)); Natural Environment Research Council(UK Research &amp; Innovation (UKRI)Natural Environment Research Council (NERC))</t>
  </si>
  <si>
    <t>This work was funded by the Spanish Ministry of Economy and Competitiveness grant CTM2011-15091-E/ANT.D.A.d.C.was supported by the Marie Curie International Incoming Fellowship grant PIIF-GA-2012-328287, and A.L.-B. was supported by a Ramon y Cajal Fellowship (RYC-2010-06300).</t>
  </si>
  <si>
    <t>e1400127</t>
  </si>
  <si>
    <t>10.1126/sciadv.1400127</t>
  </si>
  <si>
    <t>V0V4H</t>
  </si>
  <si>
    <t>Green Published, gold, Green Submitted, Green Accepted</t>
  </si>
  <si>
    <t>WOS:000216594600011</t>
  </si>
  <si>
    <t>Cornette, R; Gusev, O; Nakahara, Y; Shimura, S; Kikawada, T; Okuda, T</t>
  </si>
  <si>
    <t>Cornette, Richard; Gusev, Oleg; Nakahara, Yuichi; Shimura, Sachiko; Kikawada, Takahiro; Okuda, Takashi</t>
  </si>
  <si>
    <t>Chironomid Midges (Diptera, Chironomidae) Show Extremely Small Genome Sizes</t>
  </si>
  <si>
    <t>ZOOLOGICAL SCIENCE</t>
  </si>
  <si>
    <t>genome size; C-value; insects; chironomids; ecological adaptation</t>
  </si>
  <si>
    <t>ANTARCTIC MIDGE; DNA-CONTENT; ANHYDROBIOSIS; DEHYDRATION; TOLERANCE; PROTEINS; INSECT; PHYLOGENY; SURVIVE; STRESS</t>
  </si>
  <si>
    <t>Chironomid midges (Diptera; Chironomidae) are found in various environments from the high Arctic to the Antarctic, including temperate and tropical regions. In many freshwater habitats, members of this family are among the most abundant invertebrates. In the present study, the genome sizes of 25 chironomid species were determined by flow cytometry and the resulting C-values ranged from 0.07 to 0.20 pg DNA (i.e. from about 68 to 195 Mbp). These genome sizes were uniformly very small and included, to our knowledge, the smallest genome sizes recorded to date among insects. Small proportion of transposable elements and short intron sizes were suggested to contribute to the reduction of genome sizes in chironomids. We discuss about the possible developmental and physiological advantages of having a small genome size and about putative implications for the ecological success of the family Chironomidae.</t>
  </si>
  <si>
    <t>[Cornette, Richard; Nakahara, Yuichi; Shimura, Sachiko; Kikawada, Takahiro; Okuda, Takashi] Natl Inst Agrobiol Sci, Anhydrobiosis Res Grp, Tsukuba, Ibaraki 3058634, Japan; [Gusev, Oleg; Kikawada, Takahiro] Kazan Fed Univ, Inst Fundamental Biol &amp; Med, Kazan 420008, Russia</t>
  </si>
  <si>
    <t>National Institute of Agrobiological Sciences - Japan; Kazan Federal University</t>
  </si>
  <si>
    <t>Okuda, T (corresponding author), Natl Inst Agrobiol Sci, Anhydrobiosis Res Grp, 1-2 Owashi, Tsukuba, Ibaraki 3058634, Japan.</t>
  </si>
  <si>
    <t>oku@affrc.go.jp</t>
  </si>
  <si>
    <t>Kikawada, Takahiro/A-1289-2010; Gusev, Oleg/D-9383-2011</t>
  </si>
  <si>
    <t>Kikawada, Takahiro/0000-0002-2329-9282; Gusev, Oleg/0000-0002-6203-9758; CORNETTE, Richard/0000-0002-0185-1443</t>
  </si>
  <si>
    <t>NIAS; KAKENHI of the Ministry of Education, Culture, Sports, Science and Technology of Japan [23780055, 23128512]; Russian Science Foundation [N 14-44-00022]; Grants-in-Aid for Scientific Research [23128512, 23780055] Funding Source: KAKEN</t>
  </si>
  <si>
    <t>NIAS; KAKENHI of the Ministry of Education, Culture, Sports, Science and Technology of Japan(Ministry of Education, Culture, Sports, Science and Technology, Japan (MEXT)Japan Society for the Promotion of ScienceGrants-in-Aid for Scientific Research (KAKENHI)); Russian Science Foundation(Russian Science Foundation (RSF)); Grants-in-Aid for Scientific Research(Ministry of Education, Culture, Sports, Science and Technology, Japan (MEXT)Japan Society for the Promotion of ScienceGrants-in-Aid for Scientific Research (KAKENHI))</t>
  </si>
  <si>
    <t>We are grateful to Prof. Koichiro Kawai for providing us some chironomid species and to Mr. Tadashi Kobayashi for species determination. P. tonnoiri samples were collected in Australia under regulation 17 (license number: SF007249) and D. melanogaster strains were kindly provided by the Drosophila Genetic Resource Center in Kyoto Institute of Technology. We extend our gratitude to the Federal Ministry of Environment of Nigeria for permitting research on P. vanderplanki. This work was supported by NIAS and grants-in-aid for the scientific research (KAKENHI No 23780055 &amp; 23128512) of the Ministry of Education, Culture, Sports, Science and Technology of Japan, and partially by Russian Science Foundation grant N 14-44-00022.</t>
  </si>
  <si>
    <t>ZOOLOGICAL SOC JAPAN</t>
  </si>
  <si>
    <t>HONGO MT BUILDING 4F, HONGO 7-2-2, BUNKYO-KU, TOKYO, 113-0033, JAPAN</t>
  </si>
  <si>
    <t>0289-0003</t>
  </si>
  <si>
    <t>ZOOL SCI</t>
  </si>
  <si>
    <t>Zool. Sci.</t>
  </si>
  <si>
    <t>10.2108/zs140166</t>
  </si>
  <si>
    <t>CI9SS</t>
  </si>
  <si>
    <t>WOS:000355110700005</t>
  </si>
  <si>
    <t>Kang, S; Jung, JW; Ahn, DH; Lee, JE; Kim, JH; Park, H</t>
  </si>
  <si>
    <t>Kang, Seunghyun; Jung, Jin-Woo; Ahn, Do Hwan; Lee, Jong Eun; Kim, Jeong-Hoon; Park, Hyun</t>
  </si>
  <si>
    <t>Isolation and characterization of polymorphic microsatellite loci from the chinstrap penguin, Pygoscelis antarctica</t>
  </si>
  <si>
    <t>CONSERVATION GENETICS RESOURCES</t>
  </si>
  <si>
    <t>Pygoscelis antarctica; Pygoscelid; Chinstrap penguin; Microsatellites</t>
  </si>
  <si>
    <t>SOFTWARE</t>
  </si>
  <si>
    <t>Sixteen polymorphic microsatellite loci were isolated and characterized for the chinstrap penguin, Pygoscelis antarctica. The number of alleles per locus ranged from two to nine. The observed and expected heterozygosities ranged from 0.136 to 0.864 and from 0.208 to 0.831, respectively. Cross-species amplification was successful in other penguin species, including Pygoscelis papua, Pygoscelis adelie, and Eudyptes chrysolophus. The microsatellite markers developed in this study can be used in future conservation studies.</t>
  </si>
  <si>
    <t>[Kang, Seunghyun; Jung, Jin-Woo; Ahn, Do Hwan; Kim, Jeong-Hoon; Park, Hyun] Korea Polar Res Inst, Div Polar Life Sci, Inchon 406840, South Korea; [Ahn, Do Hwan; Park, Hyun] Univ Sci &amp; Technol, Polar Sci, Taejon 305333, South Korea; [Lee, Jong Eun] DNA Link Inc, Seoul 138736, South Korea</t>
  </si>
  <si>
    <t>Korea Institute of Ocean Science &amp; Technology (KIOST); Korea Polar Research Institute (KOPRI); DNA Link, Inc.</t>
  </si>
  <si>
    <t>jhkim94@kopri.re.kr; hpark@kopri.re.kr</t>
  </si>
  <si>
    <t>Antarctic Organisms: Cold-adaptation Mechanism - Korea Polar Research Institute [PE15070]</t>
  </si>
  <si>
    <t>Antarctic Organisms: Cold-adaptation Mechanism - Korea Polar Research Institute</t>
  </si>
  <si>
    <t>This work was supported by an Antarctic Organisms: Cold-adaptation Mechanism and Its Application grant (PE15070), funded by the Korea Polar Research Institute.</t>
  </si>
  <si>
    <t>1877-7252</t>
  </si>
  <si>
    <t>1877-7260</t>
  </si>
  <si>
    <t>CONSERV GENET RESOUR</t>
  </si>
  <si>
    <t>Conserv. Genet. Resour.</t>
  </si>
  <si>
    <t>10.1007/s12686-015-0424-8</t>
  </si>
  <si>
    <t>Biodiversity Conservation; Genetics &amp; Heredity</t>
  </si>
  <si>
    <t>Biodiversity &amp; Conservation; Genetics &amp; Heredity</t>
  </si>
  <si>
    <t>CH7JW</t>
  </si>
  <si>
    <t>WOS:000354213300062</t>
  </si>
  <si>
    <t>Barrat, JA; Rouxel, O; Wang, K; Moynier, F; Yamaguchi, A; Bischoff, A; Langlade, J</t>
  </si>
  <si>
    <t>Barrat, J. A.; Rouxel, O.; Wang, K.; Moynier, F.; Yamaguchi, A.; Bischoff, A.; Langlade, J.</t>
  </si>
  <si>
    <t>Early stages of core segregation recorded by Fe isotopes in an asteroidal mantle</t>
  </si>
  <si>
    <t>iron isotopes; achondrite; ureilite; core</t>
  </si>
  <si>
    <t>PRESSURE-TEMPERATURE RELATIONSHIPS; SIDEROPHILE ELEMENTS; UREILITE METEORITES; OXYGEN-ISOTOPE; IRON; FRACTIONATION; ACCRETION; ORIGIN; STYLE; EARTH</t>
  </si>
  <si>
    <t>Ureilite meteorites are achondrites that are debris of the mantle of a now disrupted differentiated asteroid rich in carbon. They provide a unique opportunity to study the differentiation processes of such a body. We analyzed the iron isotopic compositions of 30 samples from the Ureilite Parent Body (UPB) including 29 unbrecciated ureilites and one ureilitic trachyandesite (ALM-A) which is at present the sole large crustal sample of the UPB. The delta Fe-56 of the whole rocks fall within a restricted range, from 0.01 to 0.11 parts per thousand, with an average of +0.056 +/- 0.008 parts per thousand, which is significantly higher than that of chondrites. We show that this difference can be ascribed to the segregation of S-rich metallic melts at low degrees of melting at a temperature close to the Fe-FeS eutectic, and certainly before the onset of the melting of the silicates (&lt;1100 degrees C), in agreement with the marked S depletions, and the siderophile element abundances of the ureilites. These results point to an efficient segregation of S-rich metallic melts during the differentiation of small terrestrial bodies. (C) 2015 Elsevier B.V. All rights reserved.</t>
  </si>
  <si>
    <t>[Barrat, J. A.] Univ Bretagne Occidentale, CNRS, UMR 6538, Inst Univ Europeen Mer, Pl Nicolas Copernic, F-29280 Plouzane, France; [Rouxel, O.] IFREMER, Ctr Brest, F-29280 Plouzane, France; [Wang, K.] Harvard Univ, Dept Earth &amp; Planetary Sci, Cambridge, MA 02138 USA; [Moynier, F.] Univ Paris Diderot, Inst Univ France, Inst Phys Globe Paris, Sorbonne Paris Cite, F-75238 Paris 05, France; [Moynier, F.] Inst Univ France, Paris, France; [Yamaguchi, A.] Natl Inst Polar Res, Tachikawa, Tokyo 1908518, Japan; [Yamaguchi, A.] Grad Univ Adv Sci, Sch Multidisciplinary Sci, Dept Polar Sci, Tachikawa, Tokyo 1908518, Japan; [Bischoff, A.] Univ Munster, Inst Planetol, D-48149 Munster, Germany; [Langlade, J.] CNRS, UMS 3113, IUEM, F-29280 Plouzane, France</t>
  </si>
  <si>
    <t>Centre National de la Recherche Scientifique (CNRS); CNRS - National Institute for Earth Sciences &amp; Astronomy (INSU); Universite de Bretagne Occidentale; Institut Universitaire Europeen de la Mer (IUEM); Ifremer; Harvard University; Universite Paris Cite; Institut Universitaire de France; Institut Universitaire de France; Research Organization of Information &amp; Systems (ROIS); National Institute of Polar Research (NIPR) - Japan; University of Munster; Centre National de la Recherche Scientifique (CNRS); CNRS - National Institute for Earth Sciences &amp; Astronomy (INSU); Universite de Bretagne Occidentale; Institut Universitaire Europeen de la Mer (IUEM)</t>
  </si>
  <si>
    <t>Barrat, JA (corresponding author), Univ Bretagne Occidentale, CNRS, UMR 6538, Inst Univ Europeen Mer, Pl Nicolas Copernic, F-29280 Plouzane, France.</t>
  </si>
  <si>
    <t>barrat@univ-brest.fr</t>
  </si>
  <si>
    <t>Moynier, Frederic/I-2785-2012; Moynier, Frederic/AFL-9257-2022; langlade, jessica/H-3730-2017; Rouxel, Olivier J/F-3954-2014; Moynier, Frederic/AAH-1235-2022; Wang, Kun/AAH-2172-2020; Barrat, Jean Alix/C-8416-2017</t>
  </si>
  <si>
    <t>Moynier, Frederic/0000-0003-4321-5581; langlade, jessica/0000-0002-2095-5272; Rouxel, Olivier J/0000-0002-1431-222X; Moynier, Frederic/0000-0003-4321-5581; Barrat, Jean Alix/0000-0003-3158-3109; Wang, Kun/0000-0003-0691-7058</t>
  </si>
  <si>
    <t>Programme National de Planetologie (CNRS-INSU); NSF; NASA</t>
  </si>
  <si>
    <t>Programme National de Planetologie (CNRS-INSU)(Centre National de la Recherche Scientifique (CNRS)); NSF(National Science Foundation (NSF)); NASA(National Aeronautics &amp; Space Administration (NASA))</t>
  </si>
  <si>
    <t>Many samples analyzed during the course of this study were kindly provided by the National Institute of Polar Research and the NASA meteorite working group.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We thank Bernard Marty for the editorial handling, Hilary Downes, Franck Poitrasson, and an anonymous reviewer for their fast and constructive comments, Albert Jambon, Mathieu Roskosz and Richard Greenwood for discussions, and Pascale Barrat for her help. We gratefully acknowledge the Programme National de Planetologie (CNRS-INSU) for financial support.</t>
  </si>
  <si>
    <t>10.1016/j.epsl.2015.03.026</t>
  </si>
  <si>
    <t>WOS:000353852500009</t>
  </si>
  <si>
    <t>Basak, C; Pahnke, K; Frank, M; Lamy, F; Gersonde, R</t>
  </si>
  <si>
    <t>Basak, Chandranath; Pahnke, Katharina; Frank, Martin; Lamy, Frank; Gersonde, Rainer</t>
  </si>
  <si>
    <t>Neodymium isotopic characterization of Ross Sea Bottom Water and its advection through the southern South Pacific</t>
  </si>
  <si>
    <t>GEOTRACES; neodymium isotopes; rare earth elements; South Pacific; Ross Sea Bottom Water</t>
  </si>
  <si>
    <t>EARTH-ELEMENT CONCENTRATIONS; OCEAN CIRCULATION; GEOTRACES INTERCALIBRATION; ND-ISOTOPES; SEAWATER; DEEP; SECTOR; MASSES; DISTRIBUTIONS; EVOLUTION</t>
  </si>
  <si>
    <t>Since the inception of the international GEOTRACES program, studies investigating the distribution of trace elements and their isotopes in the global ocean have significantly increased. In spite of this large-scale effort, the distribution of neodymium isotopes (Nd-143/Nd-144, epsilon(Nd)) and concentrations ([Nd]) in the high latitude South Pacific is still understudied, specifically north of the Antarctic Polar Front (APF). Here we report dissolved Nd isotopes and concentrations from 11 vertical water column profiles from the South Pacific between South America and New Zealand and across the Antarctic frontal system. Results confirm that Ross Sea Bottom Water (RSBW) is represented by an epsilon(Nd) value of similar to-7, and for the first time show that these Nd characteristics can be traced into the Southeast Pacific until progressive mixing with ambient Lower Circumpolar Deep Water (LCDW) dilutes this signal north of the APP. That is, epsilon(Nd) behaves conservatively in RSBW, opening a path for studies of past RSBW behavior. Neodymium concentrations show low surface concentrations and a linear increase with depth north of the APF. South of the APP, surface [Nd] is high and increases with depth but remains almost constant below similar to 1000 m. This vertical and spatial [Nd] pattern follows the southward shoaling density surfaces of the Southern Ocean and hence suggests supply of Nd to the upper ocean through upwelling of Nd-rich deep water. Low particle abundance due to reduced opal production and seasonal sea ice cover likely contributes to the maintenance of the high upper ocean [Nd] south of the APF. This suggests a dominant lateral transport component on [Nd] and a reduced vertical control on Nd concentrations in the South Pacific south of the APF. (C) 2015 Elsevier B.V. All rights reserved.</t>
  </si>
  <si>
    <t>[Basak, Chandranath; Pahnke, Katharina] Carl von Ossietzky Univ Oldenburg, Max Planck Res Grp Marine Isotope Geochem, Inst Chem &amp; Biol Marine Environm ICBM, D-26129 Oldenburg, Germany; [Frank, Martin] GEOMAR Helmholtz Ctr Ocean Res Kiel, D-24148 Kiel, Germany; [Lamy, Frank; Gersonde, Rainer] Helmholtz Ctr Polar &amp; Marine Res, Alfred Wegener Inst, D-27568 Bremerhaven, Germany</t>
  </si>
  <si>
    <t>Carl von Ossietzky Universitat Oldenburg; Helmholtz Association; GEOMAR Helmholtz Center for Ocean Research Kiel; Helmholtz Association; Alfred Wegener Institute, Helmholtz Centre for Polar &amp; Marine Research</t>
  </si>
  <si>
    <t>Basak, C (corresponding author), Columbia Univ, Lamont Doherty Earth Observ, Palisades, NY 10964 USA.</t>
  </si>
  <si>
    <t>cbasak@ldeo.columbia.edu</t>
  </si>
  <si>
    <t>; Lamy, Frank/H-3611-2014</t>
  </si>
  <si>
    <t>Basak, Chandranath/0000-0002-9410-0074; Lamy, Frank/0000-0001-5952-1765; Frank, Martin/0000-0002-8606-4421; Pahnke, Katharina/0000-0001-9114-8411</t>
  </si>
  <si>
    <t>German Ministry of Education and Research; MPI-Marine Isotope Geochemistry Group at the University of Oldenburg; Max Planck Society; US National Science Foundation (NSF) [OCE07-26575]</t>
  </si>
  <si>
    <t>German Ministry of Education and Research(Federal Ministry of Education &amp; Research (BMBF)); MPI-Marine Isotope Geochemistry Group at the University of Oldenburg; Max Planck Society(Max Planck Society); US National Science Foundation (NSF)(National Science Foundation (NSF))</t>
  </si>
  <si>
    <t>We thank the entire scientific party, and captain and crew of R/V Polarstern expedition ANT-XXVI/2. We acknowledge the German Ministry of Education and Research for financially supporting the research cruise. We are grateful to Mario Molina-Kescher of GEOMAR for his assistance during Nd isotope analyses at GEOMAR facility. We are very thankful for all the support from the members of the MPI-Marine Isotope Geochemistry Group at the University of Oldenburg and would like to specifically mention M. Schulz and P. Boning for their help with smooth running of day to day lab activity and the multi-collector mass spectrometer. Comments from Jorg Rickli, three anonymous reviewers, and editor Gideon Henderson improved the quality of the manuscript. Funding for this project comes from the Max Planck Society and the US National Science Foundation (NSF) grant OCE07-26575 to K.P.</t>
  </si>
  <si>
    <t>10.1016/j.epsl.2015.03.011</t>
  </si>
  <si>
    <t>WOS:000353852500020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</si>
</sst>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98</v>
      </c>
      <c r="AH2">
        <v>12</v>
      </c>
      <c r="AI2">
        <v>12</v>
      </c>
      <c r="AJ2">
        <v>0</v>
      </c>
      <c r="AK2">
        <v>15</v>
      </c>
      <c r="AL2" t="s">
        <v>92</v>
      </c>
      <c r="AM2" t="s">
        <v>93</v>
      </c>
      <c r="AN2" t="s">
        <v>94</v>
      </c>
      <c r="AO2" t="s">
        <v>95</v>
      </c>
      <c r="AP2" t="s">
        <v>96</v>
      </c>
      <c r="AQ2" t="s">
        <v>74</v>
      </c>
      <c r="AR2" t="s">
        <v>77</v>
      </c>
      <c r="AS2" t="s">
        <v>97</v>
      </c>
      <c r="AT2" t="s">
        <v>98</v>
      </c>
      <c r="AU2">
        <v>2015</v>
      </c>
      <c r="AV2">
        <v>761</v>
      </c>
      <c r="AW2">
        <v>1</v>
      </c>
      <c r="AX2" t="s">
        <v>74</v>
      </c>
      <c r="AY2" t="s">
        <v>74</v>
      </c>
      <c r="AZ2" t="s">
        <v>74</v>
      </c>
      <c r="BA2" t="s">
        <v>74</v>
      </c>
      <c r="BB2">
        <v>373</v>
      </c>
      <c r="BC2">
        <v>396</v>
      </c>
      <c r="BD2" t="s">
        <v>74</v>
      </c>
      <c r="BE2" t="s">
        <v>99</v>
      </c>
      <c r="BF2" t="str">
        <f>HYPERLINK("http://dx.doi.org/10.1007/s10750-015-2355-5","http://dx.doi.org/10.1007/s10750-015-2355-5")</f>
        <v>http://dx.doi.org/10.1007/s10750-015-2355-5</v>
      </c>
      <c r="BG2" t="s">
        <v>74</v>
      </c>
      <c r="BH2" t="s">
        <v>74</v>
      </c>
      <c r="BI2">
        <v>24</v>
      </c>
      <c r="BJ2" t="s">
        <v>100</v>
      </c>
      <c r="BK2" t="s">
        <v>101</v>
      </c>
      <c r="BL2" t="s">
        <v>100</v>
      </c>
      <c r="BM2" t="s">
        <v>102</v>
      </c>
      <c r="BN2" t="s">
        <v>74</v>
      </c>
      <c r="BO2" t="s">
        <v>74</v>
      </c>
      <c r="BP2" t="s">
        <v>74</v>
      </c>
      <c r="BQ2" t="s">
        <v>74</v>
      </c>
      <c r="BR2" t="s">
        <v>103</v>
      </c>
      <c r="BS2" t="s">
        <v>104</v>
      </c>
      <c r="BT2" t="str">
        <f>HYPERLINK("https%3A%2F%2Fwww.webofscience.com%2Fwos%2Fwoscc%2Ffull-record%2FWOS:000362964400022","View Full Record in Web of Science")</f>
        <v>View Full Record in Web of Science</v>
      </c>
    </row>
    <row r="3" spans="1:72" x14ac:dyDescent="0.15">
      <c r="A3" t="s">
        <v>72</v>
      </c>
      <c r="B3" t="s">
        <v>105</v>
      </c>
      <c r="C3" t="s">
        <v>74</v>
      </c>
      <c r="D3" t="s">
        <v>74</v>
      </c>
      <c r="E3" t="s">
        <v>74</v>
      </c>
      <c r="F3" t="s">
        <v>106</v>
      </c>
      <c r="G3" t="s">
        <v>74</v>
      </c>
      <c r="H3" t="s">
        <v>74</v>
      </c>
      <c r="I3" t="s">
        <v>107</v>
      </c>
      <c r="J3" t="s">
        <v>77</v>
      </c>
      <c r="K3" t="s">
        <v>74</v>
      </c>
      <c r="L3" t="s">
        <v>74</v>
      </c>
      <c r="M3" t="s">
        <v>78</v>
      </c>
      <c r="N3" t="s">
        <v>79</v>
      </c>
      <c r="O3" t="s">
        <v>74</v>
      </c>
      <c r="P3" t="s">
        <v>74</v>
      </c>
      <c r="Q3" t="s">
        <v>74</v>
      </c>
      <c r="R3" t="s">
        <v>74</v>
      </c>
      <c r="S3" t="s">
        <v>74</v>
      </c>
      <c r="T3" t="s">
        <v>108</v>
      </c>
      <c r="U3" t="s">
        <v>109</v>
      </c>
      <c r="V3" t="s">
        <v>110</v>
      </c>
      <c r="W3" t="s">
        <v>111</v>
      </c>
      <c r="X3" t="s">
        <v>112</v>
      </c>
      <c r="Y3" t="s">
        <v>113</v>
      </c>
      <c r="Z3" t="s">
        <v>114</v>
      </c>
      <c r="AA3" t="s">
        <v>74</v>
      </c>
      <c r="AB3" t="s">
        <v>115</v>
      </c>
      <c r="AC3" t="s">
        <v>116</v>
      </c>
      <c r="AD3" t="s">
        <v>117</v>
      </c>
      <c r="AE3" t="s">
        <v>74</v>
      </c>
      <c r="AF3" t="s">
        <v>74</v>
      </c>
      <c r="AG3">
        <v>59</v>
      </c>
      <c r="AH3">
        <v>70</v>
      </c>
      <c r="AI3">
        <v>78</v>
      </c>
      <c r="AJ3">
        <v>6</v>
      </c>
      <c r="AK3">
        <v>86</v>
      </c>
      <c r="AL3" t="s">
        <v>92</v>
      </c>
      <c r="AM3" t="s">
        <v>93</v>
      </c>
      <c r="AN3" t="s">
        <v>94</v>
      </c>
      <c r="AO3" t="s">
        <v>95</v>
      </c>
      <c r="AP3" t="s">
        <v>96</v>
      </c>
      <c r="AQ3" t="s">
        <v>74</v>
      </c>
      <c r="AR3" t="s">
        <v>77</v>
      </c>
      <c r="AS3" t="s">
        <v>97</v>
      </c>
      <c r="AT3" t="s">
        <v>98</v>
      </c>
      <c r="AU3">
        <v>2015</v>
      </c>
      <c r="AV3">
        <v>761</v>
      </c>
      <c r="AW3">
        <v>1</v>
      </c>
      <c r="AX3" t="s">
        <v>74</v>
      </c>
      <c r="AY3" t="s">
        <v>74</v>
      </c>
      <c r="AZ3" t="s">
        <v>74</v>
      </c>
      <c r="BA3" t="s">
        <v>74</v>
      </c>
      <c r="BB3">
        <v>397</v>
      </c>
      <c r="BC3">
        <v>414</v>
      </c>
      <c r="BD3" t="s">
        <v>74</v>
      </c>
      <c r="BE3" t="s">
        <v>118</v>
      </c>
      <c r="BF3" t="str">
        <f>HYPERLINK("http://dx.doi.org/10.1007/s10750-015-2435-6","http://dx.doi.org/10.1007/s10750-015-2435-6")</f>
        <v>http://dx.doi.org/10.1007/s10750-015-2435-6</v>
      </c>
      <c r="BG3" t="s">
        <v>74</v>
      </c>
      <c r="BH3" t="s">
        <v>74</v>
      </c>
      <c r="BI3">
        <v>18</v>
      </c>
      <c r="BJ3" t="s">
        <v>100</v>
      </c>
      <c r="BK3" t="s">
        <v>101</v>
      </c>
      <c r="BL3" t="s">
        <v>100</v>
      </c>
      <c r="BM3" t="s">
        <v>102</v>
      </c>
      <c r="BN3" t="s">
        <v>74</v>
      </c>
      <c r="BO3" t="s">
        <v>74</v>
      </c>
      <c r="BP3" t="s">
        <v>74</v>
      </c>
      <c r="BQ3" t="s">
        <v>74</v>
      </c>
      <c r="BR3" t="s">
        <v>103</v>
      </c>
      <c r="BS3" t="s">
        <v>119</v>
      </c>
      <c r="BT3" t="str">
        <f>HYPERLINK("https%3A%2F%2Fwww.webofscience.com%2Fwos%2Fwoscc%2Ffull-record%2FWOS:000362964400023","View Full Record in Web of Science")</f>
        <v>View Full Record in Web of Science</v>
      </c>
    </row>
    <row r="4" spans="1:72" x14ac:dyDescent="0.15">
      <c r="A4" t="s">
        <v>72</v>
      </c>
      <c r="B4" t="s">
        <v>120</v>
      </c>
      <c r="C4" t="s">
        <v>74</v>
      </c>
      <c r="D4" t="s">
        <v>74</v>
      </c>
      <c r="E4" t="s">
        <v>74</v>
      </c>
      <c r="F4" t="s">
        <v>121</v>
      </c>
      <c r="G4" t="s">
        <v>74</v>
      </c>
      <c r="H4" t="s">
        <v>74</v>
      </c>
      <c r="I4" t="s">
        <v>122</v>
      </c>
      <c r="J4" t="s">
        <v>77</v>
      </c>
      <c r="K4" t="s">
        <v>74</v>
      </c>
      <c r="L4" t="s">
        <v>74</v>
      </c>
      <c r="M4" t="s">
        <v>78</v>
      </c>
      <c r="N4" t="s">
        <v>79</v>
      </c>
      <c r="O4" t="s">
        <v>74</v>
      </c>
      <c r="P4" t="s">
        <v>74</v>
      </c>
      <c r="Q4" t="s">
        <v>74</v>
      </c>
      <c r="R4" t="s">
        <v>74</v>
      </c>
      <c r="S4" t="s">
        <v>74</v>
      </c>
      <c r="T4" t="s">
        <v>123</v>
      </c>
      <c r="U4" t="s">
        <v>124</v>
      </c>
      <c r="V4" t="s">
        <v>125</v>
      </c>
      <c r="W4" t="s">
        <v>126</v>
      </c>
      <c r="X4" t="s">
        <v>127</v>
      </c>
      <c r="Y4" t="s">
        <v>128</v>
      </c>
      <c r="Z4" t="s">
        <v>129</v>
      </c>
      <c r="AA4" t="s">
        <v>130</v>
      </c>
      <c r="AB4" t="s">
        <v>131</v>
      </c>
      <c r="AC4" t="s">
        <v>132</v>
      </c>
      <c r="AD4" t="s">
        <v>133</v>
      </c>
      <c r="AE4" t="s">
        <v>134</v>
      </c>
      <c r="AF4" t="s">
        <v>74</v>
      </c>
      <c r="AG4">
        <v>31</v>
      </c>
      <c r="AH4">
        <v>15</v>
      </c>
      <c r="AI4">
        <v>15</v>
      </c>
      <c r="AJ4">
        <v>1</v>
      </c>
      <c r="AK4">
        <v>11</v>
      </c>
      <c r="AL4" t="s">
        <v>92</v>
      </c>
      <c r="AM4" t="s">
        <v>93</v>
      </c>
      <c r="AN4" t="s">
        <v>94</v>
      </c>
      <c r="AO4" t="s">
        <v>95</v>
      </c>
      <c r="AP4" t="s">
        <v>96</v>
      </c>
      <c r="AQ4" t="s">
        <v>74</v>
      </c>
      <c r="AR4" t="s">
        <v>77</v>
      </c>
      <c r="AS4" t="s">
        <v>97</v>
      </c>
      <c r="AT4" t="s">
        <v>98</v>
      </c>
      <c r="AU4">
        <v>2015</v>
      </c>
      <c r="AV4">
        <v>761</v>
      </c>
      <c r="AW4">
        <v>1</v>
      </c>
      <c r="AX4" t="s">
        <v>74</v>
      </c>
      <c r="AY4" t="s">
        <v>74</v>
      </c>
      <c r="AZ4" t="s">
        <v>74</v>
      </c>
      <c r="BA4" t="s">
        <v>74</v>
      </c>
      <c r="BB4">
        <v>443</v>
      </c>
      <c r="BC4">
        <v>457</v>
      </c>
      <c r="BD4" t="s">
        <v>74</v>
      </c>
      <c r="BE4" t="s">
        <v>135</v>
      </c>
      <c r="BF4" t="str">
        <f>HYPERLINK("http://dx.doi.org/10.1007/s10750-015-2190-8","http://dx.doi.org/10.1007/s10750-015-2190-8")</f>
        <v>http://dx.doi.org/10.1007/s10750-015-2190-8</v>
      </c>
      <c r="BG4" t="s">
        <v>74</v>
      </c>
      <c r="BH4" t="s">
        <v>74</v>
      </c>
      <c r="BI4">
        <v>15</v>
      </c>
      <c r="BJ4" t="s">
        <v>100</v>
      </c>
      <c r="BK4" t="s">
        <v>101</v>
      </c>
      <c r="BL4" t="s">
        <v>100</v>
      </c>
      <c r="BM4" t="s">
        <v>102</v>
      </c>
      <c r="BN4" t="s">
        <v>74</v>
      </c>
      <c r="BO4" t="s">
        <v>74</v>
      </c>
      <c r="BP4" t="s">
        <v>74</v>
      </c>
      <c r="BQ4" t="s">
        <v>74</v>
      </c>
      <c r="BR4" t="s">
        <v>103</v>
      </c>
      <c r="BS4" t="s">
        <v>136</v>
      </c>
      <c r="BT4" t="str">
        <f>HYPERLINK("https%3A%2F%2Fwww.webofscience.com%2Fwos%2Fwoscc%2Ffull-record%2FWOS:000362964400026","View Full Record in Web of Science")</f>
        <v>View Full Record in Web of Science</v>
      </c>
    </row>
    <row r="5" spans="1:72" x14ac:dyDescent="0.15">
      <c r="A5" t="s">
        <v>72</v>
      </c>
      <c r="B5" t="s">
        <v>137</v>
      </c>
      <c r="C5" t="s">
        <v>74</v>
      </c>
      <c r="D5" t="s">
        <v>74</v>
      </c>
      <c r="E5" t="s">
        <v>74</v>
      </c>
      <c r="F5" t="s">
        <v>138</v>
      </c>
      <c r="G5" t="s">
        <v>74</v>
      </c>
      <c r="H5" t="s">
        <v>74</v>
      </c>
      <c r="I5" t="s">
        <v>139</v>
      </c>
      <c r="J5" t="s">
        <v>140</v>
      </c>
      <c r="K5" t="s">
        <v>74</v>
      </c>
      <c r="L5" t="s">
        <v>74</v>
      </c>
      <c r="M5" t="s">
        <v>78</v>
      </c>
      <c r="N5" t="s">
        <v>79</v>
      </c>
      <c r="O5" t="s">
        <v>74</v>
      </c>
      <c r="P5" t="s">
        <v>74</v>
      </c>
      <c r="Q5" t="s">
        <v>74</v>
      </c>
      <c r="R5" t="s">
        <v>74</v>
      </c>
      <c r="S5" t="s">
        <v>74</v>
      </c>
      <c r="T5" t="s">
        <v>74</v>
      </c>
      <c r="U5" t="s">
        <v>141</v>
      </c>
      <c r="V5" t="s">
        <v>142</v>
      </c>
      <c r="W5" t="s">
        <v>143</v>
      </c>
      <c r="X5" t="s">
        <v>144</v>
      </c>
      <c r="Y5" t="s">
        <v>145</v>
      </c>
      <c r="Z5" t="s">
        <v>146</v>
      </c>
      <c r="AA5" t="s">
        <v>147</v>
      </c>
      <c r="AB5" t="s">
        <v>148</v>
      </c>
      <c r="AC5" t="s">
        <v>149</v>
      </c>
      <c r="AD5" t="s">
        <v>150</v>
      </c>
      <c r="AE5" t="s">
        <v>151</v>
      </c>
      <c r="AF5" t="s">
        <v>74</v>
      </c>
      <c r="AG5">
        <v>39</v>
      </c>
      <c r="AH5">
        <v>17</v>
      </c>
      <c r="AI5">
        <v>20</v>
      </c>
      <c r="AJ5">
        <v>0</v>
      </c>
      <c r="AK5">
        <v>20</v>
      </c>
      <c r="AL5" t="s">
        <v>152</v>
      </c>
      <c r="AM5" t="s">
        <v>153</v>
      </c>
      <c r="AN5" t="s">
        <v>154</v>
      </c>
      <c r="AO5" t="s">
        <v>155</v>
      </c>
      <c r="AP5" t="s">
        <v>156</v>
      </c>
      <c r="AQ5" t="s">
        <v>74</v>
      </c>
      <c r="AR5" t="s">
        <v>157</v>
      </c>
      <c r="AS5" t="s">
        <v>158</v>
      </c>
      <c r="AT5" t="s">
        <v>98</v>
      </c>
      <c r="AU5">
        <v>2015</v>
      </c>
      <c r="AV5">
        <v>65</v>
      </c>
      <c r="AW5" t="s">
        <v>74</v>
      </c>
      <c r="AX5">
        <v>11</v>
      </c>
      <c r="AY5" t="s">
        <v>74</v>
      </c>
      <c r="AZ5" t="s">
        <v>74</v>
      </c>
      <c r="BA5" t="s">
        <v>74</v>
      </c>
      <c r="BB5">
        <v>3900</v>
      </c>
      <c r="BC5">
        <v>3904</v>
      </c>
      <c r="BD5" t="s">
        <v>74</v>
      </c>
      <c r="BE5" t="s">
        <v>159</v>
      </c>
      <c r="BF5" t="str">
        <f>HYPERLINK("http://dx.doi.org/10.1099/ijsem.0.000513","http://dx.doi.org/10.1099/ijsem.0.000513")</f>
        <v>http://dx.doi.org/10.1099/ijsem.0.000513</v>
      </c>
      <c r="BG5" t="s">
        <v>74</v>
      </c>
      <c r="BH5" t="s">
        <v>74</v>
      </c>
      <c r="BI5">
        <v>5</v>
      </c>
      <c r="BJ5" t="s">
        <v>160</v>
      </c>
      <c r="BK5" t="s">
        <v>101</v>
      </c>
      <c r="BL5" t="s">
        <v>160</v>
      </c>
      <c r="BM5" t="s">
        <v>161</v>
      </c>
      <c r="BN5">
        <v>28875916</v>
      </c>
      <c r="BO5" t="s">
        <v>162</v>
      </c>
      <c r="BP5" t="s">
        <v>74</v>
      </c>
      <c r="BQ5" t="s">
        <v>74</v>
      </c>
      <c r="BR5" t="s">
        <v>103</v>
      </c>
      <c r="BS5" t="s">
        <v>163</v>
      </c>
      <c r="BT5" t="str">
        <f>HYPERLINK("https%3A%2F%2Fwww.webofscience.com%2Fwos%2Fwoscc%2Ffull-record%2FWOS:000369637800023","View Full Record in Web of Science")</f>
        <v>View Full Record in Web of Science</v>
      </c>
    </row>
    <row r="6" spans="1:72" x14ac:dyDescent="0.15">
      <c r="A6" t="s">
        <v>72</v>
      </c>
      <c r="B6" t="s">
        <v>164</v>
      </c>
      <c r="C6" t="s">
        <v>74</v>
      </c>
      <c r="D6" t="s">
        <v>74</v>
      </c>
      <c r="E6" t="s">
        <v>74</v>
      </c>
      <c r="F6" t="s">
        <v>165</v>
      </c>
      <c r="G6" t="s">
        <v>74</v>
      </c>
      <c r="H6" t="s">
        <v>74</v>
      </c>
      <c r="I6" t="s">
        <v>166</v>
      </c>
      <c r="J6" t="s">
        <v>167</v>
      </c>
      <c r="K6" t="s">
        <v>74</v>
      </c>
      <c r="L6" t="s">
        <v>74</v>
      </c>
      <c r="M6" t="s">
        <v>78</v>
      </c>
      <c r="N6" t="s">
        <v>79</v>
      </c>
      <c r="O6" t="s">
        <v>74</v>
      </c>
      <c r="P6" t="s">
        <v>74</v>
      </c>
      <c r="Q6" t="s">
        <v>74</v>
      </c>
      <c r="R6" t="s">
        <v>74</v>
      </c>
      <c r="S6" t="s">
        <v>74</v>
      </c>
      <c r="T6" t="s">
        <v>74</v>
      </c>
      <c r="U6" t="s">
        <v>168</v>
      </c>
      <c r="V6" t="s">
        <v>169</v>
      </c>
      <c r="W6" t="s">
        <v>170</v>
      </c>
      <c r="X6" t="s">
        <v>171</v>
      </c>
      <c r="Y6" t="s">
        <v>172</v>
      </c>
      <c r="Z6" t="s">
        <v>173</v>
      </c>
      <c r="AA6" t="s">
        <v>174</v>
      </c>
      <c r="AB6" t="s">
        <v>175</v>
      </c>
      <c r="AC6" t="s">
        <v>176</v>
      </c>
      <c r="AD6" t="s">
        <v>177</v>
      </c>
      <c r="AE6" t="s">
        <v>178</v>
      </c>
      <c r="AF6" t="s">
        <v>74</v>
      </c>
      <c r="AG6">
        <v>14</v>
      </c>
      <c r="AH6">
        <v>15</v>
      </c>
      <c r="AI6">
        <v>16</v>
      </c>
      <c r="AJ6">
        <v>1</v>
      </c>
      <c r="AK6">
        <v>27</v>
      </c>
      <c r="AL6" t="s">
        <v>179</v>
      </c>
      <c r="AM6" t="s">
        <v>180</v>
      </c>
      <c r="AN6" t="s">
        <v>181</v>
      </c>
      <c r="AO6" t="s">
        <v>182</v>
      </c>
      <c r="AP6" t="s">
        <v>183</v>
      </c>
      <c r="AQ6" t="s">
        <v>74</v>
      </c>
      <c r="AR6" t="s">
        <v>184</v>
      </c>
      <c r="AS6" t="s">
        <v>185</v>
      </c>
      <c r="AT6" t="s">
        <v>98</v>
      </c>
      <c r="AU6">
        <v>2015</v>
      </c>
      <c r="AV6">
        <v>9</v>
      </c>
      <c r="AW6">
        <v>11</v>
      </c>
      <c r="AX6" t="s">
        <v>74</v>
      </c>
      <c r="AY6" t="s">
        <v>74</v>
      </c>
      <c r="AZ6" t="s">
        <v>74</v>
      </c>
      <c r="BA6" t="s">
        <v>74</v>
      </c>
      <c r="BB6">
        <v>2537</v>
      </c>
      <c r="BC6">
        <v>2540</v>
      </c>
      <c r="BD6" t="s">
        <v>74</v>
      </c>
      <c r="BE6" t="s">
        <v>186</v>
      </c>
      <c r="BF6" t="str">
        <f>HYPERLINK("http://dx.doi.org/10.1038/ismej.2015.43","http://dx.doi.org/10.1038/ismej.2015.43")</f>
        <v>http://dx.doi.org/10.1038/ismej.2015.43</v>
      </c>
      <c r="BG6" t="s">
        <v>74</v>
      </c>
      <c r="BH6" t="s">
        <v>74</v>
      </c>
      <c r="BI6">
        <v>4</v>
      </c>
      <c r="BJ6" t="s">
        <v>187</v>
      </c>
      <c r="BK6" t="s">
        <v>101</v>
      </c>
      <c r="BL6" t="s">
        <v>188</v>
      </c>
      <c r="BM6" t="s">
        <v>189</v>
      </c>
      <c r="BN6">
        <v>25885562</v>
      </c>
      <c r="BO6" t="s">
        <v>190</v>
      </c>
      <c r="BP6" t="s">
        <v>74</v>
      </c>
      <c r="BQ6" t="s">
        <v>74</v>
      </c>
      <c r="BR6" t="s">
        <v>103</v>
      </c>
      <c r="BS6" t="s">
        <v>191</v>
      </c>
      <c r="BT6" t="str">
        <f>HYPERLINK("https%3A%2F%2Fwww.webofscience.com%2Fwos%2Fwoscc%2Ffull-record%2FWOS:000365091700019","View Full Record in Web of Science")</f>
        <v>View Full Record in Web of Science</v>
      </c>
    </row>
    <row r="7" spans="1:72" x14ac:dyDescent="0.15">
      <c r="A7" t="s">
        <v>72</v>
      </c>
      <c r="B7" t="s">
        <v>192</v>
      </c>
      <c r="C7" t="s">
        <v>74</v>
      </c>
      <c r="D7" t="s">
        <v>74</v>
      </c>
      <c r="E7" t="s">
        <v>74</v>
      </c>
      <c r="F7" t="s">
        <v>193</v>
      </c>
      <c r="G7" t="s">
        <v>74</v>
      </c>
      <c r="H7" t="s">
        <v>74</v>
      </c>
      <c r="I7" t="s">
        <v>194</v>
      </c>
      <c r="J7" t="s">
        <v>195</v>
      </c>
      <c r="K7" t="s">
        <v>74</v>
      </c>
      <c r="L7" t="s">
        <v>74</v>
      </c>
      <c r="M7" t="s">
        <v>78</v>
      </c>
      <c r="N7" t="s">
        <v>79</v>
      </c>
      <c r="O7" t="s">
        <v>74</v>
      </c>
      <c r="P7" t="s">
        <v>74</v>
      </c>
      <c r="Q7" t="s">
        <v>74</v>
      </c>
      <c r="R7" t="s">
        <v>74</v>
      </c>
      <c r="S7" t="s">
        <v>74</v>
      </c>
      <c r="T7" t="s">
        <v>196</v>
      </c>
      <c r="U7" t="s">
        <v>197</v>
      </c>
      <c r="V7" t="s">
        <v>198</v>
      </c>
      <c r="W7" t="s">
        <v>199</v>
      </c>
      <c r="X7" t="s">
        <v>200</v>
      </c>
      <c r="Y7" t="s">
        <v>201</v>
      </c>
      <c r="Z7" t="s">
        <v>202</v>
      </c>
      <c r="AA7" t="s">
        <v>203</v>
      </c>
      <c r="AB7" t="s">
        <v>204</v>
      </c>
      <c r="AC7" t="s">
        <v>205</v>
      </c>
      <c r="AD7" t="s">
        <v>206</v>
      </c>
      <c r="AE7" t="s">
        <v>207</v>
      </c>
      <c r="AF7" t="s">
        <v>74</v>
      </c>
      <c r="AG7">
        <v>39</v>
      </c>
      <c r="AH7">
        <v>40</v>
      </c>
      <c r="AI7">
        <v>45</v>
      </c>
      <c r="AJ7">
        <v>0</v>
      </c>
      <c r="AK7">
        <v>63</v>
      </c>
      <c r="AL7" t="s">
        <v>208</v>
      </c>
      <c r="AM7" t="s">
        <v>209</v>
      </c>
      <c r="AN7" t="s">
        <v>210</v>
      </c>
      <c r="AO7" t="s">
        <v>211</v>
      </c>
      <c r="AP7" t="s">
        <v>212</v>
      </c>
      <c r="AQ7" t="s">
        <v>74</v>
      </c>
      <c r="AR7" t="s">
        <v>213</v>
      </c>
      <c r="AS7" t="s">
        <v>214</v>
      </c>
      <c r="AT7" t="s">
        <v>98</v>
      </c>
      <c r="AU7">
        <v>2015</v>
      </c>
      <c r="AV7">
        <v>84</v>
      </c>
      <c r="AW7">
        <v>6</v>
      </c>
      <c r="AX7" t="s">
        <v>74</v>
      </c>
      <c r="AY7" t="s">
        <v>74</v>
      </c>
      <c r="AZ7" t="s">
        <v>74</v>
      </c>
      <c r="BA7" t="s">
        <v>74</v>
      </c>
      <c r="BB7">
        <v>1490</v>
      </c>
      <c r="BC7">
        <v>1496</v>
      </c>
      <c r="BD7" t="s">
        <v>74</v>
      </c>
      <c r="BE7" t="s">
        <v>215</v>
      </c>
      <c r="BF7" t="str">
        <f>HYPERLINK("http://dx.doi.org/10.1111/1365-2656.12419","http://dx.doi.org/10.1111/1365-2656.12419")</f>
        <v>http://dx.doi.org/10.1111/1365-2656.12419</v>
      </c>
      <c r="BG7" t="s">
        <v>74</v>
      </c>
      <c r="BH7" t="s">
        <v>74</v>
      </c>
      <c r="BI7">
        <v>7</v>
      </c>
      <c r="BJ7" t="s">
        <v>216</v>
      </c>
      <c r="BK7" t="s">
        <v>101</v>
      </c>
      <c r="BL7" t="s">
        <v>217</v>
      </c>
      <c r="BM7" t="s">
        <v>218</v>
      </c>
      <c r="BN7">
        <v>26283625</v>
      </c>
      <c r="BO7" t="s">
        <v>219</v>
      </c>
      <c r="BP7" t="s">
        <v>74</v>
      </c>
      <c r="BQ7" t="s">
        <v>74</v>
      </c>
      <c r="BR7" t="s">
        <v>103</v>
      </c>
      <c r="BS7" t="s">
        <v>220</v>
      </c>
      <c r="BT7" t="str">
        <f>HYPERLINK("https%3A%2F%2Fwww.webofscience.com%2Fwos%2Fwoscc%2Ffull-record%2FWOS:000362741000005","View Full Record in Web of Science")</f>
        <v>View Full Record in Web of Science</v>
      </c>
    </row>
    <row r="8" spans="1:72" x14ac:dyDescent="0.15">
      <c r="A8" t="s">
        <v>72</v>
      </c>
      <c r="B8" t="s">
        <v>221</v>
      </c>
      <c r="C8" t="s">
        <v>74</v>
      </c>
      <c r="D8" t="s">
        <v>74</v>
      </c>
      <c r="E8" t="s">
        <v>74</v>
      </c>
      <c r="F8" t="s">
        <v>222</v>
      </c>
      <c r="G8" t="s">
        <v>74</v>
      </c>
      <c r="H8" t="s">
        <v>74</v>
      </c>
      <c r="I8" t="s">
        <v>223</v>
      </c>
      <c r="J8" t="s">
        <v>224</v>
      </c>
      <c r="K8" t="s">
        <v>74</v>
      </c>
      <c r="L8" t="s">
        <v>74</v>
      </c>
      <c r="M8" t="s">
        <v>78</v>
      </c>
      <c r="N8" t="s">
        <v>79</v>
      </c>
      <c r="O8" t="s">
        <v>74</v>
      </c>
      <c r="P8" t="s">
        <v>74</v>
      </c>
      <c r="Q8" t="s">
        <v>74</v>
      </c>
      <c r="R8" t="s">
        <v>74</v>
      </c>
      <c r="S8" t="s">
        <v>74</v>
      </c>
      <c r="T8" t="s">
        <v>74</v>
      </c>
      <c r="U8" t="s">
        <v>225</v>
      </c>
      <c r="V8" t="s">
        <v>226</v>
      </c>
      <c r="W8" t="s">
        <v>227</v>
      </c>
      <c r="X8" t="s">
        <v>228</v>
      </c>
      <c r="Y8" t="s">
        <v>229</v>
      </c>
      <c r="Z8" t="s">
        <v>230</v>
      </c>
      <c r="AA8" t="s">
        <v>231</v>
      </c>
      <c r="AB8" t="s">
        <v>232</v>
      </c>
      <c r="AC8" t="s">
        <v>233</v>
      </c>
      <c r="AD8" t="s">
        <v>234</v>
      </c>
      <c r="AE8" t="s">
        <v>235</v>
      </c>
      <c r="AF8" t="s">
        <v>74</v>
      </c>
      <c r="AG8">
        <v>28</v>
      </c>
      <c r="AH8">
        <v>8</v>
      </c>
      <c r="AI8">
        <v>11</v>
      </c>
      <c r="AJ8">
        <v>0</v>
      </c>
      <c r="AK8">
        <v>37</v>
      </c>
      <c r="AL8" t="s">
        <v>236</v>
      </c>
      <c r="AM8" t="s">
        <v>209</v>
      </c>
      <c r="AN8" t="s">
        <v>210</v>
      </c>
      <c r="AO8" t="s">
        <v>237</v>
      </c>
      <c r="AP8" t="s">
        <v>238</v>
      </c>
      <c r="AQ8" t="s">
        <v>74</v>
      </c>
      <c r="AR8" t="s">
        <v>239</v>
      </c>
      <c r="AS8" t="s">
        <v>240</v>
      </c>
      <c r="AT8" t="s">
        <v>98</v>
      </c>
      <c r="AU8">
        <v>2015</v>
      </c>
      <c r="AV8">
        <v>46</v>
      </c>
      <c r="AW8">
        <v>6</v>
      </c>
      <c r="AX8" t="s">
        <v>74</v>
      </c>
      <c r="AY8" t="s">
        <v>74</v>
      </c>
      <c r="AZ8" t="s">
        <v>74</v>
      </c>
      <c r="BA8" t="s">
        <v>74</v>
      </c>
      <c r="BB8">
        <v>634</v>
      </c>
      <c r="BC8">
        <v>642</v>
      </c>
      <c r="BD8" t="s">
        <v>74</v>
      </c>
      <c r="BE8" t="s">
        <v>241</v>
      </c>
      <c r="BF8" t="str">
        <f>HYPERLINK("http://dx.doi.org/10.1111/jav.00768","http://dx.doi.org/10.1111/jav.00768")</f>
        <v>http://dx.doi.org/10.1111/jav.00768</v>
      </c>
      <c r="BG8" t="s">
        <v>74</v>
      </c>
      <c r="BH8" t="s">
        <v>74</v>
      </c>
      <c r="BI8">
        <v>9</v>
      </c>
      <c r="BJ8" t="s">
        <v>242</v>
      </c>
      <c r="BK8" t="s">
        <v>101</v>
      </c>
      <c r="BL8" t="s">
        <v>243</v>
      </c>
      <c r="BM8" t="s">
        <v>244</v>
      </c>
      <c r="BN8" t="s">
        <v>74</v>
      </c>
      <c r="BO8" t="s">
        <v>245</v>
      </c>
      <c r="BP8" t="s">
        <v>74</v>
      </c>
      <c r="BQ8" t="s">
        <v>74</v>
      </c>
      <c r="BR8" t="s">
        <v>103</v>
      </c>
      <c r="BS8" t="s">
        <v>246</v>
      </c>
      <c r="BT8" t="str">
        <f>HYPERLINK("https%3A%2F%2Fwww.webofscience.com%2Fwos%2Fwoscc%2Ffull-record%2FWOS:000367687400010","View Full Record in Web of Science")</f>
        <v>View Full Record in Web of Science</v>
      </c>
    </row>
    <row r="9" spans="1:72" x14ac:dyDescent="0.15">
      <c r="A9" t="s">
        <v>72</v>
      </c>
      <c r="B9" t="s">
        <v>247</v>
      </c>
      <c r="C9" t="s">
        <v>74</v>
      </c>
      <c r="D9" t="s">
        <v>74</v>
      </c>
      <c r="E9" t="s">
        <v>74</v>
      </c>
      <c r="F9" t="s">
        <v>248</v>
      </c>
      <c r="G9" t="s">
        <v>74</v>
      </c>
      <c r="H9" t="s">
        <v>74</v>
      </c>
      <c r="I9" t="s">
        <v>249</v>
      </c>
      <c r="J9" t="s">
        <v>250</v>
      </c>
      <c r="K9" t="s">
        <v>74</v>
      </c>
      <c r="L9" t="s">
        <v>74</v>
      </c>
      <c r="M9" t="s">
        <v>78</v>
      </c>
      <c r="N9" t="s">
        <v>79</v>
      </c>
      <c r="O9" t="s">
        <v>74</v>
      </c>
      <c r="P9" t="s">
        <v>74</v>
      </c>
      <c r="Q9" t="s">
        <v>74</v>
      </c>
      <c r="R9" t="s">
        <v>74</v>
      </c>
      <c r="S9" t="s">
        <v>74</v>
      </c>
      <c r="T9" t="s">
        <v>251</v>
      </c>
      <c r="U9" t="s">
        <v>252</v>
      </c>
      <c r="V9" t="s">
        <v>253</v>
      </c>
      <c r="W9" t="s">
        <v>254</v>
      </c>
      <c r="X9" t="s">
        <v>255</v>
      </c>
      <c r="Y9" t="s">
        <v>256</v>
      </c>
      <c r="Z9" t="s">
        <v>257</v>
      </c>
      <c r="AA9" t="s">
        <v>258</v>
      </c>
      <c r="AB9" t="s">
        <v>259</v>
      </c>
      <c r="AC9" t="s">
        <v>260</v>
      </c>
      <c r="AD9" t="s">
        <v>261</v>
      </c>
      <c r="AE9" t="s">
        <v>262</v>
      </c>
      <c r="AF9" t="s">
        <v>74</v>
      </c>
      <c r="AG9">
        <v>66</v>
      </c>
      <c r="AH9">
        <v>42</v>
      </c>
      <c r="AI9">
        <v>44</v>
      </c>
      <c r="AJ9">
        <v>1</v>
      </c>
      <c r="AK9">
        <v>37</v>
      </c>
      <c r="AL9" t="s">
        <v>263</v>
      </c>
      <c r="AM9" t="s">
        <v>264</v>
      </c>
      <c r="AN9" t="s">
        <v>265</v>
      </c>
      <c r="AO9" t="s">
        <v>266</v>
      </c>
      <c r="AP9" t="s">
        <v>267</v>
      </c>
      <c r="AQ9" t="s">
        <v>74</v>
      </c>
      <c r="AR9" t="s">
        <v>268</v>
      </c>
      <c r="AS9" t="s">
        <v>269</v>
      </c>
      <c r="AT9" t="s">
        <v>98</v>
      </c>
      <c r="AU9">
        <v>2015</v>
      </c>
      <c r="AV9">
        <v>28</v>
      </c>
      <c r="AW9">
        <v>22</v>
      </c>
      <c r="AX9" t="s">
        <v>74</v>
      </c>
      <c r="AY9" t="s">
        <v>74</v>
      </c>
      <c r="AZ9" t="s">
        <v>74</v>
      </c>
      <c r="BA9" t="s">
        <v>74</v>
      </c>
      <c r="BB9">
        <v>8825</v>
      </c>
      <c r="BC9">
        <v>8839</v>
      </c>
      <c r="BD9" t="s">
        <v>74</v>
      </c>
      <c r="BE9" t="s">
        <v>270</v>
      </c>
      <c r="BF9" t="str">
        <f>HYPERLINK("http://dx.doi.org/10.1175/JCLI-D-14-00704.1","http://dx.doi.org/10.1175/JCLI-D-14-00704.1")</f>
        <v>http://dx.doi.org/10.1175/JCLI-D-14-00704.1</v>
      </c>
      <c r="BG9" t="s">
        <v>74</v>
      </c>
      <c r="BH9" t="s">
        <v>74</v>
      </c>
      <c r="BI9">
        <v>15</v>
      </c>
      <c r="BJ9" t="s">
        <v>271</v>
      </c>
      <c r="BK9" t="s">
        <v>101</v>
      </c>
      <c r="BL9" t="s">
        <v>271</v>
      </c>
      <c r="BM9" t="s">
        <v>272</v>
      </c>
      <c r="BN9" t="s">
        <v>74</v>
      </c>
      <c r="BO9" t="s">
        <v>74</v>
      </c>
      <c r="BP9" t="s">
        <v>74</v>
      </c>
      <c r="BQ9" t="s">
        <v>74</v>
      </c>
      <c r="BR9" t="s">
        <v>103</v>
      </c>
      <c r="BS9" t="s">
        <v>273</v>
      </c>
      <c r="BT9" t="str">
        <f>HYPERLINK("https%3A%2F%2Fwww.webofscience.com%2Fwos%2Fwoscc%2Ffull-record%2FWOS:000364629500010","View Full Record in Web of Science")</f>
        <v>View Full Record in Web of Science</v>
      </c>
    </row>
    <row r="10" spans="1:72" x14ac:dyDescent="0.15">
      <c r="A10" t="s">
        <v>72</v>
      </c>
      <c r="B10" t="s">
        <v>274</v>
      </c>
      <c r="C10" t="s">
        <v>74</v>
      </c>
      <c r="D10" t="s">
        <v>74</v>
      </c>
      <c r="E10" t="s">
        <v>74</v>
      </c>
      <c r="F10" t="s">
        <v>275</v>
      </c>
      <c r="G10" t="s">
        <v>74</v>
      </c>
      <c r="H10" t="s">
        <v>74</v>
      </c>
      <c r="I10" t="s">
        <v>276</v>
      </c>
      <c r="J10" t="s">
        <v>250</v>
      </c>
      <c r="K10" t="s">
        <v>74</v>
      </c>
      <c r="L10" t="s">
        <v>74</v>
      </c>
      <c r="M10" t="s">
        <v>78</v>
      </c>
      <c r="N10" t="s">
        <v>79</v>
      </c>
      <c r="O10" t="s">
        <v>74</v>
      </c>
      <c r="P10" t="s">
        <v>74</v>
      </c>
      <c r="Q10" t="s">
        <v>74</v>
      </c>
      <c r="R10" t="s">
        <v>74</v>
      </c>
      <c r="S10" t="s">
        <v>74</v>
      </c>
      <c r="T10" t="s">
        <v>277</v>
      </c>
      <c r="U10" t="s">
        <v>278</v>
      </c>
      <c r="V10" t="s">
        <v>279</v>
      </c>
      <c r="W10" t="s">
        <v>280</v>
      </c>
      <c r="X10" t="s">
        <v>281</v>
      </c>
      <c r="Y10" t="s">
        <v>282</v>
      </c>
      <c r="Z10" t="s">
        <v>283</v>
      </c>
      <c r="AA10" t="s">
        <v>284</v>
      </c>
      <c r="AB10" t="s">
        <v>285</v>
      </c>
      <c r="AC10" t="s">
        <v>286</v>
      </c>
      <c r="AD10" t="s">
        <v>287</v>
      </c>
      <c r="AE10" t="s">
        <v>288</v>
      </c>
      <c r="AF10" t="s">
        <v>74</v>
      </c>
      <c r="AG10">
        <v>55</v>
      </c>
      <c r="AH10">
        <v>75</v>
      </c>
      <c r="AI10">
        <v>82</v>
      </c>
      <c r="AJ10">
        <v>3</v>
      </c>
      <c r="AK10">
        <v>38</v>
      </c>
      <c r="AL10" t="s">
        <v>263</v>
      </c>
      <c r="AM10" t="s">
        <v>264</v>
      </c>
      <c r="AN10" t="s">
        <v>265</v>
      </c>
      <c r="AO10" t="s">
        <v>266</v>
      </c>
      <c r="AP10" t="s">
        <v>267</v>
      </c>
      <c r="AQ10" t="s">
        <v>74</v>
      </c>
      <c r="AR10" t="s">
        <v>268</v>
      </c>
      <c r="AS10" t="s">
        <v>269</v>
      </c>
      <c r="AT10" t="s">
        <v>98</v>
      </c>
      <c r="AU10">
        <v>2015</v>
      </c>
      <c r="AV10">
        <v>28</v>
      </c>
      <c r="AW10">
        <v>22</v>
      </c>
      <c r="AX10" t="s">
        <v>74</v>
      </c>
      <c r="AY10" t="s">
        <v>74</v>
      </c>
      <c r="AZ10" t="s">
        <v>74</v>
      </c>
      <c r="BA10" t="s">
        <v>74</v>
      </c>
      <c r="BB10">
        <v>8840</v>
      </c>
      <c r="BC10">
        <v>8859</v>
      </c>
      <c r="BD10" t="s">
        <v>74</v>
      </c>
      <c r="BE10" t="s">
        <v>289</v>
      </c>
      <c r="BF10" t="str">
        <f>HYPERLINK("http://dx.doi.org/10.1175/JCLI-D-15-0334.1","http://dx.doi.org/10.1175/JCLI-D-15-0334.1")</f>
        <v>http://dx.doi.org/10.1175/JCLI-D-15-0334.1</v>
      </c>
      <c r="BG10" t="s">
        <v>74</v>
      </c>
      <c r="BH10" t="s">
        <v>74</v>
      </c>
      <c r="BI10">
        <v>20</v>
      </c>
      <c r="BJ10" t="s">
        <v>271</v>
      </c>
      <c r="BK10" t="s">
        <v>101</v>
      </c>
      <c r="BL10" t="s">
        <v>271</v>
      </c>
      <c r="BM10" t="s">
        <v>272</v>
      </c>
      <c r="BN10" t="s">
        <v>74</v>
      </c>
      <c r="BO10" t="s">
        <v>290</v>
      </c>
      <c r="BP10" t="s">
        <v>74</v>
      </c>
      <c r="BQ10" t="s">
        <v>74</v>
      </c>
      <c r="BR10" t="s">
        <v>103</v>
      </c>
      <c r="BS10" t="s">
        <v>291</v>
      </c>
      <c r="BT10" t="str">
        <f>HYPERLINK("https%3A%2F%2Fwww.webofscience.com%2Fwos%2Fwoscc%2Ffull-record%2FWOS:000364629500011","View Full Record in Web of Science")</f>
        <v>View Full Record in Web of Science</v>
      </c>
    </row>
    <row r="11" spans="1:72" x14ac:dyDescent="0.15">
      <c r="A11" t="s">
        <v>72</v>
      </c>
      <c r="B11" t="s">
        <v>292</v>
      </c>
      <c r="C11" t="s">
        <v>74</v>
      </c>
      <c r="D11" t="s">
        <v>74</v>
      </c>
      <c r="E11" t="s">
        <v>74</v>
      </c>
      <c r="F11" t="s">
        <v>293</v>
      </c>
      <c r="G11" t="s">
        <v>74</v>
      </c>
      <c r="H11" t="s">
        <v>74</v>
      </c>
      <c r="I11" t="s">
        <v>294</v>
      </c>
      <c r="J11" t="s">
        <v>295</v>
      </c>
      <c r="K11" t="s">
        <v>74</v>
      </c>
      <c r="L11" t="s">
        <v>74</v>
      </c>
      <c r="M11" t="s">
        <v>78</v>
      </c>
      <c r="N11" t="s">
        <v>79</v>
      </c>
      <c r="O11" t="s">
        <v>74</v>
      </c>
      <c r="P11" t="s">
        <v>74</v>
      </c>
      <c r="Q11" t="s">
        <v>74</v>
      </c>
      <c r="R11" t="s">
        <v>74</v>
      </c>
      <c r="S11" t="s">
        <v>74</v>
      </c>
      <c r="T11" t="s">
        <v>74</v>
      </c>
      <c r="U11" t="s">
        <v>296</v>
      </c>
      <c r="V11" t="s">
        <v>297</v>
      </c>
      <c r="W11" t="s">
        <v>298</v>
      </c>
      <c r="X11" t="s">
        <v>299</v>
      </c>
      <c r="Y11" t="s">
        <v>300</v>
      </c>
      <c r="Z11" t="s">
        <v>301</v>
      </c>
      <c r="AA11" t="s">
        <v>74</v>
      </c>
      <c r="AB11" t="s">
        <v>302</v>
      </c>
      <c r="AC11" t="s">
        <v>303</v>
      </c>
      <c r="AD11" t="s">
        <v>304</v>
      </c>
      <c r="AE11" t="s">
        <v>305</v>
      </c>
      <c r="AF11" t="s">
        <v>74</v>
      </c>
      <c r="AG11">
        <v>75</v>
      </c>
      <c r="AH11">
        <v>2</v>
      </c>
      <c r="AI11">
        <v>3</v>
      </c>
      <c r="AJ11">
        <v>1</v>
      </c>
      <c r="AK11">
        <v>17</v>
      </c>
      <c r="AL11" t="s">
        <v>306</v>
      </c>
      <c r="AM11" t="s">
        <v>307</v>
      </c>
      <c r="AN11" t="s">
        <v>308</v>
      </c>
      <c r="AO11" t="s">
        <v>309</v>
      </c>
      <c r="AP11" t="s">
        <v>310</v>
      </c>
      <c r="AQ11" t="s">
        <v>74</v>
      </c>
      <c r="AR11" t="s">
        <v>311</v>
      </c>
      <c r="AS11" t="s">
        <v>312</v>
      </c>
      <c r="AT11" t="s">
        <v>98</v>
      </c>
      <c r="AU11">
        <v>2015</v>
      </c>
      <c r="AV11">
        <v>120</v>
      </c>
      <c r="AW11">
        <v>11</v>
      </c>
      <c r="AX11" t="s">
        <v>74</v>
      </c>
      <c r="AY11" t="s">
        <v>74</v>
      </c>
      <c r="AZ11" t="s">
        <v>74</v>
      </c>
      <c r="BA11" t="s">
        <v>74</v>
      </c>
      <c r="BB11">
        <v>2374</v>
      </c>
      <c r="BC11">
        <v>2392</v>
      </c>
      <c r="BD11" t="s">
        <v>74</v>
      </c>
      <c r="BE11" t="s">
        <v>313</v>
      </c>
      <c r="BF11" t="str">
        <f>HYPERLINK("http://dx.doi.org/10.1002/2015JF003667","http://dx.doi.org/10.1002/2015JF003667")</f>
        <v>http://dx.doi.org/10.1002/2015JF003667</v>
      </c>
      <c r="BG11" t="s">
        <v>74</v>
      </c>
      <c r="BH11" t="s">
        <v>74</v>
      </c>
      <c r="BI11">
        <v>19</v>
      </c>
      <c r="BJ11" t="s">
        <v>314</v>
      </c>
      <c r="BK11" t="s">
        <v>101</v>
      </c>
      <c r="BL11" t="s">
        <v>315</v>
      </c>
      <c r="BM11" t="s">
        <v>316</v>
      </c>
      <c r="BN11" t="s">
        <v>74</v>
      </c>
      <c r="BO11" t="s">
        <v>317</v>
      </c>
      <c r="BP11" t="s">
        <v>74</v>
      </c>
      <c r="BQ11" t="s">
        <v>74</v>
      </c>
      <c r="BR11" t="s">
        <v>103</v>
      </c>
      <c r="BS11" t="s">
        <v>318</v>
      </c>
      <c r="BT11" t="str">
        <f>HYPERLINK("https%3A%2F%2Fwww.webofscience.com%2Fwos%2Fwoscc%2Ffull-record%2FWOS:000369944300008","View Full Record in Web of Science")</f>
        <v>View Full Record in Web of Science</v>
      </c>
    </row>
    <row r="12" spans="1:72" x14ac:dyDescent="0.15">
      <c r="A12" t="s">
        <v>72</v>
      </c>
      <c r="B12" t="s">
        <v>319</v>
      </c>
      <c r="C12" t="s">
        <v>74</v>
      </c>
      <c r="D12" t="s">
        <v>74</v>
      </c>
      <c r="E12" t="s">
        <v>74</v>
      </c>
      <c r="F12" t="s">
        <v>320</v>
      </c>
      <c r="G12" t="s">
        <v>74</v>
      </c>
      <c r="H12" t="s">
        <v>74</v>
      </c>
      <c r="I12" t="s">
        <v>321</v>
      </c>
      <c r="J12" t="s">
        <v>322</v>
      </c>
      <c r="K12" t="s">
        <v>74</v>
      </c>
      <c r="L12" t="s">
        <v>74</v>
      </c>
      <c r="M12" t="s">
        <v>78</v>
      </c>
      <c r="N12" t="s">
        <v>79</v>
      </c>
      <c r="O12" t="s">
        <v>74</v>
      </c>
      <c r="P12" t="s">
        <v>74</v>
      </c>
      <c r="Q12" t="s">
        <v>74</v>
      </c>
      <c r="R12" t="s">
        <v>74</v>
      </c>
      <c r="S12" t="s">
        <v>74</v>
      </c>
      <c r="T12" t="s">
        <v>74</v>
      </c>
      <c r="U12" t="s">
        <v>323</v>
      </c>
      <c r="V12" t="s">
        <v>324</v>
      </c>
      <c r="W12" t="s">
        <v>325</v>
      </c>
      <c r="X12" t="s">
        <v>326</v>
      </c>
      <c r="Y12" t="s">
        <v>327</v>
      </c>
      <c r="Z12" t="s">
        <v>328</v>
      </c>
      <c r="AA12" t="s">
        <v>329</v>
      </c>
      <c r="AB12" t="s">
        <v>330</v>
      </c>
      <c r="AC12" t="s">
        <v>331</v>
      </c>
      <c r="AD12" t="s">
        <v>332</v>
      </c>
      <c r="AE12" t="s">
        <v>333</v>
      </c>
      <c r="AF12" t="s">
        <v>74</v>
      </c>
      <c r="AG12">
        <v>33</v>
      </c>
      <c r="AH12">
        <v>30</v>
      </c>
      <c r="AI12">
        <v>36</v>
      </c>
      <c r="AJ12">
        <v>1</v>
      </c>
      <c r="AK12">
        <v>15</v>
      </c>
      <c r="AL12" t="s">
        <v>306</v>
      </c>
      <c r="AM12" t="s">
        <v>307</v>
      </c>
      <c r="AN12" t="s">
        <v>308</v>
      </c>
      <c r="AO12" t="s">
        <v>334</v>
      </c>
      <c r="AP12" t="s">
        <v>335</v>
      </c>
      <c r="AQ12" t="s">
        <v>74</v>
      </c>
      <c r="AR12" t="s">
        <v>336</v>
      </c>
      <c r="AS12" t="s">
        <v>337</v>
      </c>
      <c r="AT12" t="s">
        <v>98</v>
      </c>
      <c r="AU12">
        <v>2015</v>
      </c>
      <c r="AV12">
        <v>120</v>
      </c>
      <c r="AW12">
        <v>11</v>
      </c>
      <c r="AX12" t="s">
        <v>74</v>
      </c>
      <c r="AY12" t="s">
        <v>74</v>
      </c>
      <c r="AZ12" t="s">
        <v>74</v>
      </c>
      <c r="BA12" t="s">
        <v>74</v>
      </c>
      <c r="BB12">
        <v>7223</v>
      </c>
      <c r="BC12">
        <v>7236</v>
      </c>
      <c r="BD12" t="s">
        <v>74</v>
      </c>
      <c r="BE12" t="s">
        <v>338</v>
      </c>
      <c r="BF12" t="str">
        <f>HYPERLINK("http://dx.doi.org/10.1002/2015JC011005","http://dx.doi.org/10.1002/2015JC011005")</f>
        <v>http://dx.doi.org/10.1002/2015JC011005</v>
      </c>
      <c r="BG12" t="s">
        <v>74</v>
      </c>
      <c r="BH12" t="s">
        <v>74</v>
      </c>
      <c r="BI12">
        <v>14</v>
      </c>
      <c r="BJ12" t="s">
        <v>339</v>
      </c>
      <c r="BK12" t="s">
        <v>101</v>
      </c>
      <c r="BL12" t="s">
        <v>339</v>
      </c>
      <c r="BM12" t="s">
        <v>340</v>
      </c>
      <c r="BN12" t="s">
        <v>74</v>
      </c>
      <c r="BO12" t="s">
        <v>162</v>
      </c>
      <c r="BP12" t="s">
        <v>74</v>
      </c>
      <c r="BQ12" t="s">
        <v>74</v>
      </c>
      <c r="BR12" t="s">
        <v>103</v>
      </c>
      <c r="BS12" t="s">
        <v>341</v>
      </c>
      <c r="BT12" t="str">
        <f>HYPERLINK("https%3A%2F%2Fwww.webofscience.com%2Fwos%2Fwoscc%2Ffull-record%2FWOS:000367686500007","View Full Record in Web of Science")</f>
        <v>View Full Record in Web of Science</v>
      </c>
    </row>
    <row r="13" spans="1:72" x14ac:dyDescent="0.15">
      <c r="A13" t="s">
        <v>72</v>
      </c>
      <c r="B13" t="s">
        <v>342</v>
      </c>
      <c r="C13" t="s">
        <v>74</v>
      </c>
      <c r="D13" t="s">
        <v>74</v>
      </c>
      <c r="E13" t="s">
        <v>74</v>
      </c>
      <c r="F13" t="s">
        <v>343</v>
      </c>
      <c r="G13" t="s">
        <v>74</v>
      </c>
      <c r="H13" t="s">
        <v>74</v>
      </c>
      <c r="I13" t="s">
        <v>344</v>
      </c>
      <c r="J13" t="s">
        <v>322</v>
      </c>
      <c r="K13" t="s">
        <v>74</v>
      </c>
      <c r="L13" t="s">
        <v>74</v>
      </c>
      <c r="M13" t="s">
        <v>78</v>
      </c>
      <c r="N13" t="s">
        <v>79</v>
      </c>
      <c r="O13" t="s">
        <v>74</v>
      </c>
      <c r="P13" t="s">
        <v>74</v>
      </c>
      <c r="Q13" t="s">
        <v>74</v>
      </c>
      <c r="R13" t="s">
        <v>74</v>
      </c>
      <c r="S13" t="s">
        <v>74</v>
      </c>
      <c r="T13" t="s">
        <v>74</v>
      </c>
      <c r="U13" t="s">
        <v>345</v>
      </c>
      <c r="V13" t="s">
        <v>346</v>
      </c>
      <c r="W13" t="s">
        <v>347</v>
      </c>
      <c r="X13" t="s">
        <v>348</v>
      </c>
      <c r="Y13" t="s">
        <v>349</v>
      </c>
      <c r="Z13" t="s">
        <v>350</v>
      </c>
      <c r="AA13" t="s">
        <v>351</v>
      </c>
      <c r="AB13" t="s">
        <v>352</v>
      </c>
      <c r="AC13" t="s">
        <v>353</v>
      </c>
      <c r="AD13" t="s">
        <v>354</v>
      </c>
      <c r="AE13" t="s">
        <v>355</v>
      </c>
      <c r="AF13" t="s">
        <v>74</v>
      </c>
      <c r="AG13">
        <v>154</v>
      </c>
      <c r="AH13">
        <v>127</v>
      </c>
      <c r="AI13">
        <v>137</v>
      </c>
      <c r="AJ13">
        <v>7</v>
      </c>
      <c r="AK13">
        <v>74</v>
      </c>
      <c r="AL13" t="s">
        <v>306</v>
      </c>
      <c r="AM13" t="s">
        <v>307</v>
      </c>
      <c r="AN13" t="s">
        <v>308</v>
      </c>
      <c r="AO13" t="s">
        <v>334</v>
      </c>
      <c r="AP13" t="s">
        <v>335</v>
      </c>
      <c r="AQ13" t="s">
        <v>74</v>
      </c>
      <c r="AR13" t="s">
        <v>336</v>
      </c>
      <c r="AS13" t="s">
        <v>337</v>
      </c>
      <c r="AT13" t="s">
        <v>98</v>
      </c>
      <c r="AU13">
        <v>2015</v>
      </c>
      <c r="AV13">
        <v>120</v>
      </c>
      <c r="AW13">
        <v>11</v>
      </c>
      <c r="AX13" t="s">
        <v>74</v>
      </c>
      <c r="AY13" t="s">
        <v>74</v>
      </c>
      <c r="AZ13" t="s">
        <v>74</v>
      </c>
      <c r="BA13" t="s">
        <v>74</v>
      </c>
      <c r="BB13">
        <v>7413</v>
      </c>
      <c r="BC13">
        <v>7449</v>
      </c>
      <c r="BD13" t="s">
        <v>74</v>
      </c>
      <c r="BE13" t="s">
        <v>356</v>
      </c>
      <c r="BF13" t="str">
        <f>HYPERLINK("http://dx.doi.org/10.1002/2015JC011047","http://dx.doi.org/10.1002/2015JC011047")</f>
        <v>http://dx.doi.org/10.1002/2015JC011047</v>
      </c>
      <c r="BG13" t="s">
        <v>74</v>
      </c>
      <c r="BH13" t="s">
        <v>74</v>
      </c>
      <c r="BI13">
        <v>37</v>
      </c>
      <c r="BJ13" t="s">
        <v>339</v>
      </c>
      <c r="BK13" t="s">
        <v>101</v>
      </c>
      <c r="BL13" t="s">
        <v>339</v>
      </c>
      <c r="BM13" t="s">
        <v>340</v>
      </c>
      <c r="BN13" t="s">
        <v>74</v>
      </c>
      <c r="BO13" t="s">
        <v>162</v>
      </c>
      <c r="BP13" t="s">
        <v>74</v>
      </c>
      <c r="BQ13" t="s">
        <v>74</v>
      </c>
      <c r="BR13" t="s">
        <v>103</v>
      </c>
      <c r="BS13" t="s">
        <v>357</v>
      </c>
      <c r="BT13" t="str">
        <f>HYPERLINK("https%3A%2F%2Fwww.webofscience.com%2Fwos%2Fwoscc%2Ffull-record%2FWOS:000367686500019","View Full Record in Web of Science")</f>
        <v>View Full Record in Web of Science</v>
      </c>
    </row>
    <row r="14" spans="1:72" x14ac:dyDescent="0.15">
      <c r="A14" t="s">
        <v>72</v>
      </c>
      <c r="B14" t="s">
        <v>358</v>
      </c>
      <c r="C14" t="s">
        <v>74</v>
      </c>
      <c r="D14" t="s">
        <v>74</v>
      </c>
      <c r="E14" t="s">
        <v>74</v>
      </c>
      <c r="F14" t="s">
        <v>359</v>
      </c>
      <c r="G14" t="s">
        <v>74</v>
      </c>
      <c r="H14" t="s">
        <v>74</v>
      </c>
      <c r="I14" t="s">
        <v>360</v>
      </c>
      <c r="J14" t="s">
        <v>361</v>
      </c>
      <c r="K14" t="s">
        <v>74</v>
      </c>
      <c r="L14" t="s">
        <v>74</v>
      </c>
      <c r="M14" t="s">
        <v>78</v>
      </c>
      <c r="N14" t="s">
        <v>79</v>
      </c>
      <c r="O14" t="s">
        <v>74</v>
      </c>
      <c r="P14" t="s">
        <v>74</v>
      </c>
      <c r="Q14" t="s">
        <v>74</v>
      </c>
      <c r="R14" t="s">
        <v>74</v>
      </c>
      <c r="S14" t="s">
        <v>74</v>
      </c>
      <c r="T14" t="s">
        <v>74</v>
      </c>
      <c r="U14" t="s">
        <v>362</v>
      </c>
      <c r="V14" t="s">
        <v>363</v>
      </c>
      <c r="W14" t="s">
        <v>364</v>
      </c>
      <c r="X14" t="s">
        <v>365</v>
      </c>
      <c r="Y14" t="s">
        <v>366</v>
      </c>
      <c r="Z14" t="s">
        <v>367</v>
      </c>
      <c r="AA14" t="s">
        <v>368</v>
      </c>
      <c r="AB14" t="s">
        <v>369</v>
      </c>
      <c r="AC14" t="s">
        <v>370</v>
      </c>
      <c r="AD14" t="s">
        <v>371</v>
      </c>
      <c r="AE14" t="s">
        <v>372</v>
      </c>
      <c r="AF14" t="s">
        <v>74</v>
      </c>
      <c r="AG14">
        <v>30</v>
      </c>
      <c r="AH14">
        <v>3</v>
      </c>
      <c r="AI14">
        <v>5</v>
      </c>
      <c r="AJ14">
        <v>7</v>
      </c>
      <c r="AK14">
        <v>23</v>
      </c>
      <c r="AL14" t="s">
        <v>306</v>
      </c>
      <c r="AM14" t="s">
        <v>307</v>
      </c>
      <c r="AN14" t="s">
        <v>308</v>
      </c>
      <c r="AO14" t="s">
        <v>373</v>
      </c>
      <c r="AP14" t="s">
        <v>374</v>
      </c>
      <c r="AQ14" t="s">
        <v>74</v>
      </c>
      <c r="AR14" t="s">
        <v>375</v>
      </c>
      <c r="AS14" t="s">
        <v>376</v>
      </c>
      <c r="AT14" t="s">
        <v>98</v>
      </c>
      <c r="AU14">
        <v>2015</v>
      </c>
      <c r="AV14">
        <v>120</v>
      </c>
      <c r="AW14">
        <v>11</v>
      </c>
      <c r="AX14" t="s">
        <v>74</v>
      </c>
      <c r="AY14" t="s">
        <v>74</v>
      </c>
      <c r="AZ14" t="s">
        <v>74</v>
      </c>
      <c r="BA14" t="s">
        <v>74</v>
      </c>
      <c r="BB14">
        <v>9929</v>
      </c>
      <c r="BC14">
        <v>9942</v>
      </c>
      <c r="BD14" t="s">
        <v>74</v>
      </c>
      <c r="BE14" t="s">
        <v>377</v>
      </c>
      <c r="BF14" t="str">
        <f>HYPERLINK("http://dx.doi.org/10.1002/2015JA021465","http://dx.doi.org/10.1002/2015JA021465")</f>
        <v>http://dx.doi.org/10.1002/2015JA021465</v>
      </c>
      <c r="BG14" t="s">
        <v>74</v>
      </c>
      <c r="BH14" t="s">
        <v>74</v>
      </c>
      <c r="BI14">
        <v>14</v>
      </c>
      <c r="BJ14" t="s">
        <v>378</v>
      </c>
      <c r="BK14" t="s">
        <v>101</v>
      </c>
      <c r="BL14" t="s">
        <v>378</v>
      </c>
      <c r="BM14" t="s">
        <v>379</v>
      </c>
      <c r="BN14" t="s">
        <v>74</v>
      </c>
      <c r="BO14" t="s">
        <v>162</v>
      </c>
      <c r="BP14" t="s">
        <v>74</v>
      </c>
      <c r="BQ14" t="s">
        <v>74</v>
      </c>
      <c r="BR14" t="s">
        <v>103</v>
      </c>
      <c r="BS14" t="s">
        <v>380</v>
      </c>
      <c r="BT14" t="str">
        <f>HYPERLINK("https%3A%2F%2Fwww.webofscience.com%2Fwos%2Fwoscc%2Ffull-record%2FWOS:000368252100044","View Full Record in Web of Science")</f>
        <v>View Full Record in Web of Science</v>
      </c>
    </row>
    <row r="15" spans="1:72" x14ac:dyDescent="0.15">
      <c r="A15" t="s">
        <v>72</v>
      </c>
      <c r="B15" t="s">
        <v>381</v>
      </c>
      <c r="C15" t="s">
        <v>74</v>
      </c>
      <c r="D15" t="s">
        <v>74</v>
      </c>
      <c r="E15" t="s">
        <v>74</v>
      </c>
      <c r="F15" t="s">
        <v>382</v>
      </c>
      <c r="G15" t="s">
        <v>74</v>
      </c>
      <c r="H15" t="s">
        <v>74</v>
      </c>
      <c r="I15" t="s">
        <v>383</v>
      </c>
      <c r="J15" t="s">
        <v>384</v>
      </c>
      <c r="K15" t="s">
        <v>74</v>
      </c>
      <c r="L15" t="s">
        <v>74</v>
      </c>
      <c r="M15" t="s">
        <v>78</v>
      </c>
      <c r="N15" t="s">
        <v>79</v>
      </c>
      <c r="O15" t="s">
        <v>74</v>
      </c>
      <c r="P15" t="s">
        <v>74</v>
      </c>
      <c r="Q15" t="s">
        <v>74</v>
      </c>
      <c r="R15" t="s">
        <v>74</v>
      </c>
      <c r="S15" t="s">
        <v>74</v>
      </c>
      <c r="T15" t="s">
        <v>385</v>
      </c>
      <c r="U15" t="s">
        <v>386</v>
      </c>
      <c r="V15" t="s">
        <v>387</v>
      </c>
      <c r="W15" t="s">
        <v>388</v>
      </c>
      <c r="X15" t="s">
        <v>389</v>
      </c>
      <c r="Y15" t="s">
        <v>390</v>
      </c>
      <c r="Z15" t="s">
        <v>391</v>
      </c>
      <c r="AA15" t="s">
        <v>392</v>
      </c>
      <c r="AB15" t="s">
        <v>393</v>
      </c>
      <c r="AC15" t="s">
        <v>394</v>
      </c>
      <c r="AD15" t="s">
        <v>395</v>
      </c>
      <c r="AE15" t="s">
        <v>396</v>
      </c>
      <c r="AF15" t="s">
        <v>74</v>
      </c>
      <c r="AG15">
        <v>60</v>
      </c>
      <c r="AH15">
        <v>23</v>
      </c>
      <c r="AI15">
        <v>26</v>
      </c>
      <c r="AJ15">
        <v>1</v>
      </c>
      <c r="AK15">
        <v>67</v>
      </c>
      <c r="AL15" t="s">
        <v>397</v>
      </c>
      <c r="AM15" t="s">
        <v>398</v>
      </c>
      <c r="AN15" t="s">
        <v>399</v>
      </c>
      <c r="AO15" t="s">
        <v>400</v>
      </c>
      <c r="AP15" t="s">
        <v>401</v>
      </c>
      <c r="AQ15" t="s">
        <v>74</v>
      </c>
      <c r="AR15" t="s">
        <v>402</v>
      </c>
      <c r="AS15" t="s">
        <v>403</v>
      </c>
      <c r="AT15" t="s">
        <v>98</v>
      </c>
      <c r="AU15">
        <v>2015</v>
      </c>
      <c r="AV15">
        <v>82</v>
      </c>
      <c r="AW15" t="s">
        <v>74</v>
      </c>
      <c r="AX15" t="s">
        <v>74</v>
      </c>
      <c r="AY15" t="s">
        <v>74</v>
      </c>
      <c r="AZ15" t="s">
        <v>74</v>
      </c>
      <c r="BA15" t="s">
        <v>74</v>
      </c>
      <c r="BB15">
        <v>75</v>
      </c>
      <c r="BC15">
        <v>84</v>
      </c>
      <c r="BD15" t="s">
        <v>74</v>
      </c>
      <c r="BE15" t="s">
        <v>404</v>
      </c>
      <c r="BF15" t="str">
        <f>HYPERLINK("http://dx.doi.org/10.1016/j.jinsphys.2015.09.001","http://dx.doi.org/10.1016/j.jinsphys.2015.09.001")</f>
        <v>http://dx.doi.org/10.1016/j.jinsphys.2015.09.001</v>
      </c>
      <c r="BG15" t="s">
        <v>74</v>
      </c>
      <c r="BH15" t="s">
        <v>74</v>
      </c>
      <c r="BI15">
        <v>10</v>
      </c>
      <c r="BJ15" t="s">
        <v>405</v>
      </c>
      <c r="BK15" t="s">
        <v>101</v>
      </c>
      <c r="BL15" t="s">
        <v>405</v>
      </c>
      <c r="BM15" t="s">
        <v>406</v>
      </c>
      <c r="BN15">
        <v>26376454</v>
      </c>
      <c r="BO15" t="s">
        <v>74</v>
      </c>
      <c r="BP15" t="s">
        <v>74</v>
      </c>
      <c r="BQ15" t="s">
        <v>74</v>
      </c>
      <c r="BR15" t="s">
        <v>103</v>
      </c>
      <c r="BS15" t="s">
        <v>407</v>
      </c>
      <c r="BT15" t="str">
        <f>HYPERLINK("https%3A%2F%2Fwww.webofscience.com%2Fwos%2Fwoscc%2Ffull-record%2FWOS:000365054000010","View Full Record in Web of Science")</f>
        <v>View Full Record in Web of Science</v>
      </c>
    </row>
    <row r="16" spans="1:72" x14ac:dyDescent="0.15">
      <c r="A16" t="s">
        <v>72</v>
      </c>
      <c r="B16" t="s">
        <v>408</v>
      </c>
      <c r="C16" t="s">
        <v>74</v>
      </c>
      <c r="D16" t="s">
        <v>74</v>
      </c>
      <c r="E16" t="s">
        <v>74</v>
      </c>
      <c r="F16" t="s">
        <v>409</v>
      </c>
      <c r="G16" t="s">
        <v>74</v>
      </c>
      <c r="H16" t="s">
        <v>74</v>
      </c>
      <c r="I16" t="s">
        <v>410</v>
      </c>
      <c r="J16" t="s">
        <v>411</v>
      </c>
      <c r="K16" t="s">
        <v>74</v>
      </c>
      <c r="L16" t="s">
        <v>74</v>
      </c>
      <c r="M16" t="s">
        <v>78</v>
      </c>
      <c r="N16" t="s">
        <v>79</v>
      </c>
      <c r="O16" t="s">
        <v>74</v>
      </c>
      <c r="P16" t="s">
        <v>74</v>
      </c>
      <c r="Q16" t="s">
        <v>74</v>
      </c>
      <c r="R16" t="s">
        <v>74</v>
      </c>
      <c r="S16" t="s">
        <v>74</v>
      </c>
      <c r="T16" t="s">
        <v>412</v>
      </c>
      <c r="U16" t="s">
        <v>413</v>
      </c>
      <c r="V16" t="s">
        <v>414</v>
      </c>
      <c r="W16" t="s">
        <v>415</v>
      </c>
      <c r="X16" t="s">
        <v>416</v>
      </c>
      <c r="Y16" t="s">
        <v>417</v>
      </c>
      <c r="Z16" t="s">
        <v>418</v>
      </c>
      <c r="AA16" t="s">
        <v>419</v>
      </c>
      <c r="AB16" t="s">
        <v>420</v>
      </c>
      <c r="AC16" t="s">
        <v>421</v>
      </c>
      <c r="AD16" t="s">
        <v>422</v>
      </c>
      <c r="AE16" t="s">
        <v>423</v>
      </c>
      <c r="AF16" t="s">
        <v>74</v>
      </c>
      <c r="AG16">
        <v>46</v>
      </c>
      <c r="AH16">
        <v>19</v>
      </c>
      <c r="AI16">
        <v>23</v>
      </c>
      <c r="AJ16">
        <v>0</v>
      </c>
      <c r="AK16">
        <v>21</v>
      </c>
      <c r="AL16" t="s">
        <v>208</v>
      </c>
      <c r="AM16" t="s">
        <v>209</v>
      </c>
      <c r="AN16" t="s">
        <v>210</v>
      </c>
      <c r="AO16" t="s">
        <v>424</v>
      </c>
      <c r="AP16" t="s">
        <v>425</v>
      </c>
      <c r="AQ16" t="s">
        <v>74</v>
      </c>
      <c r="AR16" t="s">
        <v>426</v>
      </c>
      <c r="AS16" t="s">
        <v>427</v>
      </c>
      <c r="AT16" t="s">
        <v>98</v>
      </c>
      <c r="AU16">
        <v>2015</v>
      </c>
      <c r="AV16">
        <v>53</v>
      </c>
      <c r="AW16">
        <v>6</v>
      </c>
      <c r="AX16" t="s">
        <v>74</v>
      </c>
      <c r="AY16" t="s">
        <v>74</v>
      </c>
      <c r="AZ16" t="s">
        <v>74</v>
      </c>
      <c r="BA16" t="s">
        <v>74</v>
      </c>
      <c r="BB16">
        <v>499</v>
      </c>
      <c r="BC16">
        <v>511</v>
      </c>
      <c r="BD16" t="s">
        <v>74</v>
      </c>
      <c r="BE16" t="s">
        <v>428</v>
      </c>
      <c r="BF16" t="str">
        <f>HYPERLINK("http://dx.doi.org/10.1111/jse.12145","http://dx.doi.org/10.1111/jse.12145")</f>
        <v>http://dx.doi.org/10.1111/jse.12145</v>
      </c>
      <c r="BG16" t="s">
        <v>74</v>
      </c>
      <c r="BH16" t="s">
        <v>74</v>
      </c>
      <c r="BI16">
        <v>13</v>
      </c>
      <c r="BJ16" t="s">
        <v>429</v>
      </c>
      <c r="BK16" t="s">
        <v>101</v>
      </c>
      <c r="BL16" t="s">
        <v>429</v>
      </c>
      <c r="BM16" t="s">
        <v>430</v>
      </c>
      <c r="BN16" t="s">
        <v>74</v>
      </c>
      <c r="BO16" t="s">
        <v>74</v>
      </c>
      <c r="BP16" t="s">
        <v>74</v>
      </c>
      <c r="BQ16" t="s">
        <v>74</v>
      </c>
      <c r="BR16" t="s">
        <v>103</v>
      </c>
      <c r="BS16" t="s">
        <v>431</v>
      </c>
      <c r="BT16" t="str">
        <f>HYPERLINK("https%3A%2F%2Fwww.webofscience.com%2Fwos%2Fwoscc%2Ffull-record%2FWOS:000363873600003","View Full Record in Web of Science")</f>
        <v>View Full Record in Web of Science</v>
      </c>
    </row>
    <row r="17" spans="1:72" x14ac:dyDescent="0.15">
      <c r="A17" t="s">
        <v>72</v>
      </c>
      <c r="B17" t="s">
        <v>432</v>
      </c>
      <c r="C17" t="s">
        <v>74</v>
      </c>
      <c r="D17" t="s">
        <v>74</v>
      </c>
      <c r="E17" t="s">
        <v>74</v>
      </c>
      <c r="F17" t="s">
        <v>433</v>
      </c>
      <c r="G17" t="s">
        <v>74</v>
      </c>
      <c r="H17" t="s">
        <v>74</v>
      </c>
      <c r="I17" t="s">
        <v>434</v>
      </c>
      <c r="J17" t="s">
        <v>435</v>
      </c>
      <c r="K17" t="s">
        <v>74</v>
      </c>
      <c r="L17" t="s">
        <v>74</v>
      </c>
      <c r="M17" t="s">
        <v>78</v>
      </c>
      <c r="N17" t="s">
        <v>79</v>
      </c>
      <c r="O17" t="s">
        <v>74</v>
      </c>
      <c r="P17" t="s">
        <v>74</v>
      </c>
      <c r="Q17" t="s">
        <v>74</v>
      </c>
      <c r="R17" t="s">
        <v>74</v>
      </c>
      <c r="S17" t="s">
        <v>74</v>
      </c>
      <c r="T17" t="s">
        <v>74</v>
      </c>
      <c r="U17" t="s">
        <v>436</v>
      </c>
      <c r="V17" t="s">
        <v>437</v>
      </c>
      <c r="W17" t="s">
        <v>438</v>
      </c>
      <c r="X17" t="s">
        <v>439</v>
      </c>
      <c r="Y17" t="s">
        <v>440</v>
      </c>
      <c r="Z17" t="s">
        <v>441</v>
      </c>
      <c r="AA17" t="s">
        <v>74</v>
      </c>
      <c r="AB17" t="s">
        <v>442</v>
      </c>
      <c r="AC17" t="s">
        <v>443</v>
      </c>
      <c r="AD17" t="s">
        <v>444</v>
      </c>
      <c r="AE17" t="s">
        <v>445</v>
      </c>
      <c r="AF17" t="s">
        <v>74</v>
      </c>
      <c r="AG17">
        <v>131</v>
      </c>
      <c r="AH17">
        <v>66</v>
      </c>
      <c r="AI17">
        <v>69</v>
      </c>
      <c r="AJ17">
        <v>2</v>
      </c>
      <c r="AK17">
        <v>17</v>
      </c>
      <c r="AL17" t="s">
        <v>446</v>
      </c>
      <c r="AM17" t="s">
        <v>447</v>
      </c>
      <c r="AN17" t="s">
        <v>448</v>
      </c>
      <c r="AO17" t="s">
        <v>449</v>
      </c>
      <c r="AP17" t="s">
        <v>450</v>
      </c>
      <c r="AQ17" t="s">
        <v>74</v>
      </c>
      <c r="AR17" t="s">
        <v>451</v>
      </c>
      <c r="AS17" t="s">
        <v>452</v>
      </c>
      <c r="AT17" t="s">
        <v>98</v>
      </c>
      <c r="AU17">
        <v>2015</v>
      </c>
      <c r="AV17">
        <v>172</v>
      </c>
      <c r="AW17">
        <v>6</v>
      </c>
      <c r="AX17" t="s">
        <v>74</v>
      </c>
      <c r="AY17" t="s">
        <v>74</v>
      </c>
      <c r="AZ17" t="s">
        <v>74</v>
      </c>
      <c r="BA17" t="s">
        <v>74</v>
      </c>
      <c r="BB17">
        <v>822</v>
      </c>
      <c r="BC17">
        <v>835</v>
      </c>
      <c r="BD17" t="s">
        <v>74</v>
      </c>
      <c r="BE17" t="s">
        <v>453</v>
      </c>
      <c r="BF17" t="str">
        <f>HYPERLINK("http://dx.doi.org/10.1144/jgs2014-110","http://dx.doi.org/10.1144/jgs2014-110")</f>
        <v>http://dx.doi.org/10.1144/jgs2014-110</v>
      </c>
      <c r="BG17" t="s">
        <v>74</v>
      </c>
      <c r="BH17" t="s">
        <v>74</v>
      </c>
      <c r="BI17">
        <v>14</v>
      </c>
      <c r="BJ17" t="s">
        <v>314</v>
      </c>
      <c r="BK17" t="s">
        <v>101</v>
      </c>
      <c r="BL17" t="s">
        <v>315</v>
      </c>
      <c r="BM17" t="s">
        <v>454</v>
      </c>
      <c r="BN17" t="s">
        <v>74</v>
      </c>
      <c r="BO17" t="s">
        <v>455</v>
      </c>
      <c r="BP17" t="s">
        <v>74</v>
      </c>
      <c r="BQ17" t="s">
        <v>74</v>
      </c>
      <c r="BR17" t="s">
        <v>103</v>
      </c>
      <c r="BS17" t="s">
        <v>456</v>
      </c>
      <c r="BT17" t="str">
        <f>HYPERLINK("https%3A%2F%2Fwww.webofscience.com%2Fwos%2Fwoscc%2Ffull-record%2FWOS:000363986900012","View Full Record in Web of Science")</f>
        <v>View Full Record in Web of Science</v>
      </c>
    </row>
    <row r="18" spans="1:72" x14ac:dyDescent="0.15">
      <c r="A18" t="s">
        <v>72</v>
      </c>
      <c r="B18" t="s">
        <v>457</v>
      </c>
      <c r="C18" t="s">
        <v>74</v>
      </c>
      <c r="D18" t="s">
        <v>74</v>
      </c>
      <c r="E18" t="s">
        <v>74</v>
      </c>
      <c r="F18" t="s">
        <v>458</v>
      </c>
      <c r="G18" t="s">
        <v>74</v>
      </c>
      <c r="H18" t="s">
        <v>74</v>
      </c>
      <c r="I18" t="s">
        <v>459</v>
      </c>
      <c r="J18" t="s">
        <v>460</v>
      </c>
      <c r="K18" t="s">
        <v>74</v>
      </c>
      <c r="L18" t="s">
        <v>74</v>
      </c>
      <c r="M18" t="s">
        <v>78</v>
      </c>
      <c r="N18" t="s">
        <v>79</v>
      </c>
      <c r="O18" t="s">
        <v>74</v>
      </c>
      <c r="P18" t="s">
        <v>74</v>
      </c>
      <c r="Q18" t="s">
        <v>74</v>
      </c>
      <c r="R18" t="s">
        <v>74</v>
      </c>
      <c r="S18" t="s">
        <v>74</v>
      </c>
      <c r="T18" t="s">
        <v>74</v>
      </c>
      <c r="U18" t="s">
        <v>461</v>
      </c>
      <c r="V18" t="s">
        <v>462</v>
      </c>
      <c r="W18" t="s">
        <v>463</v>
      </c>
      <c r="X18" t="s">
        <v>464</v>
      </c>
      <c r="Y18" t="s">
        <v>465</v>
      </c>
      <c r="Z18" t="s">
        <v>466</v>
      </c>
      <c r="AA18" t="s">
        <v>467</v>
      </c>
      <c r="AB18" t="s">
        <v>468</v>
      </c>
      <c r="AC18" t="s">
        <v>469</v>
      </c>
      <c r="AD18" t="s">
        <v>470</v>
      </c>
      <c r="AE18" t="s">
        <v>471</v>
      </c>
      <c r="AF18" t="s">
        <v>74</v>
      </c>
      <c r="AG18">
        <v>44</v>
      </c>
      <c r="AH18">
        <v>20</v>
      </c>
      <c r="AI18">
        <v>21</v>
      </c>
      <c r="AJ18">
        <v>1</v>
      </c>
      <c r="AK18">
        <v>21</v>
      </c>
      <c r="AL18" t="s">
        <v>236</v>
      </c>
      <c r="AM18" t="s">
        <v>209</v>
      </c>
      <c r="AN18" t="s">
        <v>210</v>
      </c>
      <c r="AO18" t="s">
        <v>472</v>
      </c>
      <c r="AP18" t="s">
        <v>473</v>
      </c>
      <c r="AQ18" t="s">
        <v>74</v>
      </c>
      <c r="AR18" t="s">
        <v>474</v>
      </c>
      <c r="AS18" t="s">
        <v>475</v>
      </c>
      <c r="AT18" t="s">
        <v>98</v>
      </c>
      <c r="AU18">
        <v>2015</v>
      </c>
      <c r="AV18">
        <v>60</v>
      </c>
      <c r="AW18">
        <v>6</v>
      </c>
      <c r="AX18" t="s">
        <v>74</v>
      </c>
      <c r="AY18" t="s">
        <v>74</v>
      </c>
      <c r="AZ18" t="s">
        <v>74</v>
      </c>
      <c r="BA18" t="s">
        <v>74</v>
      </c>
      <c r="BB18">
        <v>2121</v>
      </c>
      <c r="BC18">
        <v>2129</v>
      </c>
      <c r="BD18" t="s">
        <v>74</v>
      </c>
      <c r="BE18" t="s">
        <v>476</v>
      </c>
      <c r="BF18" t="str">
        <f>HYPERLINK("http://dx.doi.org/10.1002/lno.10158","http://dx.doi.org/10.1002/lno.10158")</f>
        <v>http://dx.doi.org/10.1002/lno.10158</v>
      </c>
      <c r="BG18" t="s">
        <v>74</v>
      </c>
      <c r="BH18" t="s">
        <v>74</v>
      </c>
      <c r="BI18">
        <v>9</v>
      </c>
      <c r="BJ18" t="s">
        <v>477</v>
      </c>
      <c r="BK18" t="s">
        <v>101</v>
      </c>
      <c r="BL18" t="s">
        <v>478</v>
      </c>
      <c r="BM18" t="s">
        <v>479</v>
      </c>
      <c r="BN18" t="s">
        <v>74</v>
      </c>
      <c r="BO18" t="s">
        <v>162</v>
      </c>
      <c r="BP18" t="s">
        <v>74</v>
      </c>
      <c r="BQ18" t="s">
        <v>74</v>
      </c>
      <c r="BR18" t="s">
        <v>103</v>
      </c>
      <c r="BS18" t="s">
        <v>480</v>
      </c>
      <c r="BT18" t="str">
        <f>HYPERLINK("https%3A%2F%2Fwww.webofscience.com%2Fwos%2Fwoscc%2Ffull-record%2FWOS:000363888400019","View Full Record in Web of Science")</f>
        <v>View Full Record in Web of Science</v>
      </c>
    </row>
    <row r="19" spans="1:72" x14ac:dyDescent="0.15">
      <c r="A19" t="s">
        <v>72</v>
      </c>
      <c r="B19" t="s">
        <v>481</v>
      </c>
      <c r="C19" t="s">
        <v>74</v>
      </c>
      <c r="D19" t="s">
        <v>74</v>
      </c>
      <c r="E19" t="s">
        <v>74</v>
      </c>
      <c r="F19" t="s">
        <v>482</v>
      </c>
      <c r="G19" t="s">
        <v>74</v>
      </c>
      <c r="H19" t="s">
        <v>74</v>
      </c>
      <c r="I19" t="s">
        <v>483</v>
      </c>
      <c r="J19" t="s">
        <v>484</v>
      </c>
      <c r="K19" t="s">
        <v>74</v>
      </c>
      <c r="L19" t="s">
        <v>74</v>
      </c>
      <c r="M19" t="s">
        <v>78</v>
      </c>
      <c r="N19" t="s">
        <v>79</v>
      </c>
      <c r="O19" t="s">
        <v>74</v>
      </c>
      <c r="P19" t="s">
        <v>74</v>
      </c>
      <c r="Q19" t="s">
        <v>74</v>
      </c>
      <c r="R19" t="s">
        <v>74</v>
      </c>
      <c r="S19" t="s">
        <v>74</v>
      </c>
      <c r="T19" t="s">
        <v>485</v>
      </c>
      <c r="U19" t="s">
        <v>486</v>
      </c>
      <c r="V19" t="s">
        <v>487</v>
      </c>
      <c r="W19" t="s">
        <v>488</v>
      </c>
      <c r="X19" t="s">
        <v>489</v>
      </c>
      <c r="Y19" t="s">
        <v>490</v>
      </c>
      <c r="Z19" t="s">
        <v>74</v>
      </c>
      <c r="AA19" t="s">
        <v>491</v>
      </c>
      <c r="AB19" t="s">
        <v>492</v>
      </c>
      <c r="AC19" t="s">
        <v>493</v>
      </c>
      <c r="AD19" t="s">
        <v>494</v>
      </c>
      <c r="AE19" t="s">
        <v>495</v>
      </c>
      <c r="AF19" t="s">
        <v>74</v>
      </c>
      <c r="AG19">
        <v>87</v>
      </c>
      <c r="AH19">
        <v>75</v>
      </c>
      <c r="AI19">
        <v>76</v>
      </c>
      <c r="AJ19">
        <v>0</v>
      </c>
      <c r="AK19">
        <v>38</v>
      </c>
      <c r="AL19" t="s">
        <v>496</v>
      </c>
      <c r="AM19" t="s">
        <v>398</v>
      </c>
      <c r="AN19" t="s">
        <v>497</v>
      </c>
      <c r="AO19" t="s">
        <v>498</v>
      </c>
      <c r="AP19" t="s">
        <v>499</v>
      </c>
      <c r="AQ19" t="s">
        <v>74</v>
      </c>
      <c r="AR19" t="s">
        <v>500</v>
      </c>
      <c r="AS19" t="s">
        <v>501</v>
      </c>
      <c r="AT19" t="s">
        <v>98</v>
      </c>
      <c r="AU19">
        <v>2015</v>
      </c>
      <c r="AV19">
        <v>61</v>
      </c>
      <c r="AW19" t="s">
        <v>74</v>
      </c>
      <c r="AX19" t="s">
        <v>74</v>
      </c>
      <c r="AY19" t="s">
        <v>74</v>
      </c>
      <c r="AZ19" t="s">
        <v>74</v>
      </c>
      <c r="BA19" t="s">
        <v>74</v>
      </c>
      <c r="BB19">
        <v>291</v>
      </c>
      <c r="BC19">
        <v>302</v>
      </c>
      <c r="BD19" t="s">
        <v>74</v>
      </c>
      <c r="BE19" t="s">
        <v>502</v>
      </c>
      <c r="BF19" t="str">
        <f>HYPERLINK("http://dx.doi.org/10.1016/j.marpol.2015.07.015","http://dx.doi.org/10.1016/j.marpol.2015.07.015")</f>
        <v>http://dx.doi.org/10.1016/j.marpol.2015.07.015</v>
      </c>
      <c r="BG19" t="s">
        <v>74</v>
      </c>
      <c r="BH19" t="s">
        <v>74</v>
      </c>
      <c r="BI19">
        <v>12</v>
      </c>
      <c r="BJ19" t="s">
        <v>503</v>
      </c>
      <c r="BK19" t="s">
        <v>504</v>
      </c>
      <c r="BL19" t="s">
        <v>505</v>
      </c>
      <c r="BM19" t="s">
        <v>506</v>
      </c>
      <c r="BN19" t="s">
        <v>74</v>
      </c>
      <c r="BO19" t="s">
        <v>290</v>
      </c>
      <c r="BP19" t="s">
        <v>74</v>
      </c>
      <c r="BQ19" t="s">
        <v>74</v>
      </c>
      <c r="BR19" t="s">
        <v>103</v>
      </c>
      <c r="BS19" t="s">
        <v>507</v>
      </c>
      <c r="BT19" t="str">
        <f>HYPERLINK("https%3A%2F%2Fwww.webofscience.com%2Fwos%2Fwoscc%2Ffull-record%2FWOS:000366769300033","View Full Record in Web of Science")</f>
        <v>View Full Record in Web of Science</v>
      </c>
    </row>
    <row r="20" spans="1:72" x14ac:dyDescent="0.15">
      <c r="A20" t="s">
        <v>72</v>
      </c>
      <c r="B20" t="s">
        <v>508</v>
      </c>
      <c r="C20" t="s">
        <v>74</v>
      </c>
      <c r="D20" t="s">
        <v>74</v>
      </c>
      <c r="E20" t="s">
        <v>74</v>
      </c>
      <c r="F20" t="s">
        <v>509</v>
      </c>
      <c r="G20" t="s">
        <v>74</v>
      </c>
      <c r="H20" t="s">
        <v>74</v>
      </c>
      <c r="I20" t="s">
        <v>510</v>
      </c>
      <c r="J20" t="s">
        <v>511</v>
      </c>
      <c r="K20" t="s">
        <v>74</v>
      </c>
      <c r="L20" t="s">
        <v>74</v>
      </c>
      <c r="M20" t="s">
        <v>78</v>
      </c>
      <c r="N20" t="s">
        <v>79</v>
      </c>
      <c r="O20" t="s">
        <v>74</v>
      </c>
      <c r="P20" t="s">
        <v>74</v>
      </c>
      <c r="Q20" t="s">
        <v>74</v>
      </c>
      <c r="R20" t="s">
        <v>74</v>
      </c>
      <c r="S20" t="s">
        <v>74</v>
      </c>
      <c r="T20" t="s">
        <v>74</v>
      </c>
      <c r="U20" t="s">
        <v>512</v>
      </c>
      <c r="V20" t="s">
        <v>513</v>
      </c>
      <c r="W20" t="s">
        <v>514</v>
      </c>
      <c r="X20" t="s">
        <v>515</v>
      </c>
      <c r="Y20" t="s">
        <v>516</v>
      </c>
      <c r="Z20" t="s">
        <v>517</v>
      </c>
      <c r="AA20" t="s">
        <v>518</v>
      </c>
      <c r="AB20" t="s">
        <v>519</v>
      </c>
      <c r="AC20" t="s">
        <v>520</v>
      </c>
      <c r="AD20" t="s">
        <v>521</v>
      </c>
      <c r="AE20" t="s">
        <v>522</v>
      </c>
      <c r="AF20" t="s">
        <v>74</v>
      </c>
      <c r="AG20">
        <v>72</v>
      </c>
      <c r="AH20">
        <v>52</v>
      </c>
      <c r="AI20">
        <v>54</v>
      </c>
      <c r="AJ20">
        <v>2</v>
      </c>
      <c r="AK20">
        <v>21</v>
      </c>
      <c r="AL20" t="s">
        <v>523</v>
      </c>
      <c r="AM20" t="s">
        <v>524</v>
      </c>
      <c r="AN20" t="s">
        <v>525</v>
      </c>
      <c r="AO20" t="s">
        <v>74</v>
      </c>
      <c r="AP20" t="s">
        <v>526</v>
      </c>
      <c r="AQ20" t="s">
        <v>74</v>
      </c>
      <c r="AR20" t="s">
        <v>527</v>
      </c>
      <c r="AS20" t="s">
        <v>528</v>
      </c>
      <c r="AT20" t="s">
        <v>98</v>
      </c>
      <c r="AU20">
        <v>2015</v>
      </c>
      <c r="AV20">
        <v>6</v>
      </c>
      <c r="AW20" t="s">
        <v>74</v>
      </c>
      <c r="AX20" t="s">
        <v>74</v>
      </c>
      <c r="AY20" t="s">
        <v>74</v>
      </c>
      <c r="AZ20" t="s">
        <v>74</v>
      </c>
      <c r="BA20" t="s">
        <v>74</v>
      </c>
      <c r="BB20" t="s">
        <v>74</v>
      </c>
      <c r="BC20" t="s">
        <v>74</v>
      </c>
      <c r="BD20">
        <v>8765</v>
      </c>
      <c r="BE20" t="s">
        <v>529</v>
      </c>
      <c r="BF20" t="str">
        <f>HYPERLINK("http://dx.doi.org/10.1038/ncomms9765","http://dx.doi.org/10.1038/ncomms9765")</f>
        <v>http://dx.doi.org/10.1038/ncomms9765</v>
      </c>
      <c r="BG20" t="s">
        <v>74</v>
      </c>
      <c r="BH20" t="s">
        <v>74</v>
      </c>
      <c r="BI20">
        <v>10</v>
      </c>
      <c r="BJ20" t="s">
        <v>530</v>
      </c>
      <c r="BK20" t="s">
        <v>101</v>
      </c>
      <c r="BL20" t="s">
        <v>531</v>
      </c>
      <c r="BM20" t="s">
        <v>532</v>
      </c>
      <c r="BN20">
        <v>26556503</v>
      </c>
      <c r="BO20" t="s">
        <v>533</v>
      </c>
      <c r="BP20" t="s">
        <v>74</v>
      </c>
      <c r="BQ20" t="s">
        <v>74</v>
      </c>
      <c r="BR20" t="s">
        <v>103</v>
      </c>
      <c r="BS20" t="s">
        <v>534</v>
      </c>
      <c r="BT20" t="str">
        <f>HYPERLINK("https%3A%2F%2Fwww.webofscience.com%2Fwos%2Fwoscc%2Ffull-record%2FWOS:000366294400004","View Full Record in Web of Science")</f>
        <v>View Full Record in Web of Science</v>
      </c>
    </row>
    <row r="21" spans="1:72" x14ac:dyDescent="0.15">
      <c r="A21" t="s">
        <v>72</v>
      </c>
      <c r="B21" t="s">
        <v>535</v>
      </c>
      <c r="C21" t="s">
        <v>74</v>
      </c>
      <c r="D21" t="s">
        <v>74</v>
      </c>
      <c r="E21" t="s">
        <v>74</v>
      </c>
      <c r="F21" t="s">
        <v>536</v>
      </c>
      <c r="G21" t="s">
        <v>74</v>
      </c>
      <c r="H21" t="s">
        <v>74</v>
      </c>
      <c r="I21" t="s">
        <v>537</v>
      </c>
      <c r="J21" t="s">
        <v>538</v>
      </c>
      <c r="K21" t="s">
        <v>74</v>
      </c>
      <c r="L21" t="s">
        <v>74</v>
      </c>
      <c r="M21" t="s">
        <v>78</v>
      </c>
      <c r="N21" t="s">
        <v>79</v>
      </c>
      <c r="O21" t="s">
        <v>74</v>
      </c>
      <c r="P21" t="s">
        <v>74</v>
      </c>
      <c r="Q21" t="s">
        <v>74</v>
      </c>
      <c r="R21" t="s">
        <v>74</v>
      </c>
      <c r="S21" t="s">
        <v>74</v>
      </c>
      <c r="T21" t="s">
        <v>74</v>
      </c>
      <c r="U21" t="s">
        <v>539</v>
      </c>
      <c r="V21" t="s">
        <v>540</v>
      </c>
      <c r="W21" t="s">
        <v>541</v>
      </c>
      <c r="X21" t="s">
        <v>542</v>
      </c>
      <c r="Y21" t="s">
        <v>543</v>
      </c>
      <c r="Z21" t="s">
        <v>544</v>
      </c>
      <c r="AA21" t="s">
        <v>545</v>
      </c>
      <c r="AB21" t="s">
        <v>546</v>
      </c>
      <c r="AC21" t="s">
        <v>547</v>
      </c>
      <c r="AD21" t="s">
        <v>548</v>
      </c>
      <c r="AE21" t="s">
        <v>549</v>
      </c>
      <c r="AF21" t="s">
        <v>74</v>
      </c>
      <c r="AG21">
        <v>40</v>
      </c>
      <c r="AH21">
        <v>67</v>
      </c>
      <c r="AI21">
        <v>81</v>
      </c>
      <c r="AJ21">
        <v>2</v>
      </c>
      <c r="AK21">
        <v>64</v>
      </c>
      <c r="AL21" t="s">
        <v>179</v>
      </c>
      <c r="AM21" t="s">
        <v>550</v>
      </c>
      <c r="AN21" t="s">
        <v>551</v>
      </c>
      <c r="AO21" t="s">
        <v>552</v>
      </c>
      <c r="AP21" t="s">
        <v>553</v>
      </c>
      <c r="AQ21" t="s">
        <v>74</v>
      </c>
      <c r="AR21" t="s">
        <v>554</v>
      </c>
      <c r="AS21" t="s">
        <v>555</v>
      </c>
      <c r="AT21" t="s">
        <v>98</v>
      </c>
      <c r="AU21">
        <v>2015</v>
      </c>
      <c r="AV21">
        <v>8</v>
      </c>
      <c r="AW21">
        <v>11</v>
      </c>
      <c r="AX21" t="s">
        <v>74</v>
      </c>
      <c r="AY21" t="s">
        <v>74</v>
      </c>
      <c r="AZ21" t="s">
        <v>74</v>
      </c>
      <c r="BA21" t="s">
        <v>74</v>
      </c>
      <c r="BB21">
        <v>851</v>
      </c>
      <c r="BC21" t="s">
        <v>556</v>
      </c>
      <c r="BD21" t="s">
        <v>74</v>
      </c>
      <c r="BE21" t="s">
        <v>557</v>
      </c>
      <c r="BF21" t="str">
        <f>HYPERLINK("http://dx.doi.org/10.1038/NGEO2533","http://dx.doi.org/10.1038/NGEO2533")</f>
        <v>http://dx.doi.org/10.1038/NGEO2533</v>
      </c>
      <c r="BG21" t="s">
        <v>74</v>
      </c>
      <c r="BH21" t="s">
        <v>74</v>
      </c>
      <c r="BI21">
        <v>7</v>
      </c>
      <c r="BJ21" t="s">
        <v>314</v>
      </c>
      <c r="BK21" t="s">
        <v>101</v>
      </c>
      <c r="BL21" t="s">
        <v>315</v>
      </c>
      <c r="BM21" t="s">
        <v>558</v>
      </c>
      <c r="BN21" t="s">
        <v>74</v>
      </c>
      <c r="BO21" t="s">
        <v>559</v>
      </c>
      <c r="BP21" t="s">
        <v>74</v>
      </c>
      <c r="BQ21" t="s">
        <v>74</v>
      </c>
      <c r="BR21" t="s">
        <v>103</v>
      </c>
      <c r="BS21" t="s">
        <v>560</v>
      </c>
      <c r="BT21" t="str">
        <f>HYPERLINK("https%3A%2F%2Fwww.webofscience.com%2Fwos%2Fwoscc%2Ffull-record%2FWOS:000367200000017","View Full Record in Web of Science")</f>
        <v>View Full Record in Web of Science</v>
      </c>
    </row>
    <row r="22" spans="1:72" x14ac:dyDescent="0.15">
      <c r="A22" t="s">
        <v>72</v>
      </c>
      <c r="B22" t="s">
        <v>561</v>
      </c>
      <c r="C22" t="s">
        <v>74</v>
      </c>
      <c r="D22" t="s">
        <v>74</v>
      </c>
      <c r="E22" t="s">
        <v>74</v>
      </c>
      <c r="F22" t="s">
        <v>562</v>
      </c>
      <c r="G22" t="s">
        <v>74</v>
      </c>
      <c r="H22" t="s">
        <v>74</v>
      </c>
      <c r="I22" t="s">
        <v>563</v>
      </c>
      <c r="J22" t="s">
        <v>538</v>
      </c>
      <c r="K22" t="s">
        <v>74</v>
      </c>
      <c r="L22" t="s">
        <v>74</v>
      </c>
      <c r="M22" t="s">
        <v>78</v>
      </c>
      <c r="N22" t="s">
        <v>79</v>
      </c>
      <c r="O22" t="s">
        <v>74</v>
      </c>
      <c r="P22" t="s">
        <v>74</v>
      </c>
      <c r="Q22" t="s">
        <v>74</v>
      </c>
      <c r="R22" t="s">
        <v>74</v>
      </c>
      <c r="S22" t="s">
        <v>74</v>
      </c>
      <c r="T22" t="s">
        <v>74</v>
      </c>
      <c r="U22" t="s">
        <v>564</v>
      </c>
      <c r="V22" t="s">
        <v>565</v>
      </c>
      <c r="W22" t="s">
        <v>566</v>
      </c>
      <c r="X22" t="s">
        <v>567</v>
      </c>
      <c r="Y22" t="s">
        <v>568</v>
      </c>
      <c r="Z22" t="s">
        <v>569</v>
      </c>
      <c r="AA22" t="s">
        <v>570</v>
      </c>
      <c r="AB22" t="s">
        <v>571</v>
      </c>
      <c r="AC22" t="s">
        <v>572</v>
      </c>
      <c r="AD22" t="s">
        <v>573</v>
      </c>
      <c r="AE22" t="s">
        <v>574</v>
      </c>
      <c r="AF22" t="s">
        <v>74</v>
      </c>
      <c r="AG22">
        <v>32</v>
      </c>
      <c r="AH22">
        <v>91</v>
      </c>
      <c r="AI22">
        <v>97</v>
      </c>
      <c r="AJ22">
        <v>2</v>
      </c>
      <c r="AK22">
        <v>37</v>
      </c>
      <c r="AL22" t="s">
        <v>179</v>
      </c>
      <c r="AM22" t="s">
        <v>550</v>
      </c>
      <c r="AN22" t="s">
        <v>551</v>
      </c>
      <c r="AO22" t="s">
        <v>552</v>
      </c>
      <c r="AP22" t="s">
        <v>553</v>
      </c>
      <c r="AQ22" t="s">
        <v>74</v>
      </c>
      <c r="AR22" t="s">
        <v>554</v>
      </c>
      <c r="AS22" t="s">
        <v>555</v>
      </c>
      <c r="AT22" t="s">
        <v>98</v>
      </c>
      <c r="AU22">
        <v>2015</v>
      </c>
      <c r="AV22">
        <v>8</v>
      </c>
      <c r="AW22">
        <v>11</v>
      </c>
      <c r="AX22" t="s">
        <v>74</v>
      </c>
      <c r="AY22" t="s">
        <v>74</v>
      </c>
      <c r="AZ22" t="s">
        <v>74</v>
      </c>
      <c r="BA22" t="s">
        <v>74</v>
      </c>
      <c r="BB22">
        <v>861</v>
      </c>
      <c r="BC22" t="s">
        <v>556</v>
      </c>
      <c r="BD22" t="s">
        <v>74</v>
      </c>
      <c r="BE22" t="s">
        <v>575</v>
      </c>
      <c r="BF22" t="str">
        <f>HYPERLINK("http://dx.doi.org/10.1038/NGEO2538","http://dx.doi.org/10.1038/NGEO2538")</f>
        <v>http://dx.doi.org/10.1038/NGEO2538</v>
      </c>
      <c r="BG22" t="s">
        <v>74</v>
      </c>
      <c r="BH22" t="s">
        <v>74</v>
      </c>
      <c r="BI22">
        <v>5</v>
      </c>
      <c r="BJ22" t="s">
        <v>314</v>
      </c>
      <c r="BK22" t="s">
        <v>101</v>
      </c>
      <c r="BL22" t="s">
        <v>315</v>
      </c>
      <c r="BM22" t="s">
        <v>558</v>
      </c>
      <c r="BN22" t="s">
        <v>74</v>
      </c>
      <c r="BO22" t="s">
        <v>559</v>
      </c>
      <c r="BP22" t="s">
        <v>74</v>
      </c>
      <c r="BQ22" t="s">
        <v>74</v>
      </c>
      <c r="BR22" t="s">
        <v>103</v>
      </c>
      <c r="BS22" t="s">
        <v>576</v>
      </c>
      <c r="BT22" t="str">
        <f>HYPERLINK("https%3A%2F%2Fwww.webofscience.com%2Fwos%2Fwoscc%2Ffull-record%2FWOS:000367200000020","View Full Record in Web of Science")</f>
        <v>View Full Record in Web of Science</v>
      </c>
    </row>
    <row r="23" spans="1:72" x14ac:dyDescent="0.15">
      <c r="A23" t="s">
        <v>72</v>
      </c>
      <c r="B23" t="s">
        <v>577</v>
      </c>
      <c r="C23" t="s">
        <v>74</v>
      </c>
      <c r="D23" t="s">
        <v>74</v>
      </c>
      <c r="E23" t="s">
        <v>74</v>
      </c>
      <c r="F23" t="s">
        <v>578</v>
      </c>
      <c r="G23" t="s">
        <v>74</v>
      </c>
      <c r="H23" t="s">
        <v>74</v>
      </c>
      <c r="I23" t="s">
        <v>579</v>
      </c>
      <c r="J23" t="s">
        <v>580</v>
      </c>
      <c r="K23" t="s">
        <v>74</v>
      </c>
      <c r="L23" t="s">
        <v>74</v>
      </c>
      <c r="M23" t="s">
        <v>78</v>
      </c>
      <c r="N23" t="s">
        <v>581</v>
      </c>
      <c r="O23" t="s">
        <v>74</v>
      </c>
      <c r="P23" t="s">
        <v>74</v>
      </c>
      <c r="Q23" t="s">
        <v>74</v>
      </c>
      <c r="R23" t="s">
        <v>74</v>
      </c>
      <c r="S23" t="s">
        <v>74</v>
      </c>
      <c r="T23" t="s">
        <v>74</v>
      </c>
      <c r="U23" t="s">
        <v>582</v>
      </c>
      <c r="V23" t="s">
        <v>583</v>
      </c>
      <c r="W23" t="s">
        <v>584</v>
      </c>
      <c r="X23" t="s">
        <v>585</v>
      </c>
      <c r="Y23" t="s">
        <v>586</v>
      </c>
      <c r="Z23" t="s">
        <v>587</v>
      </c>
      <c r="AA23" t="s">
        <v>588</v>
      </c>
      <c r="AB23" t="s">
        <v>589</v>
      </c>
      <c r="AC23" t="s">
        <v>590</v>
      </c>
      <c r="AD23" t="s">
        <v>591</v>
      </c>
      <c r="AE23" t="s">
        <v>592</v>
      </c>
      <c r="AF23" t="s">
        <v>74</v>
      </c>
      <c r="AG23">
        <v>129</v>
      </c>
      <c r="AH23">
        <v>108</v>
      </c>
      <c r="AI23">
        <v>117</v>
      </c>
      <c r="AJ23">
        <v>7</v>
      </c>
      <c r="AK23">
        <v>198</v>
      </c>
      <c r="AL23" t="s">
        <v>179</v>
      </c>
      <c r="AM23" t="s">
        <v>180</v>
      </c>
      <c r="AN23" t="s">
        <v>181</v>
      </c>
      <c r="AO23" t="s">
        <v>593</v>
      </c>
      <c r="AP23" t="s">
        <v>594</v>
      </c>
      <c r="AQ23" t="s">
        <v>74</v>
      </c>
      <c r="AR23" t="s">
        <v>595</v>
      </c>
      <c r="AS23" t="s">
        <v>596</v>
      </c>
      <c r="AT23" t="s">
        <v>98</v>
      </c>
      <c r="AU23">
        <v>2015</v>
      </c>
      <c r="AV23">
        <v>13</v>
      </c>
      <c r="AW23">
        <v>11</v>
      </c>
      <c r="AX23" t="s">
        <v>74</v>
      </c>
      <c r="AY23" t="s">
        <v>74</v>
      </c>
      <c r="AZ23" t="s">
        <v>74</v>
      </c>
      <c r="BA23" t="s">
        <v>74</v>
      </c>
      <c r="BB23">
        <v>691</v>
      </c>
      <c r="BC23">
        <v>706</v>
      </c>
      <c r="BD23" t="s">
        <v>74</v>
      </c>
      <c r="BE23" t="s">
        <v>597</v>
      </c>
      <c r="BF23" t="str">
        <f>HYPERLINK("http://dx.doi.org/10.1038/nrmicro3549","http://dx.doi.org/10.1038/nrmicro3549")</f>
        <v>http://dx.doi.org/10.1038/nrmicro3549</v>
      </c>
      <c r="BG23" t="s">
        <v>74</v>
      </c>
      <c r="BH23" t="s">
        <v>74</v>
      </c>
      <c r="BI23">
        <v>16</v>
      </c>
      <c r="BJ23" t="s">
        <v>160</v>
      </c>
      <c r="BK23" t="s">
        <v>101</v>
      </c>
      <c r="BL23" t="s">
        <v>160</v>
      </c>
      <c r="BM23" t="s">
        <v>598</v>
      </c>
      <c r="BN23">
        <v>26456925</v>
      </c>
      <c r="BO23" t="s">
        <v>74</v>
      </c>
      <c r="BP23" t="s">
        <v>74</v>
      </c>
      <c r="BQ23" t="s">
        <v>74</v>
      </c>
      <c r="BR23" t="s">
        <v>103</v>
      </c>
      <c r="BS23" t="s">
        <v>599</v>
      </c>
      <c r="BT23" t="str">
        <f>HYPERLINK("https%3A%2F%2Fwww.webofscience.com%2Fwos%2Fwoscc%2Ffull-record%2FWOS:000364620900007","View Full Record in Web of Science")</f>
        <v>View Full Record in Web of Science</v>
      </c>
    </row>
    <row r="24" spans="1:72" x14ac:dyDescent="0.15">
      <c r="A24" t="s">
        <v>72</v>
      </c>
      <c r="B24" t="s">
        <v>600</v>
      </c>
      <c r="C24" t="s">
        <v>74</v>
      </c>
      <c r="D24" t="s">
        <v>74</v>
      </c>
      <c r="E24" t="s">
        <v>74</v>
      </c>
      <c r="F24" t="s">
        <v>601</v>
      </c>
      <c r="G24" t="s">
        <v>74</v>
      </c>
      <c r="H24" t="s">
        <v>74</v>
      </c>
      <c r="I24" t="s">
        <v>602</v>
      </c>
      <c r="J24" t="s">
        <v>603</v>
      </c>
      <c r="K24" t="s">
        <v>74</v>
      </c>
      <c r="L24" t="s">
        <v>74</v>
      </c>
      <c r="M24" t="s">
        <v>78</v>
      </c>
      <c r="N24" t="s">
        <v>79</v>
      </c>
      <c r="O24" t="s">
        <v>74</v>
      </c>
      <c r="P24" t="s">
        <v>74</v>
      </c>
      <c r="Q24" t="s">
        <v>74</v>
      </c>
      <c r="R24" t="s">
        <v>74</v>
      </c>
      <c r="S24" t="s">
        <v>74</v>
      </c>
      <c r="T24" t="s">
        <v>604</v>
      </c>
      <c r="U24" t="s">
        <v>605</v>
      </c>
      <c r="V24" t="s">
        <v>606</v>
      </c>
      <c r="W24" t="s">
        <v>607</v>
      </c>
      <c r="X24" t="s">
        <v>608</v>
      </c>
      <c r="Y24" t="s">
        <v>609</v>
      </c>
      <c r="Z24" t="s">
        <v>610</v>
      </c>
      <c r="AA24" t="s">
        <v>611</v>
      </c>
      <c r="AB24" t="s">
        <v>612</v>
      </c>
      <c r="AC24" t="s">
        <v>613</v>
      </c>
      <c r="AD24" t="s">
        <v>614</v>
      </c>
      <c r="AE24" t="s">
        <v>615</v>
      </c>
      <c r="AF24" t="s">
        <v>74</v>
      </c>
      <c r="AG24">
        <v>55</v>
      </c>
      <c r="AH24">
        <v>17</v>
      </c>
      <c r="AI24">
        <v>18</v>
      </c>
      <c r="AJ24">
        <v>0</v>
      </c>
      <c r="AK24">
        <v>14</v>
      </c>
      <c r="AL24" t="s">
        <v>496</v>
      </c>
      <c r="AM24" t="s">
        <v>398</v>
      </c>
      <c r="AN24" t="s">
        <v>497</v>
      </c>
      <c r="AO24" t="s">
        <v>616</v>
      </c>
      <c r="AP24" t="s">
        <v>617</v>
      </c>
      <c r="AQ24" t="s">
        <v>74</v>
      </c>
      <c r="AR24" t="s">
        <v>618</v>
      </c>
      <c r="AS24" t="s">
        <v>619</v>
      </c>
      <c r="AT24" t="s">
        <v>98</v>
      </c>
      <c r="AU24">
        <v>2015</v>
      </c>
      <c r="AV24">
        <v>95</v>
      </c>
      <c r="AW24" t="s">
        <v>74</v>
      </c>
      <c r="AX24" t="s">
        <v>74</v>
      </c>
      <c r="AY24" t="s">
        <v>74</v>
      </c>
      <c r="AZ24" t="s">
        <v>74</v>
      </c>
      <c r="BA24" t="s">
        <v>74</v>
      </c>
      <c r="BB24">
        <v>15</v>
      </c>
      <c r="BC24">
        <v>24</v>
      </c>
      <c r="BD24" t="s">
        <v>74</v>
      </c>
      <c r="BE24" t="s">
        <v>620</v>
      </c>
      <c r="BF24" t="str">
        <f>HYPERLINK("http://dx.doi.org/10.1016/j.ocemod.2015.08.004","http://dx.doi.org/10.1016/j.ocemod.2015.08.004")</f>
        <v>http://dx.doi.org/10.1016/j.ocemod.2015.08.004</v>
      </c>
      <c r="BG24" t="s">
        <v>74</v>
      </c>
      <c r="BH24" t="s">
        <v>74</v>
      </c>
      <c r="BI24">
        <v>10</v>
      </c>
      <c r="BJ24" t="s">
        <v>621</v>
      </c>
      <c r="BK24" t="s">
        <v>101</v>
      </c>
      <c r="BL24" t="s">
        <v>621</v>
      </c>
      <c r="BM24" t="s">
        <v>622</v>
      </c>
      <c r="BN24" t="s">
        <v>74</v>
      </c>
      <c r="BO24" t="s">
        <v>290</v>
      </c>
      <c r="BP24" t="s">
        <v>74</v>
      </c>
      <c r="BQ24" t="s">
        <v>74</v>
      </c>
      <c r="BR24" t="s">
        <v>103</v>
      </c>
      <c r="BS24" t="s">
        <v>623</v>
      </c>
      <c r="BT24" t="str">
        <f>HYPERLINK("https%3A%2F%2Fwww.webofscience.com%2Fwos%2Fwoscc%2Ffull-record%2FWOS:000363856000002","View Full Record in Web of Science")</f>
        <v>View Full Record in Web of Science</v>
      </c>
    </row>
    <row r="25" spans="1:72" x14ac:dyDescent="0.15">
      <c r="A25" t="s">
        <v>72</v>
      </c>
      <c r="B25" t="s">
        <v>624</v>
      </c>
      <c r="C25" t="s">
        <v>74</v>
      </c>
      <c r="D25" t="s">
        <v>74</v>
      </c>
      <c r="E25" t="s">
        <v>74</v>
      </c>
      <c r="F25" t="s">
        <v>625</v>
      </c>
      <c r="G25" t="s">
        <v>74</v>
      </c>
      <c r="H25" t="s">
        <v>74</v>
      </c>
      <c r="I25" t="s">
        <v>626</v>
      </c>
      <c r="J25" t="s">
        <v>627</v>
      </c>
      <c r="K25" t="s">
        <v>74</v>
      </c>
      <c r="L25" t="s">
        <v>74</v>
      </c>
      <c r="M25" t="s">
        <v>78</v>
      </c>
      <c r="N25" t="s">
        <v>79</v>
      </c>
      <c r="O25" t="s">
        <v>74</v>
      </c>
      <c r="P25" t="s">
        <v>74</v>
      </c>
      <c r="Q25" t="s">
        <v>74</v>
      </c>
      <c r="R25" t="s">
        <v>74</v>
      </c>
      <c r="S25" t="s">
        <v>74</v>
      </c>
      <c r="T25" t="s">
        <v>74</v>
      </c>
      <c r="U25" t="s">
        <v>628</v>
      </c>
      <c r="V25" t="s">
        <v>629</v>
      </c>
      <c r="W25" t="s">
        <v>630</v>
      </c>
      <c r="X25" t="s">
        <v>631</v>
      </c>
      <c r="Y25" t="s">
        <v>632</v>
      </c>
      <c r="Z25" t="s">
        <v>633</v>
      </c>
      <c r="AA25" t="s">
        <v>634</v>
      </c>
      <c r="AB25" t="s">
        <v>635</v>
      </c>
      <c r="AC25" t="s">
        <v>636</v>
      </c>
      <c r="AD25" t="s">
        <v>637</v>
      </c>
      <c r="AE25" t="s">
        <v>638</v>
      </c>
      <c r="AF25" t="s">
        <v>74</v>
      </c>
      <c r="AG25">
        <v>72</v>
      </c>
      <c r="AH25">
        <v>47</v>
      </c>
      <c r="AI25">
        <v>48</v>
      </c>
      <c r="AJ25">
        <v>0</v>
      </c>
      <c r="AK25">
        <v>68</v>
      </c>
      <c r="AL25" t="s">
        <v>208</v>
      </c>
      <c r="AM25" t="s">
        <v>209</v>
      </c>
      <c r="AN25" t="s">
        <v>210</v>
      </c>
      <c r="AO25" t="s">
        <v>639</v>
      </c>
      <c r="AP25" t="s">
        <v>640</v>
      </c>
      <c r="AQ25" t="s">
        <v>74</v>
      </c>
      <c r="AR25" t="s">
        <v>627</v>
      </c>
      <c r="AS25" t="s">
        <v>641</v>
      </c>
      <c r="AT25" t="s">
        <v>98</v>
      </c>
      <c r="AU25">
        <v>2015</v>
      </c>
      <c r="AV25">
        <v>124</v>
      </c>
      <c r="AW25">
        <v>11</v>
      </c>
      <c r="AX25" t="s">
        <v>74</v>
      </c>
      <c r="AY25" t="s">
        <v>74</v>
      </c>
      <c r="AZ25" t="s">
        <v>74</v>
      </c>
      <c r="BA25" t="s">
        <v>74</v>
      </c>
      <c r="BB25">
        <v>1462</v>
      </c>
      <c r="BC25">
        <v>1472</v>
      </c>
      <c r="BD25" t="s">
        <v>74</v>
      </c>
      <c r="BE25" t="s">
        <v>642</v>
      </c>
      <c r="BF25" t="str">
        <f>HYPERLINK("http://dx.doi.org/10.1111/oik.01810","http://dx.doi.org/10.1111/oik.01810")</f>
        <v>http://dx.doi.org/10.1111/oik.01810</v>
      </c>
      <c r="BG25" t="s">
        <v>74</v>
      </c>
      <c r="BH25" t="s">
        <v>74</v>
      </c>
      <c r="BI25">
        <v>11</v>
      </c>
      <c r="BJ25" t="s">
        <v>643</v>
      </c>
      <c r="BK25" t="s">
        <v>101</v>
      </c>
      <c r="BL25" t="s">
        <v>644</v>
      </c>
      <c r="BM25" t="s">
        <v>645</v>
      </c>
      <c r="BN25" t="s">
        <v>74</v>
      </c>
      <c r="BO25" t="s">
        <v>74</v>
      </c>
      <c r="BP25" t="s">
        <v>74</v>
      </c>
      <c r="BQ25" t="s">
        <v>74</v>
      </c>
      <c r="BR25" t="s">
        <v>103</v>
      </c>
      <c r="BS25" t="s">
        <v>646</v>
      </c>
      <c r="BT25" t="str">
        <f>HYPERLINK("https%3A%2F%2Fwww.webofscience.com%2Fwos%2Fwoscc%2Ffull-record%2FWOS:000363866900006","View Full Record in Web of Science")</f>
        <v>View Full Record in Web of Science</v>
      </c>
    </row>
    <row r="26" spans="1:72" x14ac:dyDescent="0.15">
      <c r="A26" t="s">
        <v>72</v>
      </c>
      <c r="B26" t="s">
        <v>647</v>
      </c>
      <c r="C26" t="s">
        <v>74</v>
      </c>
      <c r="D26" t="s">
        <v>74</v>
      </c>
      <c r="E26" t="s">
        <v>74</v>
      </c>
      <c r="F26" t="s">
        <v>648</v>
      </c>
      <c r="G26" t="s">
        <v>74</v>
      </c>
      <c r="H26" t="s">
        <v>74</v>
      </c>
      <c r="I26" t="s">
        <v>649</v>
      </c>
      <c r="J26" t="s">
        <v>650</v>
      </c>
      <c r="K26" t="s">
        <v>74</v>
      </c>
      <c r="L26" t="s">
        <v>74</v>
      </c>
      <c r="M26" t="s">
        <v>78</v>
      </c>
      <c r="N26" t="s">
        <v>79</v>
      </c>
      <c r="O26" t="s">
        <v>74</v>
      </c>
      <c r="P26" t="s">
        <v>74</v>
      </c>
      <c r="Q26" t="s">
        <v>74</v>
      </c>
      <c r="R26" t="s">
        <v>74</v>
      </c>
      <c r="S26" t="s">
        <v>74</v>
      </c>
      <c r="T26" t="s">
        <v>74</v>
      </c>
      <c r="U26" t="s">
        <v>651</v>
      </c>
      <c r="V26" t="s">
        <v>652</v>
      </c>
      <c r="W26" t="s">
        <v>653</v>
      </c>
      <c r="X26" t="s">
        <v>654</v>
      </c>
      <c r="Y26" t="s">
        <v>655</v>
      </c>
      <c r="Z26" t="s">
        <v>656</v>
      </c>
      <c r="AA26" t="s">
        <v>74</v>
      </c>
      <c r="AB26" t="s">
        <v>657</v>
      </c>
      <c r="AC26" t="s">
        <v>658</v>
      </c>
      <c r="AD26" t="s">
        <v>659</v>
      </c>
      <c r="AE26" t="s">
        <v>660</v>
      </c>
      <c r="AF26" t="s">
        <v>74</v>
      </c>
      <c r="AG26">
        <v>101</v>
      </c>
      <c r="AH26">
        <v>32</v>
      </c>
      <c r="AI26">
        <v>36</v>
      </c>
      <c r="AJ26">
        <v>2</v>
      </c>
      <c r="AK26">
        <v>16</v>
      </c>
      <c r="AL26" t="s">
        <v>306</v>
      </c>
      <c r="AM26" t="s">
        <v>307</v>
      </c>
      <c r="AN26" t="s">
        <v>308</v>
      </c>
      <c r="AO26" t="s">
        <v>661</v>
      </c>
      <c r="AP26" t="s">
        <v>662</v>
      </c>
      <c r="AQ26" t="s">
        <v>74</v>
      </c>
      <c r="AR26" t="s">
        <v>650</v>
      </c>
      <c r="AS26" t="s">
        <v>663</v>
      </c>
      <c r="AT26" t="s">
        <v>98</v>
      </c>
      <c r="AU26">
        <v>2015</v>
      </c>
      <c r="AV26">
        <v>30</v>
      </c>
      <c r="AW26">
        <v>11</v>
      </c>
      <c r="AX26" t="s">
        <v>74</v>
      </c>
      <c r="AY26" t="s">
        <v>74</v>
      </c>
      <c r="AZ26" t="s">
        <v>74</v>
      </c>
      <c r="BA26" t="s">
        <v>74</v>
      </c>
      <c r="BB26">
        <v>1407</v>
      </c>
      <c r="BC26">
        <v>1424</v>
      </c>
      <c r="BD26" t="s">
        <v>74</v>
      </c>
      <c r="BE26" t="s">
        <v>664</v>
      </c>
      <c r="BF26" t="str">
        <f>HYPERLINK("http://dx.doi.org/10.1002/2015PA002816","http://dx.doi.org/10.1002/2015PA002816")</f>
        <v>http://dx.doi.org/10.1002/2015PA002816</v>
      </c>
      <c r="BG26" t="s">
        <v>74</v>
      </c>
      <c r="BH26" t="s">
        <v>74</v>
      </c>
      <c r="BI26">
        <v>18</v>
      </c>
      <c r="BJ26" t="s">
        <v>665</v>
      </c>
      <c r="BK26" t="s">
        <v>101</v>
      </c>
      <c r="BL26" t="s">
        <v>666</v>
      </c>
      <c r="BM26" t="s">
        <v>667</v>
      </c>
      <c r="BN26" t="s">
        <v>74</v>
      </c>
      <c r="BO26" t="s">
        <v>162</v>
      </c>
      <c r="BP26" t="s">
        <v>74</v>
      </c>
      <c r="BQ26" t="s">
        <v>74</v>
      </c>
      <c r="BR26" t="s">
        <v>103</v>
      </c>
      <c r="BS26" t="s">
        <v>668</v>
      </c>
      <c r="BT26" t="str">
        <f>HYPERLINK("https%3A%2F%2Fwww.webofscience.com%2Fwos%2Fwoscc%2Ffull-record%2FWOS:000368908900001","View Full Record in Web of Science")</f>
        <v>View Full Record in Web of Science</v>
      </c>
    </row>
    <row r="27" spans="1:72" x14ac:dyDescent="0.15">
      <c r="A27" t="s">
        <v>72</v>
      </c>
      <c r="B27" t="s">
        <v>669</v>
      </c>
      <c r="C27" t="s">
        <v>74</v>
      </c>
      <c r="D27" t="s">
        <v>74</v>
      </c>
      <c r="E27" t="s">
        <v>74</v>
      </c>
      <c r="F27" t="s">
        <v>670</v>
      </c>
      <c r="G27" t="s">
        <v>74</v>
      </c>
      <c r="H27" t="s">
        <v>74</v>
      </c>
      <c r="I27" t="s">
        <v>671</v>
      </c>
      <c r="J27" t="s">
        <v>650</v>
      </c>
      <c r="K27" t="s">
        <v>74</v>
      </c>
      <c r="L27" t="s">
        <v>74</v>
      </c>
      <c r="M27" t="s">
        <v>78</v>
      </c>
      <c r="N27" t="s">
        <v>79</v>
      </c>
      <c r="O27" t="s">
        <v>74</v>
      </c>
      <c r="P27" t="s">
        <v>74</v>
      </c>
      <c r="Q27" t="s">
        <v>74</v>
      </c>
      <c r="R27" t="s">
        <v>74</v>
      </c>
      <c r="S27" t="s">
        <v>74</v>
      </c>
      <c r="T27" t="s">
        <v>74</v>
      </c>
      <c r="U27" t="s">
        <v>672</v>
      </c>
      <c r="V27" t="s">
        <v>673</v>
      </c>
      <c r="W27" t="s">
        <v>674</v>
      </c>
      <c r="X27" t="s">
        <v>675</v>
      </c>
      <c r="Y27" t="s">
        <v>676</v>
      </c>
      <c r="Z27" t="s">
        <v>677</v>
      </c>
      <c r="AA27" t="s">
        <v>678</v>
      </c>
      <c r="AB27" t="s">
        <v>679</v>
      </c>
      <c r="AC27" t="s">
        <v>680</v>
      </c>
      <c r="AD27" t="s">
        <v>681</v>
      </c>
      <c r="AE27" t="s">
        <v>682</v>
      </c>
      <c r="AF27" t="s">
        <v>74</v>
      </c>
      <c r="AG27">
        <v>108</v>
      </c>
      <c r="AH27">
        <v>91</v>
      </c>
      <c r="AI27">
        <v>97</v>
      </c>
      <c r="AJ27">
        <v>5</v>
      </c>
      <c r="AK27">
        <v>63</v>
      </c>
      <c r="AL27" t="s">
        <v>306</v>
      </c>
      <c r="AM27" t="s">
        <v>307</v>
      </c>
      <c r="AN27" t="s">
        <v>308</v>
      </c>
      <c r="AO27" t="s">
        <v>661</v>
      </c>
      <c r="AP27" t="s">
        <v>662</v>
      </c>
      <c r="AQ27" t="s">
        <v>74</v>
      </c>
      <c r="AR27" t="s">
        <v>650</v>
      </c>
      <c r="AS27" t="s">
        <v>663</v>
      </c>
      <c r="AT27" t="s">
        <v>98</v>
      </c>
      <c r="AU27">
        <v>2015</v>
      </c>
      <c r="AV27">
        <v>30</v>
      </c>
      <c r="AW27">
        <v>11</v>
      </c>
      <c r="AX27" t="s">
        <v>74</v>
      </c>
      <c r="AY27" t="s">
        <v>74</v>
      </c>
      <c r="AZ27" t="s">
        <v>74</v>
      </c>
      <c r="BA27" t="s">
        <v>74</v>
      </c>
      <c r="BB27">
        <v>1437</v>
      </c>
      <c r="BC27">
        <v>1454</v>
      </c>
      <c r="BD27" t="s">
        <v>74</v>
      </c>
      <c r="BE27" t="s">
        <v>683</v>
      </c>
      <c r="BF27" t="str">
        <f>HYPERLINK("http://dx.doi.org/10.1002/2015PA002833","http://dx.doi.org/10.1002/2015PA002833")</f>
        <v>http://dx.doi.org/10.1002/2015PA002833</v>
      </c>
      <c r="BG27" t="s">
        <v>74</v>
      </c>
      <c r="BH27" t="s">
        <v>74</v>
      </c>
      <c r="BI27">
        <v>18</v>
      </c>
      <c r="BJ27" t="s">
        <v>665</v>
      </c>
      <c r="BK27" t="s">
        <v>101</v>
      </c>
      <c r="BL27" t="s">
        <v>666</v>
      </c>
      <c r="BM27" t="s">
        <v>667</v>
      </c>
      <c r="BN27" t="s">
        <v>74</v>
      </c>
      <c r="BO27" t="s">
        <v>684</v>
      </c>
      <c r="BP27" t="s">
        <v>74</v>
      </c>
      <c r="BQ27" t="s">
        <v>74</v>
      </c>
      <c r="BR27" t="s">
        <v>103</v>
      </c>
      <c r="BS27" t="s">
        <v>685</v>
      </c>
      <c r="BT27" t="str">
        <f>HYPERLINK("https%3A%2F%2Fwww.webofscience.com%2Fwos%2Fwoscc%2Ffull-record%2FWOS:000368908900003","View Full Record in Web of Science")</f>
        <v>View Full Record in Web of Science</v>
      </c>
    </row>
    <row r="28" spans="1:72" x14ac:dyDescent="0.15">
      <c r="A28" t="s">
        <v>72</v>
      </c>
      <c r="B28" t="s">
        <v>686</v>
      </c>
      <c r="C28" t="s">
        <v>74</v>
      </c>
      <c r="D28" t="s">
        <v>74</v>
      </c>
      <c r="E28" t="s">
        <v>74</v>
      </c>
      <c r="F28" t="s">
        <v>687</v>
      </c>
      <c r="G28" t="s">
        <v>74</v>
      </c>
      <c r="H28" t="s">
        <v>74</v>
      </c>
      <c r="I28" t="s">
        <v>688</v>
      </c>
      <c r="J28" t="s">
        <v>650</v>
      </c>
      <c r="K28" t="s">
        <v>74</v>
      </c>
      <c r="L28" t="s">
        <v>74</v>
      </c>
      <c r="M28" t="s">
        <v>78</v>
      </c>
      <c r="N28" t="s">
        <v>79</v>
      </c>
      <c r="O28" t="s">
        <v>74</v>
      </c>
      <c r="P28" t="s">
        <v>74</v>
      </c>
      <c r="Q28" t="s">
        <v>74</v>
      </c>
      <c r="R28" t="s">
        <v>74</v>
      </c>
      <c r="S28" t="s">
        <v>74</v>
      </c>
      <c r="T28" t="s">
        <v>74</v>
      </c>
      <c r="U28" t="s">
        <v>689</v>
      </c>
      <c r="V28" t="s">
        <v>690</v>
      </c>
      <c r="W28" t="s">
        <v>691</v>
      </c>
      <c r="X28" t="s">
        <v>692</v>
      </c>
      <c r="Y28" t="s">
        <v>693</v>
      </c>
      <c r="Z28" t="s">
        <v>694</v>
      </c>
      <c r="AA28" t="s">
        <v>695</v>
      </c>
      <c r="AB28" t="s">
        <v>696</v>
      </c>
      <c r="AC28" t="s">
        <v>697</v>
      </c>
      <c r="AD28" t="s">
        <v>698</v>
      </c>
      <c r="AE28" t="s">
        <v>699</v>
      </c>
      <c r="AF28" t="s">
        <v>74</v>
      </c>
      <c r="AG28">
        <v>68</v>
      </c>
      <c r="AH28">
        <v>32</v>
      </c>
      <c r="AI28">
        <v>32</v>
      </c>
      <c r="AJ28">
        <v>1</v>
      </c>
      <c r="AK28">
        <v>22</v>
      </c>
      <c r="AL28" t="s">
        <v>306</v>
      </c>
      <c r="AM28" t="s">
        <v>307</v>
      </c>
      <c r="AN28" t="s">
        <v>308</v>
      </c>
      <c r="AO28" t="s">
        <v>661</v>
      </c>
      <c r="AP28" t="s">
        <v>662</v>
      </c>
      <c r="AQ28" t="s">
        <v>74</v>
      </c>
      <c r="AR28" t="s">
        <v>650</v>
      </c>
      <c r="AS28" t="s">
        <v>663</v>
      </c>
      <c r="AT28" t="s">
        <v>98</v>
      </c>
      <c r="AU28">
        <v>2015</v>
      </c>
      <c r="AV28">
        <v>30</v>
      </c>
      <c r="AW28">
        <v>11</v>
      </c>
      <c r="AX28" t="s">
        <v>74</v>
      </c>
      <c r="AY28" t="s">
        <v>74</v>
      </c>
      <c r="AZ28" t="s">
        <v>74</v>
      </c>
      <c r="BA28" t="s">
        <v>74</v>
      </c>
      <c r="BB28">
        <v>1525</v>
      </c>
      <c r="BC28">
        <v>1539</v>
      </c>
      <c r="BD28" t="s">
        <v>74</v>
      </c>
      <c r="BE28" t="s">
        <v>700</v>
      </c>
      <c r="BF28" t="str">
        <f>HYPERLINK("http://dx.doi.org/10.1002/2014PA002764","http://dx.doi.org/10.1002/2014PA002764")</f>
        <v>http://dx.doi.org/10.1002/2014PA002764</v>
      </c>
      <c r="BG28" t="s">
        <v>74</v>
      </c>
      <c r="BH28" t="s">
        <v>74</v>
      </c>
      <c r="BI28">
        <v>15</v>
      </c>
      <c r="BJ28" t="s">
        <v>665</v>
      </c>
      <c r="BK28" t="s">
        <v>101</v>
      </c>
      <c r="BL28" t="s">
        <v>666</v>
      </c>
      <c r="BM28" t="s">
        <v>667</v>
      </c>
      <c r="BN28" t="s">
        <v>74</v>
      </c>
      <c r="BO28" t="s">
        <v>701</v>
      </c>
      <c r="BP28" t="s">
        <v>74</v>
      </c>
      <c r="BQ28" t="s">
        <v>74</v>
      </c>
      <c r="BR28" t="s">
        <v>103</v>
      </c>
      <c r="BS28" t="s">
        <v>702</v>
      </c>
      <c r="BT28" t="str">
        <f>HYPERLINK("https%3A%2F%2Fwww.webofscience.com%2Fwos%2Fwoscc%2Ffull-record%2FWOS:000368908900008","View Full Record in Web of Science")</f>
        <v>View Full Record in Web of Science</v>
      </c>
    </row>
    <row r="29" spans="1:72" x14ac:dyDescent="0.15">
      <c r="A29" t="s">
        <v>72</v>
      </c>
      <c r="B29" t="s">
        <v>703</v>
      </c>
      <c r="C29" t="s">
        <v>74</v>
      </c>
      <c r="D29" t="s">
        <v>74</v>
      </c>
      <c r="E29" t="s">
        <v>74</v>
      </c>
      <c r="F29" t="s">
        <v>704</v>
      </c>
      <c r="G29" t="s">
        <v>74</v>
      </c>
      <c r="H29" t="s">
        <v>74</v>
      </c>
      <c r="I29" t="s">
        <v>705</v>
      </c>
      <c r="J29" t="s">
        <v>706</v>
      </c>
      <c r="K29" t="s">
        <v>74</v>
      </c>
      <c r="L29" t="s">
        <v>74</v>
      </c>
      <c r="M29" t="s">
        <v>78</v>
      </c>
      <c r="N29" t="s">
        <v>79</v>
      </c>
      <c r="O29" t="s">
        <v>74</v>
      </c>
      <c r="P29" t="s">
        <v>74</v>
      </c>
      <c r="Q29" t="s">
        <v>74</v>
      </c>
      <c r="R29" t="s">
        <v>74</v>
      </c>
      <c r="S29" t="s">
        <v>74</v>
      </c>
      <c r="T29" t="s">
        <v>74</v>
      </c>
      <c r="U29" t="s">
        <v>707</v>
      </c>
      <c r="V29" t="s">
        <v>708</v>
      </c>
      <c r="W29" t="s">
        <v>709</v>
      </c>
      <c r="X29" t="s">
        <v>710</v>
      </c>
      <c r="Y29" t="s">
        <v>711</v>
      </c>
      <c r="Z29" t="s">
        <v>712</v>
      </c>
      <c r="AA29" t="s">
        <v>713</v>
      </c>
      <c r="AB29" t="s">
        <v>714</v>
      </c>
      <c r="AC29" t="s">
        <v>715</v>
      </c>
      <c r="AD29" t="s">
        <v>716</v>
      </c>
      <c r="AE29" t="s">
        <v>717</v>
      </c>
      <c r="AF29" t="s">
        <v>74</v>
      </c>
      <c r="AG29">
        <v>96</v>
      </c>
      <c r="AH29">
        <v>4</v>
      </c>
      <c r="AI29">
        <v>4</v>
      </c>
      <c r="AJ29">
        <v>0</v>
      </c>
      <c r="AK29">
        <v>1</v>
      </c>
      <c r="AL29" t="s">
        <v>718</v>
      </c>
      <c r="AM29" t="s">
        <v>719</v>
      </c>
      <c r="AN29" t="s">
        <v>720</v>
      </c>
      <c r="AO29" t="s">
        <v>721</v>
      </c>
      <c r="AP29" t="s">
        <v>722</v>
      </c>
      <c r="AQ29" t="s">
        <v>74</v>
      </c>
      <c r="AR29" t="s">
        <v>723</v>
      </c>
      <c r="AS29" t="s">
        <v>724</v>
      </c>
      <c r="AT29" t="s">
        <v>98</v>
      </c>
      <c r="AU29">
        <v>2015</v>
      </c>
      <c r="AV29">
        <v>23</v>
      </c>
      <c r="AW29">
        <v>6</v>
      </c>
      <c r="AX29" t="s">
        <v>74</v>
      </c>
      <c r="AY29" t="s">
        <v>74</v>
      </c>
      <c r="AZ29" t="s">
        <v>74</v>
      </c>
      <c r="BA29" t="s">
        <v>74</v>
      </c>
      <c r="BB29">
        <v>519</v>
      </c>
      <c r="BC29">
        <v>542</v>
      </c>
      <c r="BD29" t="s">
        <v>74</v>
      </c>
      <c r="BE29" t="s">
        <v>725</v>
      </c>
      <c r="BF29" t="str">
        <f>HYPERLINK("http://dx.doi.org/10.1134/S0869591115060053","http://dx.doi.org/10.1134/S0869591115060053")</f>
        <v>http://dx.doi.org/10.1134/S0869591115060053</v>
      </c>
      <c r="BG29" t="s">
        <v>74</v>
      </c>
      <c r="BH29" t="s">
        <v>74</v>
      </c>
      <c r="BI29">
        <v>24</v>
      </c>
      <c r="BJ29" t="s">
        <v>726</v>
      </c>
      <c r="BK29" t="s">
        <v>101</v>
      </c>
      <c r="BL29" t="s">
        <v>726</v>
      </c>
      <c r="BM29" t="s">
        <v>727</v>
      </c>
      <c r="BN29" t="s">
        <v>74</v>
      </c>
      <c r="BO29" t="s">
        <v>74</v>
      </c>
      <c r="BP29" t="s">
        <v>74</v>
      </c>
      <c r="BQ29" t="s">
        <v>74</v>
      </c>
      <c r="BR29" t="s">
        <v>103</v>
      </c>
      <c r="BS29" t="s">
        <v>728</v>
      </c>
      <c r="BT29" t="str">
        <f>HYPERLINK("https%3A%2F%2Fwww.webofscience.com%2Fwos%2Fwoscc%2Ffull-record%2FWOS:000209892500001","View Full Record in Web of Science")</f>
        <v>View Full Record in Web of Science</v>
      </c>
    </row>
    <row r="30" spans="1:72" x14ac:dyDescent="0.15">
      <c r="A30" t="s">
        <v>72</v>
      </c>
      <c r="B30" t="s">
        <v>729</v>
      </c>
      <c r="C30" t="s">
        <v>74</v>
      </c>
      <c r="D30" t="s">
        <v>74</v>
      </c>
      <c r="E30" t="s">
        <v>74</v>
      </c>
      <c r="F30" t="s">
        <v>730</v>
      </c>
      <c r="G30" t="s">
        <v>74</v>
      </c>
      <c r="H30" t="s">
        <v>74</v>
      </c>
      <c r="I30" t="s">
        <v>731</v>
      </c>
      <c r="J30" t="s">
        <v>732</v>
      </c>
      <c r="K30" t="s">
        <v>74</v>
      </c>
      <c r="L30" t="s">
        <v>74</v>
      </c>
      <c r="M30" t="s">
        <v>78</v>
      </c>
      <c r="N30" t="s">
        <v>79</v>
      </c>
      <c r="O30" t="s">
        <v>74</v>
      </c>
      <c r="P30" t="s">
        <v>74</v>
      </c>
      <c r="Q30" t="s">
        <v>74</v>
      </c>
      <c r="R30" t="s">
        <v>74</v>
      </c>
      <c r="S30" t="s">
        <v>74</v>
      </c>
      <c r="T30" t="s">
        <v>74</v>
      </c>
      <c r="U30" t="s">
        <v>733</v>
      </c>
      <c r="V30" t="s">
        <v>734</v>
      </c>
      <c r="W30" t="s">
        <v>735</v>
      </c>
      <c r="X30" t="s">
        <v>736</v>
      </c>
      <c r="Y30" t="s">
        <v>737</v>
      </c>
      <c r="Z30" t="s">
        <v>738</v>
      </c>
      <c r="AA30" t="s">
        <v>739</v>
      </c>
      <c r="AB30" t="s">
        <v>740</v>
      </c>
      <c r="AC30" t="s">
        <v>74</v>
      </c>
      <c r="AD30" t="s">
        <v>74</v>
      </c>
      <c r="AE30" t="s">
        <v>74</v>
      </c>
      <c r="AF30" t="s">
        <v>74</v>
      </c>
      <c r="AG30">
        <v>44</v>
      </c>
      <c r="AH30">
        <v>4</v>
      </c>
      <c r="AI30">
        <v>4</v>
      </c>
      <c r="AJ30">
        <v>0</v>
      </c>
      <c r="AK30">
        <v>13</v>
      </c>
      <c r="AL30" t="s">
        <v>741</v>
      </c>
      <c r="AM30" t="s">
        <v>550</v>
      </c>
      <c r="AN30" t="s">
        <v>742</v>
      </c>
      <c r="AO30" t="s">
        <v>743</v>
      </c>
      <c r="AP30" t="s">
        <v>744</v>
      </c>
      <c r="AQ30" t="s">
        <v>74</v>
      </c>
      <c r="AR30" t="s">
        <v>745</v>
      </c>
      <c r="AS30" t="s">
        <v>746</v>
      </c>
      <c r="AT30" t="s">
        <v>98</v>
      </c>
      <c r="AU30">
        <v>2015</v>
      </c>
      <c r="AV30">
        <v>51</v>
      </c>
      <c r="AW30">
        <v>6</v>
      </c>
      <c r="AX30" t="s">
        <v>74</v>
      </c>
      <c r="AY30" t="s">
        <v>74</v>
      </c>
      <c r="AZ30" t="s">
        <v>74</v>
      </c>
      <c r="BA30" t="s">
        <v>74</v>
      </c>
      <c r="BB30">
        <v>590</v>
      </c>
      <c r="BC30">
        <v>610</v>
      </c>
      <c r="BD30" t="s">
        <v>74</v>
      </c>
      <c r="BE30" t="s">
        <v>747</v>
      </c>
      <c r="BF30" t="str">
        <f>HYPERLINK("http://dx.doi.org/10.1017/S0032247414000540","http://dx.doi.org/10.1017/S0032247414000540")</f>
        <v>http://dx.doi.org/10.1017/S0032247414000540</v>
      </c>
      <c r="BG30" t="s">
        <v>74</v>
      </c>
      <c r="BH30" t="s">
        <v>74</v>
      </c>
      <c r="BI30">
        <v>21</v>
      </c>
      <c r="BJ30" t="s">
        <v>748</v>
      </c>
      <c r="BK30" t="s">
        <v>101</v>
      </c>
      <c r="BL30" t="s">
        <v>644</v>
      </c>
      <c r="BM30" t="s">
        <v>749</v>
      </c>
      <c r="BN30" t="s">
        <v>74</v>
      </c>
      <c r="BO30" t="s">
        <v>559</v>
      </c>
      <c r="BP30" t="s">
        <v>74</v>
      </c>
      <c r="BQ30" t="s">
        <v>74</v>
      </c>
      <c r="BR30" t="s">
        <v>103</v>
      </c>
      <c r="BS30" t="s">
        <v>750</v>
      </c>
      <c r="BT30" t="str">
        <f>HYPERLINK("https%3A%2F%2Fwww.webofscience.com%2Fwos%2Fwoscc%2Ffull-record%2FWOS:000363027200002","View Full Record in Web of Science")</f>
        <v>View Full Record in Web of Science</v>
      </c>
    </row>
    <row r="31" spans="1:72" x14ac:dyDescent="0.15">
      <c r="A31" t="s">
        <v>72</v>
      </c>
      <c r="B31" t="s">
        <v>751</v>
      </c>
      <c r="C31" t="s">
        <v>74</v>
      </c>
      <c r="D31" t="s">
        <v>74</v>
      </c>
      <c r="E31" t="s">
        <v>74</v>
      </c>
      <c r="F31" t="s">
        <v>752</v>
      </c>
      <c r="G31" t="s">
        <v>74</v>
      </c>
      <c r="H31" t="s">
        <v>74</v>
      </c>
      <c r="I31" t="s">
        <v>753</v>
      </c>
      <c r="J31" t="s">
        <v>732</v>
      </c>
      <c r="K31" t="s">
        <v>74</v>
      </c>
      <c r="L31" t="s">
        <v>74</v>
      </c>
      <c r="M31" t="s">
        <v>78</v>
      </c>
      <c r="N31" t="s">
        <v>754</v>
      </c>
      <c r="O31" t="s">
        <v>74</v>
      </c>
      <c r="P31" t="s">
        <v>74</v>
      </c>
      <c r="Q31" t="s">
        <v>74</v>
      </c>
      <c r="R31" t="s">
        <v>74</v>
      </c>
      <c r="S31" t="s">
        <v>74</v>
      </c>
      <c r="T31" t="s">
        <v>74</v>
      </c>
      <c r="U31" t="s">
        <v>74</v>
      </c>
      <c r="V31" t="s">
        <v>74</v>
      </c>
      <c r="W31" t="s">
        <v>755</v>
      </c>
      <c r="X31" t="s">
        <v>756</v>
      </c>
      <c r="Y31" t="s">
        <v>757</v>
      </c>
      <c r="Z31" t="s">
        <v>758</v>
      </c>
      <c r="AA31" t="s">
        <v>74</v>
      </c>
      <c r="AB31" t="s">
        <v>74</v>
      </c>
      <c r="AC31" t="s">
        <v>74</v>
      </c>
      <c r="AD31" t="s">
        <v>74</v>
      </c>
      <c r="AE31" t="s">
        <v>74</v>
      </c>
      <c r="AF31" t="s">
        <v>74</v>
      </c>
      <c r="AG31">
        <v>0</v>
      </c>
      <c r="AH31">
        <v>0</v>
      </c>
      <c r="AI31">
        <v>0</v>
      </c>
      <c r="AJ31">
        <v>0</v>
      </c>
      <c r="AK31">
        <v>8</v>
      </c>
      <c r="AL31" t="s">
        <v>741</v>
      </c>
      <c r="AM31" t="s">
        <v>550</v>
      </c>
      <c r="AN31" t="s">
        <v>742</v>
      </c>
      <c r="AO31" t="s">
        <v>743</v>
      </c>
      <c r="AP31" t="s">
        <v>744</v>
      </c>
      <c r="AQ31" t="s">
        <v>74</v>
      </c>
      <c r="AR31" t="s">
        <v>745</v>
      </c>
      <c r="AS31" t="s">
        <v>746</v>
      </c>
      <c r="AT31" t="s">
        <v>98</v>
      </c>
      <c r="AU31">
        <v>2015</v>
      </c>
      <c r="AV31">
        <v>51</v>
      </c>
      <c r="AW31">
        <v>6</v>
      </c>
      <c r="AX31" t="s">
        <v>74</v>
      </c>
      <c r="AY31" t="s">
        <v>74</v>
      </c>
      <c r="AZ31" t="s">
        <v>74</v>
      </c>
      <c r="BA31" t="s">
        <v>74</v>
      </c>
      <c r="BB31">
        <v>692</v>
      </c>
      <c r="BC31">
        <v>693</v>
      </c>
      <c r="BD31" t="s">
        <v>74</v>
      </c>
      <c r="BE31" t="s">
        <v>759</v>
      </c>
      <c r="BF31" t="str">
        <f>HYPERLINK("http://dx.doi.org/10.1017/S0032247414000941","http://dx.doi.org/10.1017/S0032247414000941")</f>
        <v>http://dx.doi.org/10.1017/S0032247414000941</v>
      </c>
      <c r="BG31" t="s">
        <v>74</v>
      </c>
      <c r="BH31" t="s">
        <v>74</v>
      </c>
      <c r="BI31">
        <v>2</v>
      </c>
      <c r="BJ31" t="s">
        <v>748</v>
      </c>
      <c r="BK31" t="s">
        <v>101</v>
      </c>
      <c r="BL31" t="s">
        <v>644</v>
      </c>
      <c r="BM31" t="s">
        <v>749</v>
      </c>
      <c r="BN31" t="s">
        <v>74</v>
      </c>
      <c r="BO31" t="s">
        <v>74</v>
      </c>
      <c r="BP31" t="s">
        <v>74</v>
      </c>
      <c r="BQ31" t="s">
        <v>74</v>
      </c>
      <c r="BR31" t="s">
        <v>103</v>
      </c>
      <c r="BS31" t="s">
        <v>760</v>
      </c>
      <c r="BT31" t="str">
        <f>HYPERLINK("https%3A%2F%2Fwww.webofscience.com%2Fwos%2Fwoscc%2Ffull-record%2FWOS:000363027200011","View Full Record in Web of Science")</f>
        <v>View Full Record in Web of Science</v>
      </c>
    </row>
    <row r="32" spans="1:72" x14ac:dyDescent="0.15">
      <c r="A32" t="s">
        <v>72</v>
      </c>
      <c r="B32" t="s">
        <v>761</v>
      </c>
      <c r="C32" t="s">
        <v>74</v>
      </c>
      <c r="D32" t="s">
        <v>74</v>
      </c>
      <c r="E32" t="s">
        <v>74</v>
      </c>
      <c r="F32" t="s">
        <v>762</v>
      </c>
      <c r="G32" t="s">
        <v>74</v>
      </c>
      <c r="H32" t="s">
        <v>74</v>
      </c>
      <c r="I32" t="s">
        <v>763</v>
      </c>
      <c r="J32" t="s">
        <v>764</v>
      </c>
      <c r="K32" t="s">
        <v>74</v>
      </c>
      <c r="L32" t="s">
        <v>74</v>
      </c>
      <c r="M32" t="s">
        <v>78</v>
      </c>
      <c r="N32" t="s">
        <v>79</v>
      </c>
      <c r="O32" t="s">
        <v>74</v>
      </c>
      <c r="P32" t="s">
        <v>74</v>
      </c>
      <c r="Q32" t="s">
        <v>74</v>
      </c>
      <c r="R32" t="s">
        <v>74</v>
      </c>
      <c r="S32" t="s">
        <v>74</v>
      </c>
      <c r="T32" t="s">
        <v>74</v>
      </c>
      <c r="U32" t="s">
        <v>765</v>
      </c>
      <c r="V32" t="s">
        <v>766</v>
      </c>
      <c r="W32" t="s">
        <v>767</v>
      </c>
      <c r="X32" t="s">
        <v>768</v>
      </c>
      <c r="Y32" t="s">
        <v>769</v>
      </c>
      <c r="Z32" t="s">
        <v>770</v>
      </c>
      <c r="AA32" t="s">
        <v>771</v>
      </c>
      <c r="AB32" t="s">
        <v>772</v>
      </c>
      <c r="AC32" t="s">
        <v>773</v>
      </c>
      <c r="AD32" t="s">
        <v>774</v>
      </c>
      <c r="AE32" t="s">
        <v>775</v>
      </c>
      <c r="AF32" t="s">
        <v>74</v>
      </c>
      <c r="AG32">
        <v>48</v>
      </c>
      <c r="AH32">
        <v>141</v>
      </c>
      <c r="AI32">
        <v>148</v>
      </c>
      <c r="AJ32">
        <v>1</v>
      </c>
      <c r="AK32">
        <v>46</v>
      </c>
      <c r="AL32" t="s">
        <v>776</v>
      </c>
      <c r="AM32" t="s">
        <v>307</v>
      </c>
      <c r="AN32" t="s">
        <v>777</v>
      </c>
      <c r="AO32" t="s">
        <v>778</v>
      </c>
      <c r="AP32" t="s">
        <v>74</v>
      </c>
      <c r="AQ32" t="s">
        <v>74</v>
      </c>
      <c r="AR32" t="s">
        <v>779</v>
      </c>
      <c r="AS32" t="s">
        <v>780</v>
      </c>
      <c r="AT32" t="s">
        <v>98</v>
      </c>
      <c r="AU32">
        <v>2015</v>
      </c>
      <c r="AV32">
        <v>1</v>
      </c>
      <c r="AW32">
        <v>10</v>
      </c>
      <c r="AX32" t="s">
        <v>74</v>
      </c>
      <c r="AY32" t="s">
        <v>74</v>
      </c>
      <c r="AZ32" t="s">
        <v>74</v>
      </c>
      <c r="BA32" t="s">
        <v>74</v>
      </c>
      <c r="BB32" t="s">
        <v>74</v>
      </c>
      <c r="BC32" t="s">
        <v>74</v>
      </c>
      <c r="BD32" t="s">
        <v>781</v>
      </c>
      <c r="BE32" t="s">
        <v>782</v>
      </c>
      <c r="BF32" t="str">
        <f>HYPERLINK("http://dx.doi.org/10.1126/sciadv.1500050","http://dx.doi.org/10.1126/sciadv.1500050")</f>
        <v>http://dx.doi.org/10.1126/sciadv.1500050</v>
      </c>
      <c r="BG32" t="s">
        <v>74</v>
      </c>
      <c r="BH32" t="s">
        <v>74</v>
      </c>
      <c r="BI32">
        <v>8</v>
      </c>
      <c r="BJ32" t="s">
        <v>530</v>
      </c>
      <c r="BK32" t="s">
        <v>101</v>
      </c>
      <c r="BL32" t="s">
        <v>531</v>
      </c>
      <c r="BM32" t="s">
        <v>783</v>
      </c>
      <c r="BN32">
        <v>26702429</v>
      </c>
      <c r="BO32" t="s">
        <v>784</v>
      </c>
      <c r="BP32" t="s">
        <v>74</v>
      </c>
      <c r="BQ32" t="s">
        <v>74</v>
      </c>
      <c r="BR32" t="s">
        <v>103</v>
      </c>
      <c r="BS32" t="s">
        <v>785</v>
      </c>
      <c r="BT32" t="str">
        <f>HYPERLINK("https%3A%2F%2Fwww.webofscience.com%2Fwos%2Fwoscc%2Ffull-record%2FWOS:000216599300011","View Full Record in Web of Science")</f>
        <v>View Full Record in Web of Science</v>
      </c>
    </row>
    <row r="33" spans="1:72" x14ac:dyDescent="0.15">
      <c r="A33" t="s">
        <v>72</v>
      </c>
      <c r="B33" t="s">
        <v>786</v>
      </c>
      <c r="C33" t="s">
        <v>74</v>
      </c>
      <c r="D33" t="s">
        <v>74</v>
      </c>
      <c r="E33" t="s">
        <v>74</v>
      </c>
      <c r="F33" t="s">
        <v>787</v>
      </c>
      <c r="G33" t="s">
        <v>74</v>
      </c>
      <c r="H33" t="s">
        <v>74</v>
      </c>
      <c r="I33" t="s">
        <v>788</v>
      </c>
      <c r="J33" t="s">
        <v>789</v>
      </c>
      <c r="K33" t="s">
        <v>74</v>
      </c>
      <c r="L33" t="s">
        <v>74</v>
      </c>
      <c r="M33" t="s">
        <v>78</v>
      </c>
      <c r="N33" t="s">
        <v>79</v>
      </c>
      <c r="O33" t="s">
        <v>74</v>
      </c>
      <c r="P33" t="s">
        <v>74</v>
      </c>
      <c r="Q33" t="s">
        <v>74</v>
      </c>
      <c r="R33" t="s">
        <v>74</v>
      </c>
      <c r="S33" t="s">
        <v>74</v>
      </c>
      <c r="T33" t="s">
        <v>790</v>
      </c>
      <c r="U33" t="s">
        <v>791</v>
      </c>
      <c r="V33" t="s">
        <v>792</v>
      </c>
      <c r="W33" t="s">
        <v>793</v>
      </c>
      <c r="X33" t="s">
        <v>794</v>
      </c>
      <c r="Y33" t="s">
        <v>795</v>
      </c>
      <c r="Z33" t="s">
        <v>796</v>
      </c>
      <c r="AA33" t="s">
        <v>797</v>
      </c>
      <c r="AB33" t="s">
        <v>798</v>
      </c>
      <c r="AC33" t="s">
        <v>799</v>
      </c>
      <c r="AD33" t="s">
        <v>800</v>
      </c>
      <c r="AE33" t="s">
        <v>801</v>
      </c>
      <c r="AF33" t="s">
        <v>74</v>
      </c>
      <c r="AG33">
        <v>66</v>
      </c>
      <c r="AH33">
        <v>15</v>
      </c>
      <c r="AI33">
        <v>16</v>
      </c>
      <c r="AJ33">
        <v>0</v>
      </c>
      <c r="AK33">
        <v>58</v>
      </c>
      <c r="AL33" t="s">
        <v>397</v>
      </c>
      <c r="AM33" t="s">
        <v>398</v>
      </c>
      <c r="AN33" t="s">
        <v>399</v>
      </c>
      <c r="AO33" t="s">
        <v>802</v>
      </c>
      <c r="AP33" t="s">
        <v>74</v>
      </c>
      <c r="AQ33" t="s">
        <v>74</v>
      </c>
      <c r="AR33" t="s">
        <v>789</v>
      </c>
      <c r="AS33" t="s">
        <v>803</v>
      </c>
      <c r="AT33" t="s">
        <v>98</v>
      </c>
      <c r="AU33">
        <v>2015</v>
      </c>
      <c r="AV33">
        <v>106</v>
      </c>
      <c r="AW33" t="s">
        <v>74</v>
      </c>
      <c r="AX33" t="s">
        <v>74</v>
      </c>
      <c r="AY33" t="s">
        <v>74</v>
      </c>
      <c r="AZ33" t="s">
        <v>74</v>
      </c>
      <c r="BA33" t="s">
        <v>74</v>
      </c>
      <c r="BB33">
        <v>57</v>
      </c>
      <c r="BC33">
        <v>67</v>
      </c>
      <c r="BD33" t="s">
        <v>74</v>
      </c>
      <c r="BE33" t="s">
        <v>804</v>
      </c>
      <c r="BF33" t="str">
        <f>HYPERLINK("http://dx.doi.org/10.1016/j.toxicon.2015.09.014","http://dx.doi.org/10.1016/j.toxicon.2015.09.014")</f>
        <v>http://dx.doi.org/10.1016/j.toxicon.2015.09.014</v>
      </c>
      <c r="BG33" t="s">
        <v>74</v>
      </c>
      <c r="BH33" t="s">
        <v>74</v>
      </c>
      <c r="BI33">
        <v>11</v>
      </c>
      <c r="BJ33" t="s">
        <v>805</v>
      </c>
      <c r="BK33" t="s">
        <v>101</v>
      </c>
      <c r="BL33" t="s">
        <v>805</v>
      </c>
      <c r="BM33" t="s">
        <v>806</v>
      </c>
      <c r="BN33">
        <v>26385314</v>
      </c>
      <c r="BO33" t="s">
        <v>74</v>
      </c>
      <c r="BP33" t="s">
        <v>74</v>
      </c>
      <c r="BQ33" t="s">
        <v>74</v>
      </c>
      <c r="BR33" t="s">
        <v>103</v>
      </c>
      <c r="BS33" t="s">
        <v>807</v>
      </c>
      <c r="BT33" t="str">
        <f>HYPERLINK("https%3A%2F%2Fwww.webofscience.com%2Fwos%2Fwoscc%2Ffull-record%2FWOS:000364252400008","View Full Record in Web of Science")</f>
        <v>View Full Record in Web of Science</v>
      </c>
    </row>
    <row r="34" spans="1:72" x14ac:dyDescent="0.15">
      <c r="A34" t="s">
        <v>72</v>
      </c>
      <c r="B34" t="s">
        <v>808</v>
      </c>
      <c r="C34" t="s">
        <v>74</v>
      </c>
      <c r="D34" t="s">
        <v>74</v>
      </c>
      <c r="E34" t="s">
        <v>74</v>
      </c>
      <c r="F34" t="s">
        <v>809</v>
      </c>
      <c r="G34" t="s">
        <v>74</v>
      </c>
      <c r="H34" t="s">
        <v>74</v>
      </c>
      <c r="I34" t="s">
        <v>810</v>
      </c>
      <c r="J34" t="s">
        <v>811</v>
      </c>
      <c r="K34" t="s">
        <v>74</v>
      </c>
      <c r="L34" t="s">
        <v>74</v>
      </c>
      <c r="M34" t="s">
        <v>78</v>
      </c>
      <c r="N34" t="s">
        <v>79</v>
      </c>
      <c r="O34" t="s">
        <v>74</v>
      </c>
      <c r="P34" t="s">
        <v>74</v>
      </c>
      <c r="Q34" t="s">
        <v>74</v>
      </c>
      <c r="R34" t="s">
        <v>74</v>
      </c>
      <c r="S34" t="s">
        <v>74</v>
      </c>
      <c r="T34" t="s">
        <v>812</v>
      </c>
      <c r="U34" t="s">
        <v>74</v>
      </c>
      <c r="V34" t="s">
        <v>813</v>
      </c>
      <c r="W34" t="s">
        <v>814</v>
      </c>
      <c r="X34" t="s">
        <v>815</v>
      </c>
      <c r="Y34" t="s">
        <v>816</v>
      </c>
      <c r="Z34" t="s">
        <v>817</v>
      </c>
      <c r="AA34" t="s">
        <v>818</v>
      </c>
      <c r="AB34" t="s">
        <v>819</v>
      </c>
      <c r="AC34" t="s">
        <v>820</v>
      </c>
      <c r="AD34" t="s">
        <v>821</v>
      </c>
      <c r="AE34" t="s">
        <v>822</v>
      </c>
      <c r="AF34" t="s">
        <v>74</v>
      </c>
      <c r="AG34">
        <v>21</v>
      </c>
      <c r="AH34">
        <v>5</v>
      </c>
      <c r="AI34">
        <v>5</v>
      </c>
      <c r="AJ34">
        <v>0</v>
      </c>
      <c r="AK34">
        <v>1</v>
      </c>
      <c r="AL34" t="s">
        <v>823</v>
      </c>
      <c r="AM34" t="s">
        <v>180</v>
      </c>
      <c r="AN34" t="s">
        <v>824</v>
      </c>
      <c r="AO34" t="s">
        <v>825</v>
      </c>
      <c r="AP34" t="s">
        <v>826</v>
      </c>
      <c r="AQ34" t="s">
        <v>74</v>
      </c>
      <c r="AR34" t="s">
        <v>827</v>
      </c>
      <c r="AS34" t="s">
        <v>828</v>
      </c>
      <c r="AT34" t="s">
        <v>98</v>
      </c>
      <c r="AU34">
        <v>2015</v>
      </c>
      <c r="AV34">
        <v>33</v>
      </c>
      <c r="AW34">
        <v>2</v>
      </c>
      <c r="AX34" t="s">
        <v>74</v>
      </c>
      <c r="AY34" t="s">
        <v>74</v>
      </c>
      <c r="AZ34" t="s">
        <v>74</v>
      </c>
      <c r="BA34" t="s">
        <v>74</v>
      </c>
      <c r="BB34">
        <v>105</v>
      </c>
      <c r="BC34">
        <v>113</v>
      </c>
      <c r="BD34" t="s">
        <v>74</v>
      </c>
      <c r="BE34" t="s">
        <v>829</v>
      </c>
      <c r="BF34" t="str">
        <f>HYPERLINK("http://dx.doi.org/10.3723/ut.33.105","http://dx.doi.org/10.3723/ut.33.105")</f>
        <v>http://dx.doi.org/10.3723/ut.33.105</v>
      </c>
      <c r="BG34" t="s">
        <v>74</v>
      </c>
      <c r="BH34" t="s">
        <v>74</v>
      </c>
      <c r="BI34">
        <v>9</v>
      </c>
      <c r="BJ34" t="s">
        <v>830</v>
      </c>
      <c r="BK34" t="s">
        <v>831</v>
      </c>
      <c r="BL34" t="s">
        <v>832</v>
      </c>
      <c r="BM34" t="s">
        <v>833</v>
      </c>
      <c r="BN34" t="s">
        <v>74</v>
      </c>
      <c r="BO34" t="s">
        <v>74</v>
      </c>
      <c r="BP34" t="s">
        <v>74</v>
      </c>
      <c r="BQ34" t="s">
        <v>74</v>
      </c>
      <c r="BR34" t="s">
        <v>103</v>
      </c>
      <c r="BS34" t="s">
        <v>834</v>
      </c>
      <c r="BT34" t="str">
        <f>HYPERLINK("https%3A%2F%2Fwww.webofscience.com%2Fwos%2Fwoscc%2Ffull-record%2FWOS:000437652000005","View Full Record in Web of Science")</f>
        <v>View Full Record in Web of Science</v>
      </c>
    </row>
    <row r="35" spans="1:72" x14ac:dyDescent="0.15">
      <c r="A35" t="s">
        <v>72</v>
      </c>
      <c r="B35" t="s">
        <v>835</v>
      </c>
      <c r="C35" t="s">
        <v>74</v>
      </c>
      <c r="D35" t="s">
        <v>74</v>
      </c>
      <c r="E35" t="s">
        <v>74</v>
      </c>
      <c r="F35" t="s">
        <v>836</v>
      </c>
      <c r="G35" t="s">
        <v>74</v>
      </c>
      <c r="H35" t="s">
        <v>74</v>
      </c>
      <c r="I35" t="s">
        <v>837</v>
      </c>
      <c r="J35" t="s">
        <v>811</v>
      </c>
      <c r="K35" t="s">
        <v>74</v>
      </c>
      <c r="L35" t="s">
        <v>74</v>
      </c>
      <c r="M35" t="s">
        <v>78</v>
      </c>
      <c r="N35" t="s">
        <v>79</v>
      </c>
      <c r="O35" t="s">
        <v>74</v>
      </c>
      <c r="P35" t="s">
        <v>74</v>
      </c>
      <c r="Q35" t="s">
        <v>74</v>
      </c>
      <c r="R35" t="s">
        <v>74</v>
      </c>
      <c r="S35" t="s">
        <v>74</v>
      </c>
      <c r="T35" t="s">
        <v>838</v>
      </c>
      <c r="U35" t="s">
        <v>74</v>
      </c>
      <c r="V35" t="s">
        <v>839</v>
      </c>
      <c r="W35" t="s">
        <v>840</v>
      </c>
      <c r="X35" t="s">
        <v>815</v>
      </c>
      <c r="Y35" t="s">
        <v>841</v>
      </c>
      <c r="Z35" t="s">
        <v>842</v>
      </c>
      <c r="AA35" t="s">
        <v>818</v>
      </c>
      <c r="AB35" t="s">
        <v>819</v>
      </c>
      <c r="AC35" t="s">
        <v>843</v>
      </c>
      <c r="AD35" t="s">
        <v>844</v>
      </c>
      <c r="AE35" t="s">
        <v>845</v>
      </c>
      <c r="AF35" t="s">
        <v>74</v>
      </c>
      <c r="AG35">
        <v>42</v>
      </c>
      <c r="AH35">
        <v>14</v>
      </c>
      <c r="AI35">
        <v>14</v>
      </c>
      <c r="AJ35">
        <v>0</v>
      </c>
      <c r="AK35">
        <v>1</v>
      </c>
      <c r="AL35" t="s">
        <v>823</v>
      </c>
      <c r="AM35" t="s">
        <v>180</v>
      </c>
      <c r="AN35" t="s">
        <v>824</v>
      </c>
      <c r="AO35" t="s">
        <v>825</v>
      </c>
      <c r="AP35" t="s">
        <v>826</v>
      </c>
      <c r="AQ35" t="s">
        <v>74</v>
      </c>
      <c r="AR35" t="s">
        <v>827</v>
      </c>
      <c r="AS35" t="s">
        <v>828</v>
      </c>
      <c r="AT35" t="s">
        <v>98</v>
      </c>
      <c r="AU35">
        <v>2015</v>
      </c>
      <c r="AV35">
        <v>33</v>
      </c>
      <c r="AW35">
        <v>2</v>
      </c>
      <c r="AX35" t="s">
        <v>74</v>
      </c>
      <c r="AY35" t="s">
        <v>74</v>
      </c>
      <c r="AZ35" t="s">
        <v>74</v>
      </c>
      <c r="BA35" t="s">
        <v>74</v>
      </c>
      <c r="BB35">
        <v>115</v>
      </c>
      <c r="BC35">
        <v>126</v>
      </c>
      <c r="BD35" t="s">
        <v>74</v>
      </c>
      <c r="BE35" t="s">
        <v>846</v>
      </c>
      <c r="BF35" t="str">
        <f>HYPERLINK("http://dx.doi.org/10.3723/ut.33.115","http://dx.doi.org/10.3723/ut.33.115")</f>
        <v>http://dx.doi.org/10.3723/ut.33.115</v>
      </c>
      <c r="BG35" t="s">
        <v>74</v>
      </c>
      <c r="BH35" t="s">
        <v>74</v>
      </c>
      <c r="BI35">
        <v>12</v>
      </c>
      <c r="BJ35" t="s">
        <v>830</v>
      </c>
      <c r="BK35" t="s">
        <v>831</v>
      </c>
      <c r="BL35" t="s">
        <v>832</v>
      </c>
      <c r="BM35" t="s">
        <v>833</v>
      </c>
      <c r="BN35" t="s">
        <v>74</v>
      </c>
      <c r="BO35" t="s">
        <v>74</v>
      </c>
      <c r="BP35" t="s">
        <v>74</v>
      </c>
      <c r="BQ35" t="s">
        <v>74</v>
      </c>
      <c r="BR35" t="s">
        <v>103</v>
      </c>
      <c r="BS35" t="s">
        <v>847</v>
      </c>
      <c r="BT35" t="str">
        <f>HYPERLINK("https%3A%2F%2Fwww.webofscience.com%2Fwos%2Fwoscc%2Ffull-record%2FWOS:000437652000006","View Full Record in Web of Science")</f>
        <v>View Full Record in Web of Science</v>
      </c>
    </row>
    <row r="36" spans="1:72" x14ac:dyDescent="0.15">
      <c r="A36" t="s">
        <v>72</v>
      </c>
      <c r="B36" t="s">
        <v>848</v>
      </c>
      <c r="C36" t="s">
        <v>74</v>
      </c>
      <c r="D36" t="s">
        <v>74</v>
      </c>
      <c r="E36" t="s">
        <v>74</v>
      </c>
      <c r="F36" t="s">
        <v>849</v>
      </c>
      <c r="G36" t="s">
        <v>74</v>
      </c>
      <c r="H36" t="s">
        <v>74</v>
      </c>
      <c r="I36" t="s">
        <v>850</v>
      </c>
      <c r="J36" t="s">
        <v>851</v>
      </c>
      <c r="K36" t="s">
        <v>74</v>
      </c>
      <c r="L36" t="s">
        <v>74</v>
      </c>
      <c r="M36" t="s">
        <v>78</v>
      </c>
      <c r="N36" t="s">
        <v>79</v>
      </c>
      <c r="O36" t="s">
        <v>74</v>
      </c>
      <c r="P36" t="s">
        <v>74</v>
      </c>
      <c r="Q36" t="s">
        <v>74</v>
      </c>
      <c r="R36" t="s">
        <v>74</v>
      </c>
      <c r="S36" t="s">
        <v>74</v>
      </c>
      <c r="T36" t="s">
        <v>852</v>
      </c>
      <c r="U36" t="s">
        <v>74</v>
      </c>
      <c r="V36" t="s">
        <v>853</v>
      </c>
      <c r="W36" t="s">
        <v>854</v>
      </c>
      <c r="X36" t="s">
        <v>439</v>
      </c>
      <c r="Y36" t="s">
        <v>855</v>
      </c>
      <c r="Z36" t="s">
        <v>856</v>
      </c>
      <c r="AA36" t="s">
        <v>74</v>
      </c>
      <c r="AB36" t="s">
        <v>857</v>
      </c>
      <c r="AC36" t="s">
        <v>858</v>
      </c>
      <c r="AD36" t="s">
        <v>859</v>
      </c>
      <c r="AE36" t="s">
        <v>74</v>
      </c>
      <c r="AF36" t="s">
        <v>74</v>
      </c>
      <c r="AG36">
        <v>4</v>
      </c>
      <c r="AH36">
        <v>14</v>
      </c>
      <c r="AI36">
        <v>14</v>
      </c>
      <c r="AJ36">
        <v>0</v>
      </c>
      <c r="AK36">
        <v>16</v>
      </c>
      <c r="AL36" t="s">
        <v>208</v>
      </c>
      <c r="AM36" t="s">
        <v>209</v>
      </c>
      <c r="AN36" t="s">
        <v>210</v>
      </c>
      <c r="AO36" t="s">
        <v>860</v>
      </c>
      <c r="AP36" t="s">
        <v>861</v>
      </c>
      <c r="AQ36" t="s">
        <v>74</v>
      </c>
      <c r="AR36" t="s">
        <v>851</v>
      </c>
      <c r="AS36" t="s">
        <v>862</v>
      </c>
      <c r="AT36" t="s">
        <v>98</v>
      </c>
      <c r="AU36">
        <v>2015</v>
      </c>
      <c r="AV36">
        <v>70</v>
      </c>
      <c r="AW36">
        <v>11</v>
      </c>
      <c r="AX36" t="s">
        <v>74</v>
      </c>
      <c r="AY36" t="s">
        <v>74</v>
      </c>
      <c r="AZ36" t="s">
        <v>74</v>
      </c>
      <c r="BA36" t="s">
        <v>74</v>
      </c>
      <c r="BB36">
        <v>324</v>
      </c>
      <c r="BC36">
        <v>329</v>
      </c>
      <c r="BD36" t="s">
        <v>74</v>
      </c>
      <c r="BE36" t="s">
        <v>863</v>
      </c>
      <c r="BF36" t="str">
        <f>HYPERLINK("http://dx.doi.org/10.1002/wea.2548","http://dx.doi.org/10.1002/wea.2548")</f>
        <v>http://dx.doi.org/10.1002/wea.2548</v>
      </c>
      <c r="BG36" t="s">
        <v>74</v>
      </c>
      <c r="BH36" t="s">
        <v>74</v>
      </c>
      <c r="BI36">
        <v>6</v>
      </c>
      <c r="BJ36" t="s">
        <v>271</v>
      </c>
      <c r="BK36" t="s">
        <v>101</v>
      </c>
      <c r="BL36" t="s">
        <v>271</v>
      </c>
      <c r="BM36" t="s">
        <v>864</v>
      </c>
      <c r="BN36" t="s">
        <v>74</v>
      </c>
      <c r="BO36" t="s">
        <v>865</v>
      </c>
      <c r="BP36" t="s">
        <v>74</v>
      </c>
      <c r="BQ36" t="s">
        <v>74</v>
      </c>
      <c r="BR36" t="s">
        <v>103</v>
      </c>
      <c r="BS36" t="s">
        <v>866</v>
      </c>
      <c r="BT36" t="str">
        <f>HYPERLINK("https%3A%2F%2Fwww.webofscience.com%2Fwos%2Fwoscc%2Ffull-record%2FWOS:000363901900009","View Full Record in Web of Science")</f>
        <v>View Full Record in Web of Science</v>
      </c>
    </row>
    <row r="37" spans="1:72" x14ac:dyDescent="0.15">
      <c r="A37" t="s">
        <v>72</v>
      </c>
      <c r="B37" t="s">
        <v>867</v>
      </c>
      <c r="C37" t="s">
        <v>74</v>
      </c>
      <c r="D37" t="s">
        <v>74</v>
      </c>
      <c r="E37" t="s">
        <v>74</v>
      </c>
      <c r="F37" t="s">
        <v>868</v>
      </c>
      <c r="G37" t="s">
        <v>74</v>
      </c>
      <c r="H37" t="s">
        <v>74</v>
      </c>
      <c r="I37" t="s">
        <v>869</v>
      </c>
      <c r="J37" t="s">
        <v>870</v>
      </c>
      <c r="K37" t="s">
        <v>74</v>
      </c>
      <c r="L37" t="s">
        <v>74</v>
      </c>
      <c r="M37" t="s">
        <v>78</v>
      </c>
      <c r="N37" t="s">
        <v>79</v>
      </c>
      <c r="O37" t="s">
        <v>74</v>
      </c>
      <c r="P37" t="s">
        <v>74</v>
      </c>
      <c r="Q37" t="s">
        <v>74</v>
      </c>
      <c r="R37" t="s">
        <v>74</v>
      </c>
      <c r="S37" t="s">
        <v>74</v>
      </c>
      <c r="T37" t="s">
        <v>871</v>
      </c>
      <c r="U37" t="s">
        <v>872</v>
      </c>
      <c r="V37" t="s">
        <v>873</v>
      </c>
      <c r="W37" t="s">
        <v>874</v>
      </c>
      <c r="X37" t="s">
        <v>875</v>
      </c>
      <c r="Y37" t="s">
        <v>876</v>
      </c>
      <c r="Z37" t="s">
        <v>877</v>
      </c>
      <c r="AA37" t="s">
        <v>878</v>
      </c>
      <c r="AB37" t="s">
        <v>879</v>
      </c>
      <c r="AC37" t="s">
        <v>880</v>
      </c>
      <c r="AD37" t="s">
        <v>881</v>
      </c>
      <c r="AE37" t="s">
        <v>882</v>
      </c>
      <c r="AF37" t="s">
        <v>74</v>
      </c>
      <c r="AG37">
        <v>44</v>
      </c>
      <c r="AH37">
        <v>31</v>
      </c>
      <c r="AI37">
        <v>41</v>
      </c>
      <c r="AJ37">
        <v>0</v>
      </c>
      <c r="AK37">
        <v>55</v>
      </c>
      <c r="AL37" t="s">
        <v>883</v>
      </c>
      <c r="AM37" t="s">
        <v>884</v>
      </c>
      <c r="AN37" t="s">
        <v>885</v>
      </c>
      <c r="AO37" t="s">
        <v>886</v>
      </c>
      <c r="AP37" t="s">
        <v>887</v>
      </c>
      <c r="AQ37" t="s">
        <v>74</v>
      </c>
      <c r="AR37" t="s">
        <v>888</v>
      </c>
      <c r="AS37" t="s">
        <v>889</v>
      </c>
      <c r="AT37" t="s">
        <v>98</v>
      </c>
      <c r="AU37">
        <v>2015</v>
      </c>
      <c r="AV37">
        <v>119</v>
      </c>
      <c r="AW37" t="s">
        <v>74</v>
      </c>
      <c r="AX37" t="s">
        <v>74</v>
      </c>
      <c r="AY37" t="s">
        <v>74</v>
      </c>
      <c r="AZ37" t="s">
        <v>74</v>
      </c>
      <c r="BA37" t="s">
        <v>74</v>
      </c>
      <c r="BB37">
        <v>211</v>
      </c>
      <c r="BC37">
        <v>222</v>
      </c>
      <c r="BD37" t="s">
        <v>74</v>
      </c>
      <c r="BE37" t="s">
        <v>890</v>
      </c>
      <c r="BF37" t="str">
        <f>HYPERLINK("http://dx.doi.org/10.1016/j.coldregions.2015.06.014","http://dx.doi.org/10.1016/j.coldregions.2015.06.014")</f>
        <v>http://dx.doi.org/10.1016/j.coldregions.2015.06.014</v>
      </c>
      <c r="BG37" t="s">
        <v>74</v>
      </c>
      <c r="BH37" t="s">
        <v>74</v>
      </c>
      <c r="BI37">
        <v>12</v>
      </c>
      <c r="BJ37" t="s">
        <v>891</v>
      </c>
      <c r="BK37" t="s">
        <v>101</v>
      </c>
      <c r="BL37" t="s">
        <v>892</v>
      </c>
      <c r="BM37" t="s">
        <v>893</v>
      </c>
      <c r="BN37" t="s">
        <v>74</v>
      </c>
      <c r="BO37" t="s">
        <v>74</v>
      </c>
      <c r="BP37" t="s">
        <v>74</v>
      </c>
      <c r="BQ37" t="s">
        <v>74</v>
      </c>
      <c r="BR37" t="s">
        <v>103</v>
      </c>
      <c r="BS37" t="s">
        <v>894</v>
      </c>
      <c r="BT37" t="str">
        <f>HYPERLINK("https%3A%2F%2Fwww.webofscience.com%2Fwos%2Fwoscc%2Ffull-record%2FWOS:000362381900019","View Full Record in Web of Science")</f>
        <v>View Full Record in Web of Science</v>
      </c>
    </row>
    <row r="38" spans="1:72" x14ac:dyDescent="0.15">
      <c r="A38" t="s">
        <v>72</v>
      </c>
      <c r="B38" t="s">
        <v>895</v>
      </c>
      <c r="C38" t="s">
        <v>74</v>
      </c>
      <c r="D38" t="s">
        <v>74</v>
      </c>
      <c r="E38" t="s">
        <v>74</v>
      </c>
      <c r="F38" t="s">
        <v>896</v>
      </c>
      <c r="G38" t="s">
        <v>74</v>
      </c>
      <c r="H38" t="s">
        <v>74</v>
      </c>
      <c r="I38" t="s">
        <v>897</v>
      </c>
      <c r="J38" t="s">
        <v>195</v>
      </c>
      <c r="K38" t="s">
        <v>74</v>
      </c>
      <c r="L38" t="s">
        <v>74</v>
      </c>
      <c r="M38" t="s">
        <v>78</v>
      </c>
      <c r="N38" t="s">
        <v>79</v>
      </c>
      <c r="O38" t="s">
        <v>74</v>
      </c>
      <c r="P38" t="s">
        <v>74</v>
      </c>
      <c r="Q38" t="s">
        <v>74</v>
      </c>
      <c r="R38" t="s">
        <v>74</v>
      </c>
      <c r="S38" t="s">
        <v>74</v>
      </c>
      <c r="T38" t="s">
        <v>898</v>
      </c>
      <c r="U38" t="s">
        <v>899</v>
      </c>
      <c r="V38" t="s">
        <v>900</v>
      </c>
      <c r="W38" t="s">
        <v>901</v>
      </c>
      <c r="X38" t="s">
        <v>902</v>
      </c>
      <c r="Y38" t="s">
        <v>903</v>
      </c>
      <c r="Z38" t="s">
        <v>904</v>
      </c>
      <c r="AA38" t="s">
        <v>905</v>
      </c>
      <c r="AB38" t="s">
        <v>906</v>
      </c>
      <c r="AC38" t="s">
        <v>74</v>
      </c>
      <c r="AD38" t="s">
        <v>74</v>
      </c>
      <c r="AE38" t="s">
        <v>74</v>
      </c>
      <c r="AF38" t="s">
        <v>74</v>
      </c>
      <c r="AG38">
        <v>76</v>
      </c>
      <c r="AH38">
        <v>41</v>
      </c>
      <c r="AI38">
        <v>45</v>
      </c>
      <c r="AJ38">
        <v>2</v>
      </c>
      <c r="AK38">
        <v>56</v>
      </c>
      <c r="AL38" t="s">
        <v>208</v>
      </c>
      <c r="AM38" t="s">
        <v>209</v>
      </c>
      <c r="AN38" t="s">
        <v>210</v>
      </c>
      <c r="AO38" t="s">
        <v>211</v>
      </c>
      <c r="AP38" t="s">
        <v>212</v>
      </c>
      <c r="AQ38" t="s">
        <v>74</v>
      </c>
      <c r="AR38" t="s">
        <v>213</v>
      </c>
      <c r="AS38" t="s">
        <v>214</v>
      </c>
      <c r="AT38" t="s">
        <v>98</v>
      </c>
      <c r="AU38">
        <v>2015</v>
      </c>
      <c r="AV38">
        <v>84</v>
      </c>
      <c r="AW38">
        <v>6</v>
      </c>
      <c r="AX38" t="s">
        <v>74</v>
      </c>
      <c r="AY38" t="s">
        <v>74</v>
      </c>
      <c r="AZ38" t="s">
        <v>74</v>
      </c>
      <c r="BA38" t="s">
        <v>74</v>
      </c>
      <c r="BB38">
        <v>1575</v>
      </c>
      <c r="BC38">
        <v>1588</v>
      </c>
      <c r="BD38" t="s">
        <v>74</v>
      </c>
      <c r="BE38" t="s">
        <v>907</v>
      </c>
      <c r="BF38" t="str">
        <f>HYPERLINK("http://dx.doi.org/10.1111/1365-2656.12409","http://dx.doi.org/10.1111/1365-2656.12409")</f>
        <v>http://dx.doi.org/10.1111/1365-2656.12409</v>
      </c>
      <c r="BG38" t="s">
        <v>74</v>
      </c>
      <c r="BH38" t="s">
        <v>74</v>
      </c>
      <c r="BI38">
        <v>14</v>
      </c>
      <c r="BJ38" t="s">
        <v>216</v>
      </c>
      <c r="BK38" t="s">
        <v>101</v>
      </c>
      <c r="BL38" t="s">
        <v>217</v>
      </c>
      <c r="BM38" t="s">
        <v>218</v>
      </c>
      <c r="BN38">
        <v>26061120</v>
      </c>
      <c r="BO38" t="s">
        <v>908</v>
      </c>
      <c r="BP38" t="s">
        <v>74</v>
      </c>
      <c r="BQ38" t="s">
        <v>74</v>
      </c>
      <c r="BR38" t="s">
        <v>103</v>
      </c>
      <c r="BS38" t="s">
        <v>909</v>
      </c>
      <c r="BT38" t="str">
        <f>HYPERLINK("https%3A%2F%2Fwww.webofscience.com%2Fwos%2Fwoscc%2Ffull-record%2FWOS:000362741000013","View Full Record in Web of Science")</f>
        <v>View Full Record in Web of Science</v>
      </c>
    </row>
    <row r="39" spans="1:72" x14ac:dyDescent="0.15">
      <c r="A39" t="s">
        <v>72</v>
      </c>
      <c r="B39" t="s">
        <v>910</v>
      </c>
      <c r="C39" t="s">
        <v>74</v>
      </c>
      <c r="D39" t="s">
        <v>74</v>
      </c>
      <c r="E39" t="s">
        <v>74</v>
      </c>
      <c r="F39" t="s">
        <v>911</v>
      </c>
      <c r="G39" t="s">
        <v>74</v>
      </c>
      <c r="H39" t="s">
        <v>74</v>
      </c>
      <c r="I39" t="s">
        <v>912</v>
      </c>
      <c r="J39" t="s">
        <v>913</v>
      </c>
      <c r="K39" t="s">
        <v>74</v>
      </c>
      <c r="L39" t="s">
        <v>74</v>
      </c>
      <c r="M39" t="s">
        <v>78</v>
      </c>
      <c r="N39" t="s">
        <v>79</v>
      </c>
      <c r="O39" t="s">
        <v>74</v>
      </c>
      <c r="P39" t="s">
        <v>74</v>
      </c>
      <c r="Q39" t="s">
        <v>74</v>
      </c>
      <c r="R39" t="s">
        <v>74</v>
      </c>
      <c r="S39" t="s">
        <v>74</v>
      </c>
      <c r="T39" t="s">
        <v>914</v>
      </c>
      <c r="U39" t="s">
        <v>915</v>
      </c>
      <c r="V39" t="s">
        <v>916</v>
      </c>
      <c r="W39" t="s">
        <v>917</v>
      </c>
      <c r="X39" t="s">
        <v>918</v>
      </c>
      <c r="Y39" t="s">
        <v>919</v>
      </c>
      <c r="Z39" t="s">
        <v>920</v>
      </c>
      <c r="AA39" t="s">
        <v>74</v>
      </c>
      <c r="AB39" t="s">
        <v>921</v>
      </c>
      <c r="AC39" t="s">
        <v>922</v>
      </c>
      <c r="AD39" t="s">
        <v>923</v>
      </c>
      <c r="AE39" t="s">
        <v>924</v>
      </c>
      <c r="AF39" t="s">
        <v>74</v>
      </c>
      <c r="AG39">
        <v>58</v>
      </c>
      <c r="AH39">
        <v>53</v>
      </c>
      <c r="AI39">
        <v>60</v>
      </c>
      <c r="AJ39">
        <v>0</v>
      </c>
      <c r="AK39">
        <v>39</v>
      </c>
      <c r="AL39" t="s">
        <v>925</v>
      </c>
      <c r="AM39" t="s">
        <v>884</v>
      </c>
      <c r="AN39" t="s">
        <v>926</v>
      </c>
      <c r="AO39" t="s">
        <v>927</v>
      </c>
      <c r="AP39" t="s">
        <v>928</v>
      </c>
      <c r="AQ39" t="s">
        <v>74</v>
      </c>
      <c r="AR39" t="s">
        <v>929</v>
      </c>
      <c r="AS39" t="s">
        <v>930</v>
      </c>
      <c r="AT39" t="s">
        <v>98</v>
      </c>
      <c r="AU39">
        <v>2015</v>
      </c>
      <c r="AV39">
        <v>171</v>
      </c>
      <c r="AW39" t="s">
        <v>74</v>
      </c>
      <c r="AX39" t="s">
        <v>74</v>
      </c>
      <c r="AY39" t="s">
        <v>74</v>
      </c>
      <c r="AZ39" t="s">
        <v>931</v>
      </c>
      <c r="BA39" t="s">
        <v>74</v>
      </c>
      <c r="BB39">
        <v>130</v>
      </c>
      <c r="BC39">
        <v>140</v>
      </c>
      <c r="BD39" t="s">
        <v>74</v>
      </c>
      <c r="BE39" t="s">
        <v>932</v>
      </c>
      <c r="BF39" t="str">
        <f>HYPERLINK("http://dx.doi.org/10.1016/j.fishres.2014.09.013","http://dx.doi.org/10.1016/j.fishres.2014.09.013")</f>
        <v>http://dx.doi.org/10.1016/j.fishres.2014.09.013</v>
      </c>
      <c r="BG39" t="s">
        <v>74</v>
      </c>
      <c r="BH39" t="s">
        <v>74</v>
      </c>
      <c r="BI39">
        <v>11</v>
      </c>
      <c r="BJ39" t="s">
        <v>933</v>
      </c>
      <c r="BK39" t="s">
        <v>101</v>
      </c>
      <c r="BL39" t="s">
        <v>933</v>
      </c>
      <c r="BM39" t="s">
        <v>934</v>
      </c>
      <c r="BN39" t="s">
        <v>74</v>
      </c>
      <c r="BO39" t="s">
        <v>74</v>
      </c>
      <c r="BP39" t="s">
        <v>74</v>
      </c>
      <c r="BQ39" t="s">
        <v>74</v>
      </c>
      <c r="BR39" t="s">
        <v>103</v>
      </c>
      <c r="BS39" t="s">
        <v>935</v>
      </c>
      <c r="BT39" t="str">
        <f>HYPERLINK("https%3A%2F%2Fwww.webofscience.com%2Fwos%2Fwoscc%2Ffull-record%2FWOS:000361257300014","View Full Record in Web of Science")</f>
        <v>View Full Record in Web of Science</v>
      </c>
    </row>
    <row r="40" spans="1:72" x14ac:dyDescent="0.15">
      <c r="A40" t="s">
        <v>72</v>
      </c>
      <c r="B40" t="s">
        <v>910</v>
      </c>
      <c r="C40" t="s">
        <v>74</v>
      </c>
      <c r="D40" t="s">
        <v>74</v>
      </c>
      <c r="E40" t="s">
        <v>74</v>
      </c>
      <c r="F40" t="s">
        <v>911</v>
      </c>
      <c r="G40" t="s">
        <v>74</v>
      </c>
      <c r="H40" t="s">
        <v>74</v>
      </c>
      <c r="I40" t="s">
        <v>936</v>
      </c>
      <c r="J40" t="s">
        <v>913</v>
      </c>
      <c r="K40" t="s">
        <v>74</v>
      </c>
      <c r="L40" t="s">
        <v>74</v>
      </c>
      <c r="M40" t="s">
        <v>78</v>
      </c>
      <c r="N40" t="s">
        <v>79</v>
      </c>
      <c r="O40" t="s">
        <v>74</v>
      </c>
      <c r="P40" t="s">
        <v>74</v>
      </c>
      <c r="Q40" t="s">
        <v>74</v>
      </c>
      <c r="R40" t="s">
        <v>74</v>
      </c>
      <c r="S40" t="s">
        <v>74</v>
      </c>
      <c r="T40" t="s">
        <v>937</v>
      </c>
      <c r="U40" t="s">
        <v>938</v>
      </c>
      <c r="V40" t="s">
        <v>939</v>
      </c>
      <c r="W40" t="s">
        <v>940</v>
      </c>
      <c r="X40" t="s">
        <v>918</v>
      </c>
      <c r="Y40" t="s">
        <v>919</v>
      </c>
      <c r="Z40" t="s">
        <v>920</v>
      </c>
      <c r="AA40" t="s">
        <v>74</v>
      </c>
      <c r="AB40" t="s">
        <v>921</v>
      </c>
      <c r="AC40" t="s">
        <v>941</v>
      </c>
      <c r="AD40" t="s">
        <v>942</v>
      </c>
      <c r="AE40" t="s">
        <v>943</v>
      </c>
      <c r="AF40" t="s">
        <v>74</v>
      </c>
      <c r="AG40">
        <v>129</v>
      </c>
      <c r="AH40">
        <v>76</v>
      </c>
      <c r="AI40">
        <v>87</v>
      </c>
      <c r="AJ40">
        <v>4</v>
      </c>
      <c r="AK40">
        <v>49</v>
      </c>
      <c r="AL40" t="s">
        <v>883</v>
      </c>
      <c r="AM40" t="s">
        <v>884</v>
      </c>
      <c r="AN40" t="s">
        <v>885</v>
      </c>
      <c r="AO40" t="s">
        <v>927</v>
      </c>
      <c r="AP40" t="s">
        <v>928</v>
      </c>
      <c r="AQ40" t="s">
        <v>74</v>
      </c>
      <c r="AR40" t="s">
        <v>929</v>
      </c>
      <c r="AS40" t="s">
        <v>930</v>
      </c>
      <c r="AT40" t="s">
        <v>98</v>
      </c>
      <c r="AU40">
        <v>2015</v>
      </c>
      <c r="AV40">
        <v>171</v>
      </c>
      <c r="AW40" t="s">
        <v>74</v>
      </c>
      <c r="AX40" t="s">
        <v>74</v>
      </c>
      <c r="AY40" t="s">
        <v>74</v>
      </c>
      <c r="AZ40" t="s">
        <v>931</v>
      </c>
      <c r="BA40" t="s">
        <v>74</v>
      </c>
      <c r="BB40">
        <v>141</v>
      </c>
      <c r="BC40">
        <v>153</v>
      </c>
      <c r="BD40" t="s">
        <v>74</v>
      </c>
      <c r="BE40" t="s">
        <v>944</v>
      </c>
      <c r="BF40" t="str">
        <f>HYPERLINK("http://dx.doi.org/10.1016/j.fishres.2014.11.005","http://dx.doi.org/10.1016/j.fishres.2014.11.005")</f>
        <v>http://dx.doi.org/10.1016/j.fishres.2014.11.005</v>
      </c>
      <c r="BG40" t="s">
        <v>74</v>
      </c>
      <c r="BH40" t="s">
        <v>74</v>
      </c>
      <c r="BI40">
        <v>13</v>
      </c>
      <c r="BJ40" t="s">
        <v>933</v>
      </c>
      <c r="BK40" t="s">
        <v>101</v>
      </c>
      <c r="BL40" t="s">
        <v>933</v>
      </c>
      <c r="BM40" t="s">
        <v>934</v>
      </c>
      <c r="BN40" t="s">
        <v>74</v>
      </c>
      <c r="BO40" t="s">
        <v>74</v>
      </c>
      <c r="BP40" t="s">
        <v>74</v>
      </c>
      <c r="BQ40" t="s">
        <v>74</v>
      </c>
      <c r="BR40" t="s">
        <v>103</v>
      </c>
      <c r="BS40" t="s">
        <v>945</v>
      </c>
      <c r="BT40" t="str">
        <f>HYPERLINK("https%3A%2F%2Fwww.webofscience.com%2Fwos%2Fwoscc%2Ffull-record%2FWOS:000361257300015","View Full Record in Web of Science")</f>
        <v>View Full Record in Web of Science</v>
      </c>
    </row>
    <row r="41" spans="1:72" x14ac:dyDescent="0.15">
      <c r="A41" t="s">
        <v>72</v>
      </c>
      <c r="B41" t="s">
        <v>946</v>
      </c>
      <c r="C41" t="s">
        <v>74</v>
      </c>
      <c r="D41" t="s">
        <v>74</v>
      </c>
      <c r="E41" t="s">
        <v>74</v>
      </c>
      <c r="F41" t="s">
        <v>947</v>
      </c>
      <c r="G41" t="s">
        <v>74</v>
      </c>
      <c r="H41" t="s">
        <v>74</v>
      </c>
      <c r="I41" t="s">
        <v>948</v>
      </c>
      <c r="J41" t="s">
        <v>949</v>
      </c>
      <c r="K41" t="s">
        <v>74</v>
      </c>
      <c r="L41" t="s">
        <v>74</v>
      </c>
      <c r="M41" t="s">
        <v>78</v>
      </c>
      <c r="N41" t="s">
        <v>79</v>
      </c>
      <c r="O41" t="s">
        <v>74</v>
      </c>
      <c r="P41" t="s">
        <v>74</v>
      </c>
      <c r="Q41" t="s">
        <v>74</v>
      </c>
      <c r="R41" t="s">
        <v>74</v>
      </c>
      <c r="S41" t="s">
        <v>74</v>
      </c>
      <c r="T41" t="s">
        <v>950</v>
      </c>
      <c r="U41" t="s">
        <v>951</v>
      </c>
      <c r="V41" t="s">
        <v>952</v>
      </c>
      <c r="W41" t="s">
        <v>953</v>
      </c>
      <c r="X41" t="s">
        <v>954</v>
      </c>
      <c r="Y41" t="s">
        <v>955</v>
      </c>
      <c r="Z41" t="s">
        <v>956</v>
      </c>
      <c r="AA41" t="s">
        <v>74</v>
      </c>
      <c r="AB41" t="s">
        <v>957</v>
      </c>
      <c r="AC41" t="s">
        <v>958</v>
      </c>
      <c r="AD41" t="s">
        <v>958</v>
      </c>
      <c r="AE41" t="s">
        <v>959</v>
      </c>
      <c r="AF41" t="s">
        <v>74</v>
      </c>
      <c r="AG41">
        <v>104</v>
      </c>
      <c r="AH41">
        <v>12</v>
      </c>
      <c r="AI41">
        <v>13</v>
      </c>
      <c r="AJ41">
        <v>0</v>
      </c>
      <c r="AK41">
        <v>26</v>
      </c>
      <c r="AL41" t="s">
        <v>883</v>
      </c>
      <c r="AM41" t="s">
        <v>884</v>
      </c>
      <c r="AN41" t="s">
        <v>885</v>
      </c>
      <c r="AO41" t="s">
        <v>960</v>
      </c>
      <c r="AP41" t="s">
        <v>961</v>
      </c>
      <c r="AQ41" t="s">
        <v>74</v>
      </c>
      <c r="AR41" t="s">
        <v>949</v>
      </c>
      <c r="AS41" t="s">
        <v>962</v>
      </c>
      <c r="AT41" t="s">
        <v>98</v>
      </c>
      <c r="AU41">
        <v>2015</v>
      </c>
      <c r="AV41">
        <v>134</v>
      </c>
      <c r="AW41" t="s">
        <v>74</v>
      </c>
      <c r="AX41" t="s">
        <v>74</v>
      </c>
      <c r="AY41" t="s">
        <v>74</v>
      </c>
      <c r="AZ41" t="s">
        <v>931</v>
      </c>
      <c r="BA41" t="s">
        <v>74</v>
      </c>
      <c r="BB41">
        <v>30</v>
      </c>
      <c r="BC41">
        <v>40</v>
      </c>
      <c r="BD41" t="s">
        <v>74</v>
      </c>
      <c r="BE41" t="s">
        <v>963</v>
      </c>
      <c r="BF41" t="str">
        <f>HYPERLINK("http://dx.doi.org/10.1016/j.catena.2014.11.002","http://dx.doi.org/10.1016/j.catena.2014.11.002")</f>
        <v>http://dx.doi.org/10.1016/j.catena.2014.11.002</v>
      </c>
      <c r="BG41" t="s">
        <v>74</v>
      </c>
      <c r="BH41" t="s">
        <v>74</v>
      </c>
      <c r="BI41">
        <v>11</v>
      </c>
      <c r="BJ41" t="s">
        <v>964</v>
      </c>
      <c r="BK41" t="s">
        <v>101</v>
      </c>
      <c r="BL41" t="s">
        <v>965</v>
      </c>
      <c r="BM41" t="s">
        <v>966</v>
      </c>
      <c r="BN41" t="s">
        <v>74</v>
      </c>
      <c r="BO41" t="s">
        <v>74</v>
      </c>
      <c r="BP41" t="s">
        <v>74</v>
      </c>
      <c r="BQ41" t="s">
        <v>74</v>
      </c>
      <c r="BR41" t="s">
        <v>103</v>
      </c>
      <c r="BS41" t="s">
        <v>967</v>
      </c>
      <c r="BT41" t="str">
        <f>HYPERLINK("https%3A%2F%2Fwww.webofscience.com%2Fwos%2Fwoscc%2Ffull-record%2FWOS:000360869100004","View Full Record in Web of Science")</f>
        <v>View Full Record in Web of Science</v>
      </c>
    </row>
    <row r="42" spans="1:72" x14ac:dyDescent="0.15">
      <c r="A42" t="s">
        <v>72</v>
      </c>
      <c r="B42" t="s">
        <v>968</v>
      </c>
      <c r="C42" t="s">
        <v>74</v>
      </c>
      <c r="D42" t="s">
        <v>74</v>
      </c>
      <c r="E42" t="s">
        <v>74</v>
      </c>
      <c r="F42" t="s">
        <v>969</v>
      </c>
      <c r="G42" t="s">
        <v>74</v>
      </c>
      <c r="H42" t="s">
        <v>74</v>
      </c>
      <c r="I42" t="s">
        <v>970</v>
      </c>
      <c r="J42" t="s">
        <v>971</v>
      </c>
      <c r="K42" t="s">
        <v>74</v>
      </c>
      <c r="L42" t="s">
        <v>74</v>
      </c>
      <c r="M42" t="s">
        <v>78</v>
      </c>
      <c r="N42" t="s">
        <v>79</v>
      </c>
      <c r="O42" t="s">
        <v>74</v>
      </c>
      <c r="P42" t="s">
        <v>74</v>
      </c>
      <c r="Q42" t="s">
        <v>74</v>
      </c>
      <c r="R42" t="s">
        <v>74</v>
      </c>
      <c r="S42" t="s">
        <v>74</v>
      </c>
      <c r="T42" t="s">
        <v>972</v>
      </c>
      <c r="U42" t="s">
        <v>973</v>
      </c>
      <c r="V42" t="s">
        <v>974</v>
      </c>
      <c r="W42" t="s">
        <v>975</v>
      </c>
      <c r="X42" t="s">
        <v>976</v>
      </c>
      <c r="Y42" t="s">
        <v>977</v>
      </c>
      <c r="Z42" t="s">
        <v>978</v>
      </c>
      <c r="AA42" t="s">
        <v>979</v>
      </c>
      <c r="AB42" t="s">
        <v>980</v>
      </c>
      <c r="AC42" t="s">
        <v>981</v>
      </c>
      <c r="AD42" t="s">
        <v>982</v>
      </c>
      <c r="AE42" t="s">
        <v>983</v>
      </c>
      <c r="AF42" t="s">
        <v>74</v>
      </c>
      <c r="AG42">
        <v>60</v>
      </c>
      <c r="AH42">
        <v>7</v>
      </c>
      <c r="AI42">
        <v>7</v>
      </c>
      <c r="AJ42">
        <v>1</v>
      </c>
      <c r="AK42">
        <v>43</v>
      </c>
      <c r="AL42" t="s">
        <v>925</v>
      </c>
      <c r="AM42" t="s">
        <v>884</v>
      </c>
      <c r="AN42" t="s">
        <v>926</v>
      </c>
      <c r="AO42" t="s">
        <v>984</v>
      </c>
      <c r="AP42" t="s">
        <v>985</v>
      </c>
      <c r="AQ42" t="s">
        <v>74</v>
      </c>
      <c r="AR42" t="s">
        <v>986</v>
      </c>
      <c r="AS42" t="s">
        <v>987</v>
      </c>
      <c r="AT42" t="s">
        <v>98</v>
      </c>
      <c r="AU42">
        <v>2015</v>
      </c>
      <c r="AV42">
        <v>472</v>
      </c>
      <c r="AW42" t="s">
        <v>74</v>
      </c>
      <c r="AX42" t="s">
        <v>74</v>
      </c>
      <c r="AY42" t="s">
        <v>74</v>
      </c>
      <c r="AZ42" t="s">
        <v>74</v>
      </c>
      <c r="BA42" t="s">
        <v>74</v>
      </c>
      <c r="BB42">
        <v>126</v>
      </c>
      <c r="BC42">
        <v>134</v>
      </c>
      <c r="BD42" t="s">
        <v>74</v>
      </c>
      <c r="BE42" t="s">
        <v>988</v>
      </c>
      <c r="BF42" t="str">
        <f>HYPERLINK("http://dx.doi.org/10.1016/j.jembe.2015.07.010","http://dx.doi.org/10.1016/j.jembe.2015.07.010")</f>
        <v>http://dx.doi.org/10.1016/j.jembe.2015.07.010</v>
      </c>
      <c r="BG42" t="s">
        <v>74</v>
      </c>
      <c r="BH42" t="s">
        <v>74</v>
      </c>
      <c r="BI42">
        <v>9</v>
      </c>
      <c r="BJ42" t="s">
        <v>989</v>
      </c>
      <c r="BK42" t="s">
        <v>101</v>
      </c>
      <c r="BL42" t="s">
        <v>990</v>
      </c>
      <c r="BM42" t="s">
        <v>991</v>
      </c>
      <c r="BN42" t="s">
        <v>74</v>
      </c>
      <c r="BO42" t="s">
        <v>290</v>
      </c>
      <c r="BP42" t="s">
        <v>74</v>
      </c>
      <c r="BQ42" t="s">
        <v>74</v>
      </c>
      <c r="BR42" t="s">
        <v>103</v>
      </c>
      <c r="BS42" t="s">
        <v>992</v>
      </c>
      <c r="BT42" t="str">
        <f>HYPERLINK("https%3A%2F%2Fwww.webofscience.com%2Fwos%2Fwoscc%2Ffull-record%2FWOS:000360875000014","View Full Record in Web of Science")</f>
        <v>View Full Record in Web of Science</v>
      </c>
    </row>
    <row r="43" spans="1:72" x14ac:dyDescent="0.15">
      <c r="A43" t="s">
        <v>72</v>
      </c>
      <c r="B43" t="s">
        <v>993</v>
      </c>
      <c r="C43" t="s">
        <v>74</v>
      </c>
      <c r="D43" t="s">
        <v>74</v>
      </c>
      <c r="E43" t="s">
        <v>74</v>
      </c>
      <c r="F43" t="s">
        <v>994</v>
      </c>
      <c r="G43" t="s">
        <v>74</v>
      </c>
      <c r="H43" t="s">
        <v>74</v>
      </c>
      <c r="I43" t="s">
        <v>995</v>
      </c>
      <c r="J43" t="s">
        <v>996</v>
      </c>
      <c r="K43" t="s">
        <v>74</v>
      </c>
      <c r="L43" t="s">
        <v>74</v>
      </c>
      <c r="M43" t="s">
        <v>78</v>
      </c>
      <c r="N43" t="s">
        <v>997</v>
      </c>
      <c r="O43" t="s">
        <v>74</v>
      </c>
      <c r="P43" t="s">
        <v>74</v>
      </c>
      <c r="Q43" t="s">
        <v>74</v>
      </c>
      <c r="R43" t="s">
        <v>74</v>
      </c>
      <c r="S43" t="s">
        <v>74</v>
      </c>
      <c r="T43" t="s">
        <v>74</v>
      </c>
      <c r="U43" t="s">
        <v>74</v>
      </c>
      <c r="V43" t="s">
        <v>74</v>
      </c>
      <c r="W43" t="s">
        <v>74</v>
      </c>
      <c r="X43" t="s">
        <v>74</v>
      </c>
      <c r="Y43" t="s">
        <v>74</v>
      </c>
      <c r="Z43" t="s">
        <v>74</v>
      </c>
      <c r="AA43" t="s">
        <v>74</v>
      </c>
      <c r="AB43" t="s">
        <v>74</v>
      </c>
      <c r="AC43" t="s">
        <v>74</v>
      </c>
      <c r="AD43" t="s">
        <v>74</v>
      </c>
      <c r="AE43" t="s">
        <v>74</v>
      </c>
      <c r="AF43" t="s">
        <v>74</v>
      </c>
      <c r="AG43">
        <v>0</v>
      </c>
      <c r="AH43">
        <v>2</v>
      </c>
      <c r="AI43">
        <v>2</v>
      </c>
      <c r="AJ43">
        <v>0</v>
      </c>
      <c r="AK43">
        <v>5</v>
      </c>
      <c r="AL43" t="s">
        <v>776</v>
      </c>
      <c r="AM43" t="s">
        <v>307</v>
      </c>
      <c r="AN43" t="s">
        <v>777</v>
      </c>
      <c r="AO43" t="s">
        <v>998</v>
      </c>
      <c r="AP43" t="s">
        <v>999</v>
      </c>
      <c r="AQ43" t="s">
        <v>74</v>
      </c>
      <c r="AR43" t="s">
        <v>996</v>
      </c>
      <c r="AS43" t="s">
        <v>1000</v>
      </c>
      <c r="AT43" t="s">
        <v>1001</v>
      </c>
      <c r="AU43">
        <v>2015</v>
      </c>
      <c r="AV43">
        <v>350</v>
      </c>
      <c r="AW43">
        <v>6260</v>
      </c>
      <c r="AX43" t="s">
        <v>74</v>
      </c>
      <c r="AY43" t="s">
        <v>74</v>
      </c>
      <c r="AZ43" t="s">
        <v>74</v>
      </c>
      <c r="BA43" t="s">
        <v>74</v>
      </c>
      <c r="BB43">
        <v>494</v>
      </c>
      <c r="BC43">
        <v>494</v>
      </c>
      <c r="BD43" t="s">
        <v>74</v>
      </c>
      <c r="BE43" t="s">
        <v>1002</v>
      </c>
      <c r="BF43" t="str">
        <f>HYPERLINK("http://dx.doi.org/10.1126/science.350.6260.494","http://dx.doi.org/10.1126/science.350.6260.494")</f>
        <v>http://dx.doi.org/10.1126/science.350.6260.494</v>
      </c>
      <c r="BG43" t="s">
        <v>74</v>
      </c>
      <c r="BH43" t="s">
        <v>74</v>
      </c>
      <c r="BI43">
        <v>1</v>
      </c>
      <c r="BJ43" t="s">
        <v>530</v>
      </c>
      <c r="BK43" t="s">
        <v>101</v>
      </c>
      <c r="BL43" t="s">
        <v>531</v>
      </c>
      <c r="BM43" t="s">
        <v>1003</v>
      </c>
      <c r="BN43">
        <v>26516262</v>
      </c>
      <c r="BO43" t="s">
        <v>74</v>
      </c>
      <c r="BP43" t="s">
        <v>74</v>
      </c>
      <c r="BQ43" t="s">
        <v>74</v>
      </c>
      <c r="BR43" t="s">
        <v>103</v>
      </c>
      <c r="BS43" t="s">
        <v>1004</v>
      </c>
      <c r="BT43" t="str">
        <f>HYPERLINK("https%3A%2F%2Fwww.webofscience.com%2Fwos%2Fwoscc%2Ffull-record%2FWOS:000363660000013","View Full Record in Web of Science")</f>
        <v>View Full Record in Web of Science</v>
      </c>
    </row>
    <row r="44" spans="1:72" x14ac:dyDescent="0.15">
      <c r="A44" t="s">
        <v>72</v>
      </c>
      <c r="B44" t="s">
        <v>1005</v>
      </c>
      <c r="C44" t="s">
        <v>74</v>
      </c>
      <c r="D44" t="s">
        <v>74</v>
      </c>
      <c r="E44" t="s">
        <v>74</v>
      </c>
      <c r="F44" t="s">
        <v>1006</v>
      </c>
      <c r="G44" t="s">
        <v>74</v>
      </c>
      <c r="H44" t="s">
        <v>74</v>
      </c>
      <c r="I44" t="s">
        <v>1007</v>
      </c>
      <c r="J44" t="s">
        <v>1008</v>
      </c>
      <c r="K44" t="s">
        <v>74</v>
      </c>
      <c r="L44" t="s">
        <v>74</v>
      </c>
      <c r="M44" t="s">
        <v>78</v>
      </c>
      <c r="N44" t="s">
        <v>79</v>
      </c>
      <c r="O44" t="s">
        <v>74</v>
      </c>
      <c r="P44" t="s">
        <v>74</v>
      </c>
      <c r="Q44" t="s">
        <v>74</v>
      </c>
      <c r="R44" t="s">
        <v>74</v>
      </c>
      <c r="S44" t="s">
        <v>74</v>
      </c>
      <c r="T44" t="s">
        <v>1009</v>
      </c>
      <c r="U44" t="s">
        <v>1010</v>
      </c>
      <c r="V44" t="s">
        <v>1011</v>
      </c>
      <c r="W44" t="s">
        <v>1012</v>
      </c>
      <c r="X44" t="s">
        <v>1013</v>
      </c>
      <c r="Y44" t="s">
        <v>1014</v>
      </c>
      <c r="Z44" t="s">
        <v>1015</v>
      </c>
      <c r="AA44" t="s">
        <v>1016</v>
      </c>
      <c r="AB44" t="s">
        <v>1017</v>
      </c>
      <c r="AC44" t="s">
        <v>1018</v>
      </c>
      <c r="AD44" t="s">
        <v>1019</v>
      </c>
      <c r="AE44" t="s">
        <v>1020</v>
      </c>
      <c r="AF44" t="s">
        <v>74</v>
      </c>
      <c r="AG44">
        <v>46</v>
      </c>
      <c r="AH44">
        <v>51</v>
      </c>
      <c r="AI44">
        <v>54</v>
      </c>
      <c r="AJ44">
        <v>0</v>
      </c>
      <c r="AK44">
        <v>13</v>
      </c>
      <c r="AL44" t="s">
        <v>306</v>
      </c>
      <c r="AM44" t="s">
        <v>307</v>
      </c>
      <c r="AN44" t="s">
        <v>308</v>
      </c>
      <c r="AO44" t="s">
        <v>1021</v>
      </c>
      <c r="AP44" t="s">
        <v>1022</v>
      </c>
      <c r="AQ44" t="s">
        <v>74</v>
      </c>
      <c r="AR44" t="s">
        <v>1023</v>
      </c>
      <c r="AS44" t="s">
        <v>1024</v>
      </c>
      <c r="AT44" t="s">
        <v>1025</v>
      </c>
      <c r="AU44">
        <v>2015</v>
      </c>
      <c r="AV44">
        <v>42</v>
      </c>
      <c r="AW44">
        <v>20</v>
      </c>
      <c r="AX44" t="s">
        <v>74</v>
      </c>
      <c r="AY44" t="s">
        <v>74</v>
      </c>
      <c r="AZ44" t="s">
        <v>74</v>
      </c>
      <c r="BA44" t="s">
        <v>74</v>
      </c>
      <c r="BB44">
        <v>8547</v>
      </c>
      <c r="BC44">
        <v>8554</v>
      </c>
      <c r="BD44" t="s">
        <v>74</v>
      </c>
      <c r="BE44" t="s">
        <v>1026</v>
      </c>
      <c r="BF44" t="str">
        <f>HYPERLINK("http://dx.doi.org/10.1002/2015GL065937","http://dx.doi.org/10.1002/2015GL065937")</f>
        <v>http://dx.doi.org/10.1002/2015GL065937</v>
      </c>
      <c r="BG44" t="s">
        <v>74</v>
      </c>
      <c r="BH44" t="s">
        <v>74</v>
      </c>
      <c r="BI44">
        <v>8</v>
      </c>
      <c r="BJ44" t="s">
        <v>314</v>
      </c>
      <c r="BK44" t="s">
        <v>101</v>
      </c>
      <c r="BL44" t="s">
        <v>315</v>
      </c>
      <c r="BM44" t="s">
        <v>1027</v>
      </c>
      <c r="BN44" t="s">
        <v>74</v>
      </c>
      <c r="BO44" t="s">
        <v>1028</v>
      </c>
      <c r="BP44" t="s">
        <v>74</v>
      </c>
      <c r="BQ44" t="s">
        <v>74</v>
      </c>
      <c r="BR44" t="s">
        <v>103</v>
      </c>
      <c r="BS44" t="s">
        <v>1029</v>
      </c>
      <c r="BT44" t="str">
        <f>HYPERLINK("https%3A%2F%2Fwww.webofscience.com%2Fwos%2Fwoscc%2Ffull-record%2FWOS:000364782500036","View Full Record in Web of Science")</f>
        <v>View Full Record in Web of Science</v>
      </c>
    </row>
    <row r="45" spans="1:72" x14ac:dyDescent="0.15">
      <c r="A45" t="s">
        <v>72</v>
      </c>
      <c r="B45" t="s">
        <v>1030</v>
      </c>
      <c r="C45" t="s">
        <v>74</v>
      </c>
      <c r="D45" t="s">
        <v>74</v>
      </c>
      <c r="E45" t="s">
        <v>74</v>
      </c>
      <c r="F45" t="s">
        <v>1031</v>
      </c>
      <c r="G45" t="s">
        <v>74</v>
      </c>
      <c r="H45" t="s">
        <v>74</v>
      </c>
      <c r="I45" t="s">
        <v>1032</v>
      </c>
      <c r="J45" t="s">
        <v>1033</v>
      </c>
      <c r="K45" t="s">
        <v>74</v>
      </c>
      <c r="L45" t="s">
        <v>74</v>
      </c>
      <c r="M45" t="s">
        <v>78</v>
      </c>
      <c r="N45" t="s">
        <v>79</v>
      </c>
      <c r="O45" t="s">
        <v>74</v>
      </c>
      <c r="P45" t="s">
        <v>74</v>
      </c>
      <c r="Q45" t="s">
        <v>74</v>
      </c>
      <c r="R45" t="s">
        <v>74</v>
      </c>
      <c r="S45" t="s">
        <v>74</v>
      </c>
      <c r="T45" t="s">
        <v>1034</v>
      </c>
      <c r="U45" t="s">
        <v>1035</v>
      </c>
      <c r="V45" t="s">
        <v>1036</v>
      </c>
      <c r="W45" t="s">
        <v>1037</v>
      </c>
      <c r="X45" t="s">
        <v>1038</v>
      </c>
      <c r="Y45" t="s">
        <v>1039</v>
      </c>
      <c r="Z45" t="s">
        <v>1040</v>
      </c>
      <c r="AA45" t="s">
        <v>1041</v>
      </c>
      <c r="AB45" t="s">
        <v>1042</v>
      </c>
      <c r="AC45" t="s">
        <v>1043</v>
      </c>
      <c r="AD45" t="s">
        <v>1044</v>
      </c>
      <c r="AE45" t="s">
        <v>1045</v>
      </c>
      <c r="AF45" t="s">
        <v>74</v>
      </c>
      <c r="AG45">
        <v>40</v>
      </c>
      <c r="AH45">
        <v>35</v>
      </c>
      <c r="AI45">
        <v>35</v>
      </c>
      <c r="AJ45">
        <v>0</v>
      </c>
      <c r="AK45">
        <v>36</v>
      </c>
      <c r="AL45" t="s">
        <v>1046</v>
      </c>
      <c r="AM45" t="s">
        <v>1047</v>
      </c>
      <c r="AN45" t="s">
        <v>1048</v>
      </c>
      <c r="AO45" t="s">
        <v>1049</v>
      </c>
      <c r="AP45" t="s">
        <v>1050</v>
      </c>
      <c r="AQ45" t="s">
        <v>74</v>
      </c>
      <c r="AR45" t="s">
        <v>1051</v>
      </c>
      <c r="AS45" t="s">
        <v>1052</v>
      </c>
      <c r="AT45" t="s">
        <v>1025</v>
      </c>
      <c r="AU45">
        <v>2015</v>
      </c>
      <c r="AV45">
        <v>538</v>
      </c>
      <c r="AW45" t="s">
        <v>74</v>
      </c>
      <c r="AX45" t="s">
        <v>74</v>
      </c>
      <c r="AY45" t="s">
        <v>74</v>
      </c>
      <c r="AZ45" t="s">
        <v>74</v>
      </c>
      <c r="BA45" t="s">
        <v>74</v>
      </c>
      <c r="BB45">
        <v>229</v>
      </c>
      <c r="BC45">
        <v>237</v>
      </c>
      <c r="BD45" t="s">
        <v>74</v>
      </c>
      <c r="BE45" t="s">
        <v>1053</v>
      </c>
      <c r="BF45" t="str">
        <f>HYPERLINK("http://dx.doi.org/10.3354/meps11465","http://dx.doi.org/10.3354/meps11465")</f>
        <v>http://dx.doi.org/10.3354/meps11465</v>
      </c>
      <c r="BG45" t="s">
        <v>74</v>
      </c>
      <c r="BH45" t="s">
        <v>74</v>
      </c>
      <c r="BI45">
        <v>9</v>
      </c>
      <c r="BJ45" t="s">
        <v>1054</v>
      </c>
      <c r="BK45" t="s">
        <v>101</v>
      </c>
      <c r="BL45" t="s">
        <v>1055</v>
      </c>
      <c r="BM45" t="s">
        <v>1056</v>
      </c>
      <c r="BN45" t="s">
        <v>74</v>
      </c>
      <c r="BO45" t="s">
        <v>162</v>
      </c>
      <c r="BP45" t="s">
        <v>74</v>
      </c>
      <c r="BQ45" t="s">
        <v>74</v>
      </c>
      <c r="BR45" t="s">
        <v>103</v>
      </c>
      <c r="BS45" t="s">
        <v>1057</v>
      </c>
      <c r="BT45" t="str">
        <f>HYPERLINK("https%3A%2F%2Fwww.webofscience.com%2Fwos%2Fwoscc%2Ffull-record%2FWOS:000364090400018","View Full Record in Web of Science")</f>
        <v>View Full Record in Web of Science</v>
      </c>
    </row>
    <row r="46" spans="1:72" x14ac:dyDescent="0.15">
      <c r="A46" t="s">
        <v>72</v>
      </c>
      <c r="B46" t="s">
        <v>1058</v>
      </c>
      <c r="C46" t="s">
        <v>74</v>
      </c>
      <c r="D46" t="s">
        <v>74</v>
      </c>
      <c r="E46" t="s">
        <v>74</v>
      </c>
      <c r="F46" t="s">
        <v>1059</v>
      </c>
      <c r="G46" t="s">
        <v>74</v>
      </c>
      <c r="H46" t="s">
        <v>74</v>
      </c>
      <c r="I46" t="s">
        <v>1060</v>
      </c>
      <c r="J46" t="s">
        <v>1033</v>
      </c>
      <c r="K46" t="s">
        <v>74</v>
      </c>
      <c r="L46" t="s">
        <v>74</v>
      </c>
      <c r="M46" t="s">
        <v>78</v>
      </c>
      <c r="N46" t="s">
        <v>79</v>
      </c>
      <c r="O46" t="s">
        <v>74</v>
      </c>
      <c r="P46" t="s">
        <v>74</v>
      </c>
      <c r="Q46" t="s">
        <v>74</v>
      </c>
      <c r="R46" t="s">
        <v>74</v>
      </c>
      <c r="S46" t="s">
        <v>74</v>
      </c>
      <c r="T46" t="s">
        <v>1061</v>
      </c>
      <c r="U46" t="s">
        <v>1062</v>
      </c>
      <c r="V46" t="s">
        <v>1063</v>
      </c>
      <c r="W46" t="s">
        <v>1064</v>
      </c>
      <c r="X46" t="s">
        <v>1065</v>
      </c>
      <c r="Y46" t="s">
        <v>1066</v>
      </c>
      <c r="Z46" t="s">
        <v>1067</v>
      </c>
      <c r="AA46" t="s">
        <v>1068</v>
      </c>
      <c r="AB46" t="s">
        <v>1069</v>
      </c>
      <c r="AC46" t="s">
        <v>1070</v>
      </c>
      <c r="AD46" t="s">
        <v>1070</v>
      </c>
      <c r="AE46" t="s">
        <v>1071</v>
      </c>
      <c r="AF46" t="s">
        <v>74</v>
      </c>
      <c r="AG46">
        <v>20</v>
      </c>
      <c r="AH46">
        <v>0</v>
      </c>
      <c r="AI46">
        <v>0</v>
      </c>
      <c r="AJ46">
        <v>0</v>
      </c>
      <c r="AK46">
        <v>19</v>
      </c>
      <c r="AL46" t="s">
        <v>1046</v>
      </c>
      <c r="AM46" t="s">
        <v>1047</v>
      </c>
      <c r="AN46" t="s">
        <v>1048</v>
      </c>
      <c r="AO46" t="s">
        <v>1049</v>
      </c>
      <c r="AP46" t="s">
        <v>1050</v>
      </c>
      <c r="AQ46" t="s">
        <v>74</v>
      </c>
      <c r="AR46" t="s">
        <v>1051</v>
      </c>
      <c r="AS46" t="s">
        <v>1052</v>
      </c>
      <c r="AT46" t="s">
        <v>1025</v>
      </c>
      <c r="AU46">
        <v>2015</v>
      </c>
      <c r="AV46">
        <v>538</v>
      </c>
      <c r="AW46" t="s">
        <v>74</v>
      </c>
      <c r="AX46" t="s">
        <v>74</v>
      </c>
      <c r="AY46" t="s">
        <v>74</v>
      </c>
      <c r="AZ46" t="s">
        <v>74</v>
      </c>
      <c r="BA46" t="s">
        <v>74</v>
      </c>
      <c r="BB46">
        <v>249</v>
      </c>
      <c r="BC46">
        <v>256</v>
      </c>
      <c r="BD46" t="s">
        <v>74</v>
      </c>
      <c r="BE46" t="s">
        <v>1072</v>
      </c>
      <c r="BF46" t="str">
        <f>HYPERLINK("http://dx.doi.org/10.3354/meps11504","http://dx.doi.org/10.3354/meps11504")</f>
        <v>http://dx.doi.org/10.3354/meps11504</v>
      </c>
      <c r="BG46" t="s">
        <v>74</v>
      </c>
      <c r="BH46" t="s">
        <v>74</v>
      </c>
      <c r="BI46">
        <v>8</v>
      </c>
      <c r="BJ46" t="s">
        <v>1054</v>
      </c>
      <c r="BK46" t="s">
        <v>101</v>
      </c>
      <c r="BL46" t="s">
        <v>1055</v>
      </c>
      <c r="BM46" t="s">
        <v>1056</v>
      </c>
      <c r="BN46" t="s">
        <v>74</v>
      </c>
      <c r="BO46" t="s">
        <v>1073</v>
      </c>
      <c r="BP46" t="s">
        <v>74</v>
      </c>
      <c r="BQ46" t="s">
        <v>74</v>
      </c>
      <c r="BR46" t="s">
        <v>103</v>
      </c>
      <c r="BS46" t="s">
        <v>1074</v>
      </c>
      <c r="BT46" t="str">
        <f>HYPERLINK("https%3A%2F%2Fwww.webofscience.com%2Fwos%2Fwoscc%2Ffull-record%2FWOS:000364090400020","View Full Record in Web of Science")</f>
        <v>View Full Record in Web of Science</v>
      </c>
    </row>
    <row r="47" spans="1:72" x14ac:dyDescent="0.15">
      <c r="A47" t="s">
        <v>72</v>
      </c>
      <c r="B47" t="s">
        <v>1075</v>
      </c>
      <c r="C47" t="s">
        <v>74</v>
      </c>
      <c r="D47" t="s">
        <v>74</v>
      </c>
      <c r="E47" t="s">
        <v>74</v>
      </c>
      <c r="F47" t="s">
        <v>1076</v>
      </c>
      <c r="G47" t="s">
        <v>74</v>
      </c>
      <c r="H47" t="s">
        <v>74</v>
      </c>
      <c r="I47" t="s">
        <v>1077</v>
      </c>
      <c r="J47" t="s">
        <v>1078</v>
      </c>
      <c r="K47" t="s">
        <v>74</v>
      </c>
      <c r="L47" t="s">
        <v>74</v>
      </c>
      <c r="M47" t="s">
        <v>78</v>
      </c>
      <c r="N47" t="s">
        <v>79</v>
      </c>
      <c r="O47" t="s">
        <v>74</v>
      </c>
      <c r="P47" t="s">
        <v>74</v>
      </c>
      <c r="Q47" t="s">
        <v>74</v>
      </c>
      <c r="R47" t="s">
        <v>74</v>
      </c>
      <c r="S47" t="s">
        <v>74</v>
      </c>
      <c r="T47" t="s">
        <v>74</v>
      </c>
      <c r="U47" t="s">
        <v>1079</v>
      </c>
      <c r="V47" t="s">
        <v>1080</v>
      </c>
      <c r="W47" t="s">
        <v>1081</v>
      </c>
      <c r="X47" t="s">
        <v>1082</v>
      </c>
      <c r="Y47" t="s">
        <v>1083</v>
      </c>
      <c r="Z47" t="s">
        <v>1084</v>
      </c>
      <c r="AA47" t="s">
        <v>1085</v>
      </c>
      <c r="AB47" t="s">
        <v>1086</v>
      </c>
      <c r="AC47" t="s">
        <v>1087</v>
      </c>
      <c r="AD47" t="s">
        <v>1087</v>
      </c>
      <c r="AE47" t="s">
        <v>1088</v>
      </c>
      <c r="AF47" t="s">
        <v>74</v>
      </c>
      <c r="AG47">
        <v>46</v>
      </c>
      <c r="AH47">
        <v>12</v>
      </c>
      <c r="AI47">
        <v>15</v>
      </c>
      <c r="AJ47">
        <v>2</v>
      </c>
      <c r="AK47">
        <v>24</v>
      </c>
      <c r="AL47" t="s">
        <v>1089</v>
      </c>
      <c r="AM47" t="s">
        <v>1090</v>
      </c>
      <c r="AN47" t="s">
        <v>1091</v>
      </c>
      <c r="AO47" t="s">
        <v>1092</v>
      </c>
      <c r="AP47" t="s">
        <v>74</v>
      </c>
      <c r="AQ47" t="s">
        <v>74</v>
      </c>
      <c r="AR47" t="s">
        <v>1078</v>
      </c>
      <c r="AS47" t="s">
        <v>1093</v>
      </c>
      <c r="AT47" t="s">
        <v>1025</v>
      </c>
      <c r="AU47">
        <v>2015</v>
      </c>
      <c r="AV47">
        <v>10</v>
      </c>
      <c r="AW47">
        <v>10</v>
      </c>
      <c r="AX47" t="s">
        <v>74</v>
      </c>
      <c r="AY47" t="s">
        <v>74</v>
      </c>
      <c r="AZ47" t="s">
        <v>74</v>
      </c>
      <c r="BA47" t="s">
        <v>74</v>
      </c>
      <c r="BB47" t="s">
        <v>74</v>
      </c>
      <c r="BC47" t="s">
        <v>74</v>
      </c>
      <c r="BD47" t="s">
        <v>1094</v>
      </c>
      <c r="BE47" t="s">
        <v>1095</v>
      </c>
      <c r="BF47" t="str">
        <f>HYPERLINK("http://dx.doi.org/10.1371/journal.pone.0141810","http://dx.doi.org/10.1371/journal.pone.0141810")</f>
        <v>http://dx.doi.org/10.1371/journal.pone.0141810</v>
      </c>
      <c r="BG47" t="s">
        <v>74</v>
      </c>
      <c r="BH47" t="s">
        <v>74</v>
      </c>
      <c r="BI47">
        <v>9</v>
      </c>
      <c r="BJ47" t="s">
        <v>530</v>
      </c>
      <c r="BK47" t="s">
        <v>101</v>
      </c>
      <c r="BL47" t="s">
        <v>531</v>
      </c>
      <c r="BM47" t="s">
        <v>1096</v>
      </c>
      <c r="BN47">
        <v>26509788</v>
      </c>
      <c r="BO47" t="s">
        <v>1097</v>
      </c>
      <c r="BP47" t="s">
        <v>74</v>
      </c>
      <c r="BQ47" t="s">
        <v>74</v>
      </c>
      <c r="BR47" t="s">
        <v>103</v>
      </c>
      <c r="BS47" t="s">
        <v>1098</v>
      </c>
      <c r="BT47" t="str">
        <f>HYPERLINK("https%3A%2F%2Fwww.webofscience.com%2Fwos%2Fwoscc%2Ffull-record%2FWOS:000363918100135","View Full Record in Web of Science")</f>
        <v>View Full Record in Web of Science</v>
      </c>
    </row>
    <row r="48" spans="1:72" x14ac:dyDescent="0.15">
      <c r="A48" t="s">
        <v>72</v>
      </c>
      <c r="B48" t="s">
        <v>1099</v>
      </c>
      <c r="C48" t="s">
        <v>74</v>
      </c>
      <c r="D48" t="s">
        <v>74</v>
      </c>
      <c r="E48" t="s">
        <v>74</v>
      </c>
      <c r="F48" t="s">
        <v>1100</v>
      </c>
      <c r="G48" t="s">
        <v>74</v>
      </c>
      <c r="H48" t="s">
        <v>74</v>
      </c>
      <c r="I48" t="s">
        <v>1101</v>
      </c>
      <c r="J48" t="s">
        <v>1008</v>
      </c>
      <c r="K48" t="s">
        <v>74</v>
      </c>
      <c r="L48" t="s">
        <v>74</v>
      </c>
      <c r="M48" t="s">
        <v>78</v>
      </c>
      <c r="N48" t="s">
        <v>79</v>
      </c>
      <c r="O48" t="s">
        <v>74</v>
      </c>
      <c r="P48" t="s">
        <v>74</v>
      </c>
      <c r="Q48" t="s">
        <v>74</v>
      </c>
      <c r="R48" t="s">
        <v>74</v>
      </c>
      <c r="S48" t="s">
        <v>74</v>
      </c>
      <c r="T48" t="s">
        <v>1102</v>
      </c>
      <c r="U48" t="s">
        <v>1103</v>
      </c>
      <c r="V48" t="s">
        <v>1104</v>
      </c>
      <c r="W48" t="s">
        <v>1105</v>
      </c>
      <c r="X48" t="s">
        <v>1106</v>
      </c>
      <c r="Y48" t="s">
        <v>1107</v>
      </c>
      <c r="Z48" t="s">
        <v>1108</v>
      </c>
      <c r="AA48" t="s">
        <v>1109</v>
      </c>
      <c r="AB48" t="s">
        <v>1110</v>
      </c>
      <c r="AC48" t="s">
        <v>1111</v>
      </c>
      <c r="AD48" t="s">
        <v>1112</v>
      </c>
      <c r="AE48" t="s">
        <v>1113</v>
      </c>
      <c r="AF48" t="s">
        <v>74</v>
      </c>
      <c r="AG48">
        <v>67</v>
      </c>
      <c r="AH48">
        <v>23</v>
      </c>
      <c r="AI48">
        <v>29</v>
      </c>
      <c r="AJ48">
        <v>1</v>
      </c>
      <c r="AK48">
        <v>28</v>
      </c>
      <c r="AL48" t="s">
        <v>306</v>
      </c>
      <c r="AM48" t="s">
        <v>307</v>
      </c>
      <c r="AN48" t="s">
        <v>308</v>
      </c>
      <c r="AO48" t="s">
        <v>1021</v>
      </c>
      <c r="AP48" t="s">
        <v>1022</v>
      </c>
      <c r="AQ48" t="s">
        <v>74</v>
      </c>
      <c r="AR48" t="s">
        <v>1023</v>
      </c>
      <c r="AS48" t="s">
        <v>1024</v>
      </c>
      <c r="AT48" t="s">
        <v>1025</v>
      </c>
      <c r="AU48">
        <v>2015</v>
      </c>
      <c r="AV48">
        <v>42</v>
      </c>
      <c r="AW48">
        <v>20</v>
      </c>
      <c r="AX48" t="s">
        <v>74</v>
      </c>
      <c r="AY48" t="s">
        <v>74</v>
      </c>
      <c r="AZ48" t="s">
        <v>74</v>
      </c>
      <c r="BA48" t="s">
        <v>74</v>
      </c>
      <c r="BB48">
        <v>8471</v>
      </c>
      <c r="BC48">
        <v>8480</v>
      </c>
      <c r="BD48" t="s">
        <v>74</v>
      </c>
      <c r="BE48" t="s">
        <v>1114</v>
      </c>
      <c r="BF48" t="str">
        <f>HYPERLINK("http://dx.doi.org/10.1002/2015GL065782","http://dx.doi.org/10.1002/2015GL065782")</f>
        <v>http://dx.doi.org/10.1002/2015GL065782</v>
      </c>
      <c r="BG48" t="s">
        <v>74</v>
      </c>
      <c r="BH48" t="s">
        <v>74</v>
      </c>
      <c r="BI48">
        <v>10</v>
      </c>
      <c r="BJ48" t="s">
        <v>314</v>
      </c>
      <c r="BK48" t="s">
        <v>101</v>
      </c>
      <c r="BL48" t="s">
        <v>315</v>
      </c>
      <c r="BM48" t="s">
        <v>1027</v>
      </c>
      <c r="BN48" t="s">
        <v>74</v>
      </c>
      <c r="BO48" t="s">
        <v>1115</v>
      </c>
      <c r="BP48" t="s">
        <v>74</v>
      </c>
      <c r="BQ48" t="s">
        <v>74</v>
      </c>
      <c r="BR48" t="s">
        <v>103</v>
      </c>
      <c r="BS48" t="s">
        <v>1116</v>
      </c>
      <c r="BT48" t="str">
        <f>HYPERLINK("https%3A%2F%2Fwww.webofscience.com%2Fwos%2Fwoscc%2Ffull-record%2FWOS:000364782500027","View Full Record in Web of Science")</f>
        <v>View Full Record in Web of Science</v>
      </c>
    </row>
    <row r="49" spans="1:72" x14ac:dyDescent="0.15">
      <c r="A49" t="s">
        <v>72</v>
      </c>
      <c r="B49" t="s">
        <v>1117</v>
      </c>
      <c r="C49" t="s">
        <v>74</v>
      </c>
      <c r="D49" t="s">
        <v>74</v>
      </c>
      <c r="E49" t="s">
        <v>74</v>
      </c>
      <c r="F49" t="s">
        <v>1118</v>
      </c>
      <c r="G49" t="s">
        <v>74</v>
      </c>
      <c r="H49" t="s">
        <v>74</v>
      </c>
      <c r="I49" t="s">
        <v>1119</v>
      </c>
      <c r="J49" t="s">
        <v>1008</v>
      </c>
      <c r="K49" t="s">
        <v>74</v>
      </c>
      <c r="L49" t="s">
        <v>74</v>
      </c>
      <c r="M49" t="s">
        <v>78</v>
      </c>
      <c r="N49" t="s">
        <v>79</v>
      </c>
      <c r="O49" t="s">
        <v>74</v>
      </c>
      <c r="P49" t="s">
        <v>74</v>
      </c>
      <c r="Q49" t="s">
        <v>74</v>
      </c>
      <c r="R49" t="s">
        <v>74</v>
      </c>
      <c r="S49" t="s">
        <v>74</v>
      </c>
      <c r="T49" t="s">
        <v>74</v>
      </c>
      <c r="U49" t="s">
        <v>1120</v>
      </c>
      <c r="V49" t="s">
        <v>1121</v>
      </c>
      <c r="W49" t="s">
        <v>1122</v>
      </c>
      <c r="X49" t="s">
        <v>1123</v>
      </c>
      <c r="Y49" t="s">
        <v>1124</v>
      </c>
      <c r="Z49" t="s">
        <v>1125</v>
      </c>
      <c r="AA49" t="s">
        <v>1126</v>
      </c>
      <c r="AB49" t="s">
        <v>1127</v>
      </c>
      <c r="AC49" t="s">
        <v>1128</v>
      </c>
      <c r="AD49" t="s">
        <v>1129</v>
      </c>
      <c r="AE49" t="s">
        <v>1130</v>
      </c>
      <c r="AF49" t="s">
        <v>74</v>
      </c>
      <c r="AG49">
        <v>37</v>
      </c>
      <c r="AH49">
        <v>12</v>
      </c>
      <c r="AI49">
        <v>13</v>
      </c>
      <c r="AJ49">
        <v>0</v>
      </c>
      <c r="AK49">
        <v>15</v>
      </c>
      <c r="AL49" t="s">
        <v>306</v>
      </c>
      <c r="AM49" t="s">
        <v>307</v>
      </c>
      <c r="AN49" t="s">
        <v>308</v>
      </c>
      <c r="AO49" t="s">
        <v>1021</v>
      </c>
      <c r="AP49" t="s">
        <v>1022</v>
      </c>
      <c r="AQ49" t="s">
        <v>74</v>
      </c>
      <c r="AR49" t="s">
        <v>1023</v>
      </c>
      <c r="AS49" t="s">
        <v>1024</v>
      </c>
      <c r="AT49" t="s">
        <v>1025</v>
      </c>
      <c r="AU49">
        <v>2015</v>
      </c>
      <c r="AV49">
        <v>42</v>
      </c>
      <c r="AW49">
        <v>20</v>
      </c>
      <c r="AX49" t="s">
        <v>74</v>
      </c>
      <c r="AY49" t="s">
        <v>74</v>
      </c>
      <c r="AZ49" t="s">
        <v>74</v>
      </c>
      <c r="BA49" t="s">
        <v>74</v>
      </c>
      <c r="BB49">
        <v>8702</v>
      </c>
      <c r="BC49">
        <v>8710</v>
      </c>
      <c r="BD49" t="s">
        <v>74</v>
      </c>
      <c r="BE49" t="s">
        <v>1131</v>
      </c>
      <c r="BF49" t="str">
        <f>HYPERLINK("http://dx.doi.org/10.1002/2015GL065846","http://dx.doi.org/10.1002/2015GL065846")</f>
        <v>http://dx.doi.org/10.1002/2015GL065846</v>
      </c>
      <c r="BG49" t="s">
        <v>74</v>
      </c>
      <c r="BH49" t="s">
        <v>74</v>
      </c>
      <c r="BI49">
        <v>9</v>
      </c>
      <c r="BJ49" t="s">
        <v>314</v>
      </c>
      <c r="BK49" t="s">
        <v>101</v>
      </c>
      <c r="BL49" t="s">
        <v>315</v>
      </c>
      <c r="BM49" t="s">
        <v>1027</v>
      </c>
      <c r="BN49" t="s">
        <v>74</v>
      </c>
      <c r="BO49" t="s">
        <v>1132</v>
      </c>
      <c r="BP49" t="s">
        <v>74</v>
      </c>
      <c r="BQ49" t="s">
        <v>74</v>
      </c>
      <c r="BR49" t="s">
        <v>103</v>
      </c>
      <c r="BS49" t="s">
        <v>1133</v>
      </c>
      <c r="BT49" t="str">
        <f>HYPERLINK("https%3A%2F%2Fwww.webofscience.com%2Fwos%2Fwoscc%2Ffull-record%2FWOS:000364782500054","View Full Record in Web of Science")</f>
        <v>View Full Record in Web of Science</v>
      </c>
    </row>
    <row r="50" spans="1:72" x14ac:dyDescent="0.15">
      <c r="A50" t="s">
        <v>72</v>
      </c>
      <c r="B50" t="s">
        <v>1134</v>
      </c>
      <c r="C50" t="s">
        <v>74</v>
      </c>
      <c r="D50" t="s">
        <v>74</v>
      </c>
      <c r="E50" t="s">
        <v>74</v>
      </c>
      <c r="F50" t="s">
        <v>1135</v>
      </c>
      <c r="G50" t="s">
        <v>74</v>
      </c>
      <c r="H50" t="s">
        <v>74</v>
      </c>
      <c r="I50" t="s">
        <v>1136</v>
      </c>
      <c r="J50" t="s">
        <v>1078</v>
      </c>
      <c r="K50" t="s">
        <v>74</v>
      </c>
      <c r="L50" t="s">
        <v>74</v>
      </c>
      <c r="M50" t="s">
        <v>78</v>
      </c>
      <c r="N50" t="s">
        <v>79</v>
      </c>
      <c r="O50" t="s">
        <v>74</v>
      </c>
      <c r="P50" t="s">
        <v>74</v>
      </c>
      <c r="Q50" t="s">
        <v>74</v>
      </c>
      <c r="R50" t="s">
        <v>74</v>
      </c>
      <c r="S50" t="s">
        <v>74</v>
      </c>
      <c r="T50" t="s">
        <v>74</v>
      </c>
      <c r="U50" t="s">
        <v>1137</v>
      </c>
      <c r="V50" t="s">
        <v>1138</v>
      </c>
      <c r="W50" t="s">
        <v>1139</v>
      </c>
      <c r="X50" t="s">
        <v>1140</v>
      </c>
      <c r="Y50" t="s">
        <v>1141</v>
      </c>
      <c r="Z50" t="s">
        <v>1142</v>
      </c>
      <c r="AA50" t="s">
        <v>1143</v>
      </c>
      <c r="AB50" t="s">
        <v>1144</v>
      </c>
      <c r="AC50" t="s">
        <v>1145</v>
      </c>
      <c r="AD50" t="s">
        <v>1146</v>
      </c>
      <c r="AE50" t="s">
        <v>1147</v>
      </c>
      <c r="AF50" t="s">
        <v>74</v>
      </c>
      <c r="AG50">
        <v>101</v>
      </c>
      <c r="AH50">
        <v>145</v>
      </c>
      <c r="AI50">
        <v>145</v>
      </c>
      <c r="AJ50">
        <v>0</v>
      </c>
      <c r="AK50">
        <v>24</v>
      </c>
      <c r="AL50" t="s">
        <v>1089</v>
      </c>
      <c r="AM50" t="s">
        <v>1090</v>
      </c>
      <c r="AN50" t="s">
        <v>1091</v>
      </c>
      <c r="AO50" t="s">
        <v>1092</v>
      </c>
      <c r="AP50" t="s">
        <v>74</v>
      </c>
      <c r="AQ50" t="s">
        <v>74</v>
      </c>
      <c r="AR50" t="s">
        <v>1078</v>
      </c>
      <c r="AS50" t="s">
        <v>1093</v>
      </c>
      <c r="AT50" t="s">
        <v>1025</v>
      </c>
      <c r="AU50">
        <v>2015</v>
      </c>
      <c r="AV50">
        <v>10</v>
      </c>
      <c r="AW50">
        <v>10</v>
      </c>
      <c r="AX50" t="s">
        <v>74</v>
      </c>
      <c r="AY50" t="s">
        <v>74</v>
      </c>
      <c r="AZ50" t="s">
        <v>74</v>
      </c>
      <c r="BA50" t="s">
        <v>74</v>
      </c>
      <c r="BB50" t="s">
        <v>74</v>
      </c>
      <c r="BC50" t="s">
        <v>74</v>
      </c>
      <c r="BD50" t="s">
        <v>1148</v>
      </c>
      <c r="BE50" t="s">
        <v>1149</v>
      </c>
      <c r="BF50" t="str">
        <f>HYPERLINK("http://dx.doi.org/10.1371/journal.pone.0141039","http://dx.doi.org/10.1371/journal.pone.0141039")</f>
        <v>http://dx.doi.org/10.1371/journal.pone.0141039</v>
      </c>
      <c r="BG50" t="s">
        <v>74</v>
      </c>
      <c r="BH50" t="s">
        <v>74</v>
      </c>
      <c r="BI50">
        <v>18</v>
      </c>
      <c r="BJ50" t="s">
        <v>530</v>
      </c>
      <c r="BK50" t="s">
        <v>101</v>
      </c>
      <c r="BL50" t="s">
        <v>531</v>
      </c>
      <c r="BM50" t="s">
        <v>1096</v>
      </c>
      <c r="BN50">
        <v>26509918</v>
      </c>
      <c r="BO50" t="s">
        <v>1150</v>
      </c>
      <c r="BP50" t="s">
        <v>74</v>
      </c>
      <c r="BQ50" t="s">
        <v>74</v>
      </c>
      <c r="BR50" t="s">
        <v>103</v>
      </c>
      <c r="BS50" t="s">
        <v>1151</v>
      </c>
      <c r="BT50" t="str">
        <f>HYPERLINK("https%3A%2F%2Fwww.webofscience.com%2Fwos%2Fwoscc%2Ffull-record%2FWOS:000363918100047","View Full Record in Web of Science")</f>
        <v>View Full Record in Web of Science</v>
      </c>
    </row>
    <row r="51" spans="1:72" x14ac:dyDescent="0.15">
      <c r="A51" t="s">
        <v>72</v>
      </c>
      <c r="B51" t="s">
        <v>1152</v>
      </c>
      <c r="C51" t="s">
        <v>74</v>
      </c>
      <c r="D51" t="s">
        <v>74</v>
      </c>
      <c r="E51" t="s">
        <v>74</v>
      </c>
      <c r="F51" t="s">
        <v>1153</v>
      </c>
      <c r="G51" t="s">
        <v>74</v>
      </c>
      <c r="H51" t="s">
        <v>74</v>
      </c>
      <c r="I51" t="s">
        <v>1154</v>
      </c>
      <c r="J51" t="s">
        <v>1155</v>
      </c>
      <c r="K51" t="s">
        <v>74</v>
      </c>
      <c r="L51" t="s">
        <v>74</v>
      </c>
      <c r="M51" t="s">
        <v>78</v>
      </c>
      <c r="N51" t="s">
        <v>79</v>
      </c>
      <c r="O51" t="s">
        <v>74</v>
      </c>
      <c r="P51" t="s">
        <v>74</v>
      </c>
      <c r="Q51" t="s">
        <v>74</v>
      </c>
      <c r="R51" t="s">
        <v>74</v>
      </c>
      <c r="S51" t="s">
        <v>74</v>
      </c>
      <c r="T51" t="s">
        <v>1156</v>
      </c>
      <c r="U51" t="s">
        <v>1157</v>
      </c>
      <c r="V51" t="s">
        <v>1158</v>
      </c>
      <c r="W51" t="s">
        <v>1159</v>
      </c>
      <c r="X51" t="s">
        <v>1160</v>
      </c>
      <c r="Y51" t="s">
        <v>1161</v>
      </c>
      <c r="Z51" t="s">
        <v>1162</v>
      </c>
      <c r="AA51" t="s">
        <v>1163</v>
      </c>
      <c r="AB51" t="s">
        <v>1164</v>
      </c>
      <c r="AC51" t="s">
        <v>1165</v>
      </c>
      <c r="AD51" t="s">
        <v>1166</v>
      </c>
      <c r="AE51" t="s">
        <v>1167</v>
      </c>
      <c r="AF51" t="s">
        <v>74</v>
      </c>
      <c r="AG51">
        <v>53</v>
      </c>
      <c r="AH51">
        <v>8</v>
      </c>
      <c r="AI51">
        <v>9</v>
      </c>
      <c r="AJ51">
        <v>1</v>
      </c>
      <c r="AK51">
        <v>13</v>
      </c>
      <c r="AL51" t="s">
        <v>1046</v>
      </c>
      <c r="AM51" t="s">
        <v>1047</v>
      </c>
      <c r="AN51" t="s">
        <v>1048</v>
      </c>
      <c r="AO51" t="s">
        <v>1168</v>
      </c>
      <c r="AP51" t="s">
        <v>1169</v>
      </c>
      <c r="AQ51" t="s">
        <v>74</v>
      </c>
      <c r="AR51" t="s">
        <v>1170</v>
      </c>
      <c r="AS51" t="s">
        <v>1171</v>
      </c>
      <c r="AT51" t="s">
        <v>1172</v>
      </c>
      <c r="AU51">
        <v>2015</v>
      </c>
      <c r="AV51">
        <v>116</v>
      </c>
      <c r="AW51">
        <v>3</v>
      </c>
      <c r="AX51" t="s">
        <v>74</v>
      </c>
      <c r="AY51" t="s">
        <v>74</v>
      </c>
      <c r="AZ51" t="s">
        <v>74</v>
      </c>
      <c r="BA51" t="s">
        <v>74</v>
      </c>
      <c r="BB51">
        <v>213</v>
      </c>
      <c r="BC51">
        <v>225</v>
      </c>
      <c r="BD51" t="s">
        <v>74</v>
      </c>
      <c r="BE51" t="s">
        <v>1173</v>
      </c>
      <c r="BF51" t="str">
        <f>HYPERLINK("http://dx.doi.org/10.3354/dao02922","http://dx.doi.org/10.3354/dao02922")</f>
        <v>http://dx.doi.org/10.3354/dao02922</v>
      </c>
      <c r="BG51" t="s">
        <v>74</v>
      </c>
      <c r="BH51" t="s">
        <v>74</v>
      </c>
      <c r="BI51">
        <v>13</v>
      </c>
      <c r="BJ51" t="s">
        <v>1174</v>
      </c>
      <c r="BK51" t="s">
        <v>101</v>
      </c>
      <c r="BL51" t="s">
        <v>1174</v>
      </c>
      <c r="BM51" t="s">
        <v>1175</v>
      </c>
      <c r="BN51">
        <v>26503776</v>
      </c>
      <c r="BO51" t="s">
        <v>74</v>
      </c>
      <c r="BP51" t="s">
        <v>74</v>
      </c>
      <c r="BQ51" t="s">
        <v>74</v>
      </c>
      <c r="BR51" t="s">
        <v>103</v>
      </c>
      <c r="BS51" t="s">
        <v>1176</v>
      </c>
      <c r="BT51" t="str">
        <f>HYPERLINK("https%3A%2F%2Fwww.webofscience.com%2Fwos%2Fwoscc%2Ffull-record%2FWOS:000364088700007","View Full Record in Web of Science")</f>
        <v>View Full Record in Web of Science</v>
      </c>
    </row>
    <row r="52" spans="1:72" x14ac:dyDescent="0.15">
      <c r="A52" t="s">
        <v>72</v>
      </c>
      <c r="B52" t="s">
        <v>1177</v>
      </c>
      <c r="C52" t="s">
        <v>74</v>
      </c>
      <c r="D52" t="s">
        <v>74</v>
      </c>
      <c r="E52" t="s">
        <v>74</v>
      </c>
      <c r="F52" t="s">
        <v>1178</v>
      </c>
      <c r="G52" t="s">
        <v>74</v>
      </c>
      <c r="H52" t="s">
        <v>74</v>
      </c>
      <c r="I52" t="s">
        <v>1179</v>
      </c>
      <c r="J52" t="s">
        <v>1155</v>
      </c>
      <c r="K52" t="s">
        <v>74</v>
      </c>
      <c r="L52" t="s">
        <v>74</v>
      </c>
      <c r="M52" t="s">
        <v>78</v>
      </c>
      <c r="N52" t="s">
        <v>79</v>
      </c>
      <c r="O52" t="s">
        <v>74</v>
      </c>
      <c r="P52" t="s">
        <v>74</v>
      </c>
      <c r="Q52" t="s">
        <v>74</v>
      </c>
      <c r="R52" t="s">
        <v>74</v>
      </c>
      <c r="S52" t="s">
        <v>74</v>
      </c>
      <c r="T52" t="s">
        <v>1180</v>
      </c>
      <c r="U52" t="s">
        <v>1181</v>
      </c>
      <c r="V52" t="s">
        <v>1182</v>
      </c>
      <c r="W52" t="s">
        <v>1183</v>
      </c>
      <c r="X52" t="s">
        <v>1160</v>
      </c>
      <c r="Y52" t="s">
        <v>1184</v>
      </c>
      <c r="Z52" t="s">
        <v>1162</v>
      </c>
      <c r="AA52" t="s">
        <v>1163</v>
      </c>
      <c r="AB52" t="s">
        <v>1164</v>
      </c>
      <c r="AC52" t="s">
        <v>1185</v>
      </c>
      <c r="AD52" t="s">
        <v>1186</v>
      </c>
      <c r="AE52" t="s">
        <v>1187</v>
      </c>
      <c r="AF52" t="s">
        <v>74</v>
      </c>
      <c r="AG52">
        <v>50</v>
      </c>
      <c r="AH52">
        <v>5</v>
      </c>
      <c r="AI52">
        <v>7</v>
      </c>
      <c r="AJ52">
        <v>1</v>
      </c>
      <c r="AK52">
        <v>9</v>
      </c>
      <c r="AL52" t="s">
        <v>1046</v>
      </c>
      <c r="AM52" t="s">
        <v>1047</v>
      </c>
      <c r="AN52" t="s">
        <v>1048</v>
      </c>
      <c r="AO52" t="s">
        <v>1168</v>
      </c>
      <c r="AP52" t="s">
        <v>1169</v>
      </c>
      <c r="AQ52" t="s">
        <v>74</v>
      </c>
      <c r="AR52" t="s">
        <v>1170</v>
      </c>
      <c r="AS52" t="s">
        <v>1171</v>
      </c>
      <c r="AT52" t="s">
        <v>1172</v>
      </c>
      <c r="AU52">
        <v>2015</v>
      </c>
      <c r="AV52">
        <v>116</v>
      </c>
      <c r="AW52">
        <v>3</v>
      </c>
      <c r="AX52" t="s">
        <v>74</v>
      </c>
      <c r="AY52" t="s">
        <v>74</v>
      </c>
      <c r="AZ52" t="s">
        <v>74</v>
      </c>
      <c r="BA52" t="s">
        <v>74</v>
      </c>
      <c r="BB52">
        <v>227</v>
      </c>
      <c r="BC52">
        <v>236</v>
      </c>
      <c r="BD52" t="s">
        <v>74</v>
      </c>
      <c r="BE52" t="s">
        <v>1188</v>
      </c>
      <c r="BF52" t="str">
        <f>HYPERLINK("http://dx.doi.org/10.3354/dao02923","http://dx.doi.org/10.3354/dao02923")</f>
        <v>http://dx.doi.org/10.3354/dao02923</v>
      </c>
      <c r="BG52" t="s">
        <v>74</v>
      </c>
      <c r="BH52" t="s">
        <v>74</v>
      </c>
      <c r="BI52">
        <v>10</v>
      </c>
      <c r="BJ52" t="s">
        <v>1174</v>
      </c>
      <c r="BK52" t="s">
        <v>101</v>
      </c>
      <c r="BL52" t="s">
        <v>1174</v>
      </c>
      <c r="BM52" t="s">
        <v>1175</v>
      </c>
      <c r="BN52">
        <v>26503777</v>
      </c>
      <c r="BO52" t="s">
        <v>162</v>
      </c>
      <c r="BP52" t="s">
        <v>74</v>
      </c>
      <c r="BQ52" t="s">
        <v>74</v>
      </c>
      <c r="BR52" t="s">
        <v>103</v>
      </c>
      <c r="BS52" t="s">
        <v>1189</v>
      </c>
      <c r="BT52" t="str">
        <f>HYPERLINK("https%3A%2F%2Fwww.webofscience.com%2Fwos%2Fwoscc%2Ffull-record%2FWOS:000364088700008","View Full Record in Web of Science")</f>
        <v>View Full Record in Web of Science</v>
      </c>
    </row>
    <row r="53" spans="1:72" x14ac:dyDescent="0.15">
      <c r="A53" t="s">
        <v>72</v>
      </c>
      <c r="B53" t="s">
        <v>1190</v>
      </c>
      <c r="C53" t="s">
        <v>74</v>
      </c>
      <c r="D53" t="s">
        <v>74</v>
      </c>
      <c r="E53" t="s">
        <v>74</v>
      </c>
      <c r="F53" t="s">
        <v>1191</v>
      </c>
      <c r="G53" t="s">
        <v>74</v>
      </c>
      <c r="H53" t="s">
        <v>74</v>
      </c>
      <c r="I53" t="s">
        <v>1192</v>
      </c>
      <c r="J53" t="s">
        <v>1193</v>
      </c>
      <c r="K53" t="s">
        <v>74</v>
      </c>
      <c r="L53" t="s">
        <v>74</v>
      </c>
      <c r="M53" t="s">
        <v>78</v>
      </c>
      <c r="N53" t="s">
        <v>79</v>
      </c>
      <c r="O53" t="s">
        <v>74</v>
      </c>
      <c r="P53" t="s">
        <v>74</v>
      </c>
      <c r="Q53" t="s">
        <v>74</v>
      </c>
      <c r="R53" t="s">
        <v>74</v>
      </c>
      <c r="S53" t="s">
        <v>74</v>
      </c>
      <c r="T53" t="s">
        <v>1194</v>
      </c>
      <c r="U53" t="s">
        <v>1195</v>
      </c>
      <c r="V53" t="s">
        <v>1196</v>
      </c>
      <c r="W53" t="s">
        <v>1197</v>
      </c>
      <c r="X53" t="s">
        <v>1198</v>
      </c>
      <c r="Y53" t="s">
        <v>1199</v>
      </c>
      <c r="Z53" t="s">
        <v>1200</v>
      </c>
      <c r="AA53" t="s">
        <v>1201</v>
      </c>
      <c r="AB53" t="s">
        <v>1202</v>
      </c>
      <c r="AC53" t="s">
        <v>1203</v>
      </c>
      <c r="AD53" t="s">
        <v>1204</v>
      </c>
      <c r="AE53" t="s">
        <v>1205</v>
      </c>
      <c r="AF53" t="s">
        <v>74</v>
      </c>
      <c r="AG53">
        <v>132</v>
      </c>
      <c r="AH53">
        <v>20</v>
      </c>
      <c r="AI53">
        <v>20</v>
      </c>
      <c r="AJ53">
        <v>0</v>
      </c>
      <c r="AK53">
        <v>13</v>
      </c>
      <c r="AL53" t="s">
        <v>1206</v>
      </c>
      <c r="AM53" t="s">
        <v>1207</v>
      </c>
      <c r="AN53" t="s">
        <v>1208</v>
      </c>
      <c r="AO53" t="s">
        <v>1209</v>
      </c>
      <c r="AP53" t="s">
        <v>1210</v>
      </c>
      <c r="AQ53" t="s">
        <v>74</v>
      </c>
      <c r="AR53" t="s">
        <v>1193</v>
      </c>
      <c r="AS53" t="s">
        <v>1211</v>
      </c>
      <c r="AT53" t="s">
        <v>1172</v>
      </c>
      <c r="AU53">
        <v>2015</v>
      </c>
      <c r="AV53">
        <v>4033</v>
      </c>
      <c r="AW53">
        <v>4</v>
      </c>
      <c r="AX53" t="s">
        <v>74</v>
      </c>
      <c r="AY53" t="s">
        <v>74</v>
      </c>
      <c r="AZ53" t="s">
        <v>74</v>
      </c>
      <c r="BA53" t="s">
        <v>74</v>
      </c>
      <c r="BB53">
        <v>484</v>
      </c>
      <c r="BC53">
        <v>506</v>
      </c>
      <c r="BD53" t="s">
        <v>74</v>
      </c>
      <c r="BE53" t="s">
        <v>74</v>
      </c>
      <c r="BF53" t="s">
        <v>74</v>
      </c>
      <c r="BG53" t="s">
        <v>74</v>
      </c>
      <c r="BH53" t="s">
        <v>74</v>
      </c>
      <c r="BI53">
        <v>23</v>
      </c>
      <c r="BJ53" t="s">
        <v>243</v>
      </c>
      <c r="BK53" t="s">
        <v>101</v>
      </c>
      <c r="BL53" t="s">
        <v>243</v>
      </c>
      <c r="BM53" t="s">
        <v>1212</v>
      </c>
      <c r="BN53">
        <v>26624420</v>
      </c>
      <c r="BO53" t="s">
        <v>1213</v>
      </c>
      <c r="BP53" t="s">
        <v>74</v>
      </c>
      <c r="BQ53" t="s">
        <v>74</v>
      </c>
      <c r="BR53" t="s">
        <v>103</v>
      </c>
      <c r="BS53" t="s">
        <v>1214</v>
      </c>
      <c r="BT53" t="str">
        <f>HYPERLINK("https%3A%2F%2Fwww.webofscience.com%2Fwos%2Fwoscc%2Ffull-record%2FWOS:000363698300002","View Full Record in Web of Science")</f>
        <v>View Full Record in Web of Science</v>
      </c>
    </row>
    <row r="54" spans="1:72" x14ac:dyDescent="0.15">
      <c r="A54" t="s">
        <v>72</v>
      </c>
      <c r="B54" t="s">
        <v>1215</v>
      </c>
      <c r="C54" t="s">
        <v>74</v>
      </c>
      <c r="D54" t="s">
        <v>74</v>
      </c>
      <c r="E54" t="s">
        <v>74</v>
      </c>
      <c r="F54" t="s">
        <v>1216</v>
      </c>
      <c r="G54" t="s">
        <v>74</v>
      </c>
      <c r="H54" t="s">
        <v>74</v>
      </c>
      <c r="I54" t="s">
        <v>1217</v>
      </c>
      <c r="J54" t="s">
        <v>1218</v>
      </c>
      <c r="K54" t="s">
        <v>74</v>
      </c>
      <c r="L54" t="s">
        <v>74</v>
      </c>
      <c r="M54" t="s">
        <v>78</v>
      </c>
      <c r="N54" t="s">
        <v>79</v>
      </c>
      <c r="O54" t="s">
        <v>74</v>
      </c>
      <c r="P54" t="s">
        <v>74</v>
      </c>
      <c r="Q54" t="s">
        <v>74</v>
      </c>
      <c r="R54" t="s">
        <v>74</v>
      </c>
      <c r="S54" t="s">
        <v>74</v>
      </c>
      <c r="T54" t="s">
        <v>74</v>
      </c>
      <c r="U54" t="s">
        <v>74</v>
      </c>
      <c r="V54" t="s">
        <v>1219</v>
      </c>
      <c r="W54" t="s">
        <v>1220</v>
      </c>
      <c r="X54" t="s">
        <v>1221</v>
      </c>
      <c r="Y54" t="s">
        <v>1222</v>
      </c>
      <c r="Z54" t="s">
        <v>1223</v>
      </c>
      <c r="AA54" t="s">
        <v>1224</v>
      </c>
      <c r="AB54" t="s">
        <v>1225</v>
      </c>
      <c r="AC54" t="s">
        <v>1226</v>
      </c>
      <c r="AD54" t="s">
        <v>1227</v>
      </c>
      <c r="AE54" t="s">
        <v>1228</v>
      </c>
      <c r="AF54" t="s">
        <v>74</v>
      </c>
      <c r="AG54">
        <v>89</v>
      </c>
      <c r="AH54">
        <v>29</v>
      </c>
      <c r="AI54">
        <v>34</v>
      </c>
      <c r="AJ54">
        <v>4</v>
      </c>
      <c r="AK54">
        <v>51</v>
      </c>
      <c r="AL54" t="s">
        <v>306</v>
      </c>
      <c r="AM54" t="s">
        <v>307</v>
      </c>
      <c r="AN54" t="s">
        <v>308</v>
      </c>
      <c r="AO54" t="s">
        <v>1229</v>
      </c>
      <c r="AP54" t="s">
        <v>1230</v>
      </c>
      <c r="AQ54" t="s">
        <v>74</v>
      </c>
      <c r="AR54" t="s">
        <v>1231</v>
      </c>
      <c r="AS54" t="s">
        <v>1232</v>
      </c>
      <c r="AT54" t="s">
        <v>1172</v>
      </c>
      <c r="AU54">
        <v>2015</v>
      </c>
      <c r="AV54">
        <v>120</v>
      </c>
      <c r="AW54">
        <v>20</v>
      </c>
      <c r="AX54" t="s">
        <v>74</v>
      </c>
      <c r="AY54" t="s">
        <v>74</v>
      </c>
      <c r="AZ54" t="s">
        <v>74</v>
      </c>
      <c r="BA54" t="s">
        <v>74</v>
      </c>
      <c r="BB54">
        <v>10996</v>
      </c>
      <c r="BC54">
        <v>11011</v>
      </c>
      <c r="BD54" t="s">
        <v>74</v>
      </c>
      <c r="BE54" t="s">
        <v>1233</v>
      </c>
      <c r="BF54" t="str">
        <f>HYPERLINK("http://dx.doi.org/10.1002/2015JD023293","http://dx.doi.org/10.1002/2015JD023293")</f>
        <v>http://dx.doi.org/10.1002/2015JD023293</v>
      </c>
      <c r="BG54" t="s">
        <v>74</v>
      </c>
      <c r="BH54" t="s">
        <v>74</v>
      </c>
      <c r="BI54">
        <v>16</v>
      </c>
      <c r="BJ54" t="s">
        <v>271</v>
      </c>
      <c r="BK54" t="s">
        <v>101</v>
      </c>
      <c r="BL54" t="s">
        <v>271</v>
      </c>
      <c r="BM54" t="s">
        <v>1234</v>
      </c>
      <c r="BN54" t="s">
        <v>74</v>
      </c>
      <c r="BO54" t="s">
        <v>1235</v>
      </c>
      <c r="BP54" t="s">
        <v>74</v>
      </c>
      <c r="BQ54" t="s">
        <v>74</v>
      </c>
      <c r="BR54" t="s">
        <v>103</v>
      </c>
      <c r="BS54" t="s">
        <v>1236</v>
      </c>
      <c r="BT54" t="str">
        <f>HYPERLINK("https%3A%2F%2Fwww.webofscience.com%2Fwos%2Fwoscc%2Ffull-record%2FWOS:000209847000026","View Full Record in Web of Science")</f>
        <v>View Full Record in Web of Science</v>
      </c>
    </row>
    <row r="55" spans="1:72" x14ac:dyDescent="0.15">
      <c r="A55" t="s">
        <v>72</v>
      </c>
      <c r="B55" t="s">
        <v>1237</v>
      </c>
      <c r="C55" t="s">
        <v>74</v>
      </c>
      <c r="D55" t="s">
        <v>74</v>
      </c>
      <c r="E55" t="s">
        <v>74</v>
      </c>
      <c r="F55" t="s">
        <v>1238</v>
      </c>
      <c r="G55" t="s">
        <v>74</v>
      </c>
      <c r="H55" t="s">
        <v>74</v>
      </c>
      <c r="I55" t="s">
        <v>1239</v>
      </c>
      <c r="J55" t="s">
        <v>1240</v>
      </c>
      <c r="K55" t="s">
        <v>74</v>
      </c>
      <c r="L55" t="s">
        <v>74</v>
      </c>
      <c r="M55" t="s">
        <v>78</v>
      </c>
      <c r="N55" t="s">
        <v>79</v>
      </c>
      <c r="O55" t="s">
        <v>74</v>
      </c>
      <c r="P55" t="s">
        <v>74</v>
      </c>
      <c r="Q55" t="s">
        <v>74</v>
      </c>
      <c r="R55" t="s">
        <v>74</v>
      </c>
      <c r="S55" t="s">
        <v>74</v>
      </c>
      <c r="T55" t="s">
        <v>1241</v>
      </c>
      <c r="U55" t="s">
        <v>1242</v>
      </c>
      <c r="V55" t="s">
        <v>1243</v>
      </c>
      <c r="W55" t="s">
        <v>1244</v>
      </c>
      <c r="X55" t="s">
        <v>1245</v>
      </c>
      <c r="Y55" t="s">
        <v>1246</v>
      </c>
      <c r="Z55" t="s">
        <v>1247</v>
      </c>
      <c r="AA55" t="s">
        <v>1248</v>
      </c>
      <c r="AB55" t="s">
        <v>1249</v>
      </c>
      <c r="AC55" t="s">
        <v>1250</v>
      </c>
      <c r="AD55" t="s">
        <v>1251</v>
      </c>
      <c r="AE55" t="s">
        <v>1252</v>
      </c>
      <c r="AF55" t="s">
        <v>74</v>
      </c>
      <c r="AG55">
        <v>81</v>
      </c>
      <c r="AH55">
        <v>43</v>
      </c>
      <c r="AI55">
        <v>45</v>
      </c>
      <c r="AJ55">
        <v>3</v>
      </c>
      <c r="AK55">
        <v>63</v>
      </c>
      <c r="AL55" t="s">
        <v>1253</v>
      </c>
      <c r="AM55" t="s">
        <v>1254</v>
      </c>
      <c r="AN55" t="s">
        <v>1255</v>
      </c>
      <c r="AO55" t="s">
        <v>74</v>
      </c>
      <c r="AP55" t="s">
        <v>1256</v>
      </c>
      <c r="AQ55" t="s">
        <v>74</v>
      </c>
      <c r="AR55" t="s">
        <v>1257</v>
      </c>
      <c r="AS55" t="s">
        <v>1258</v>
      </c>
      <c r="AT55" t="s">
        <v>1259</v>
      </c>
      <c r="AU55">
        <v>2015</v>
      </c>
      <c r="AV55">
        <v>6</v>
      </c>
      <c r="AW55" t="s">
        <v>74</v>
      </c>
      <c r="AX55" t="s">
        <v>74</v>
      </c>
      <c r="AY55" t="s">
        <v>74</v>
      </c>
      <c r="AZ55" t="s">
        <v>74</v>
      </c>
      <c r="BA55" t="s">
        <v>74</v>
      </c>
      <c r="BB55" t="s">
        <v>74</v>
      </c>
      <c r="BC55" t="s">
        <v>74</v>
      </c>
      <c r="BD55">
        <v>1090</v>
      </c>
      <c r="BE55" t="s">
        <v>1260</v>
      </c>
      <c r="BF55" t="str">
        <f>HYPERLINK("http://dx.doi.org/10.3389/fmicb.2015.01090","http://dx.doi.org/10.3389/fmicb.2015.01090")</f>
        <v>http://dx.doi.org/10.3389/fmicb.2015.01090</v>
      </c>
      <c r="BG55" t="s">
        <v>74</v>
      </c>
      <c r="BH55" t="s">
        <v>74</v>
      </c>
      <c r="BI55">
        <v>19</v>
      </c>
      <c r="BJ55" t="s">
        <v>160</v>
      </c>
      <c r="BK55" t="s">
        <v>101</v>
      </c>
      <c r="BL55" t="s">
        <v>160</v>
      </c>
      <c r="BM55" t="s">
        <v>1261</v>
      </c>
      <c r="BN55">
        <v>26579075</v>
      </c>
      <c r="BO55" t="s">
        <v>1262</v>
      </c>
      <c r="BP55" t="s">
        <v>74</v>
      </c>
      <c r="BQ55" t="s">
        <v>74</v>
      </c>
      <c r="BR55" t="s">
        <v>103</v>
      </c>
      <c r="BS55" t="s">
        <v>1263</v>
      </c>
      <c r="BT55" t="str">
        <f>HYPERLINK("https%3A%2F%2Fwww.webofscience.com%2Fwos%2Fwoscc%2Ffull-record%2FWOS:000364157100001","View Full Record in Web of Science")</f>
        <v>View Full Record in Web of Science</v>
      </c>
    </row>
    <row r="56" spans="1:72" x14ac:dyDescent="0.15">
      <c r="A56" t="s">
        <v>72</v>
      </c>
      <c r="B56" t="s">
        <v>1264</v>
      </c>
      <c r="C56" t="s">
        <v>74</v>
      </c>
      <c r="D56" t="s">
        <v>74</v>
      </c>
      <c r="E56" t="s">
        <v>74</v>
      </c>
      <c r="F56" t="s">
        <v>1265</v>
      </c>
      <c r="G56" t="s">
        <v>74</v>
      </c>
      <c r="H56" t="s">
        <v>74</v>
      </c>
      <c r="I56" t="s">
        <v>1266</v>
      </c>
      <c r="J56" t="s">
        <v>1078</v>
      </c>
      <c r="K56" t="s">
        <v>74</v>
      </c>
      <c r="L56" t="s">
        <v>74</v>
      </c>
      <c r="M56" t="s">
        <v>78</v>
      </c>
      <c r="N56" t="s">
        <v>79</v>
      </c>
      <c r="O56" t="s">
        <v>74</v>
      </c>
      <c r="P56" t="s">
        <v>74</v>
      </c>
      <c r="Q56" t="s">
        <v>74</v>
      </c>
      <c r="R56" t="s">
        <v>74</v>
      </c>
      <c r="S56" t="s">
        <v>74</v>
      </c>
      <c r="T56" t="s">
        <v>74</v>
      </c>
      <c r="U56" t="s">
        <v>1267</v>
      </c>
      <c r="V56" t="s">
        <v>1268</v>
      </c>
      <c r="W56" t="s">
        <v>1269</v>
      </c>
      <c r="X56" t="s">
        <v>1270</v>
      </c>
      <c r="Y56" t="s">
        <v>1271</v>
      </c>
      <c r="Z56" t="s">
        <v>1272</v>
      </c>
      <c r="AA56" t="s">
        <v>1273</v>
      </c>
      <c r="AB56" t="s">
        <v>1274</v>
      </c>
      <c r="AC56" t="s">
        <v>1275</v>
      </c>
      <c r="AD56" t="s">
        <v>1276</v>
      </c>
      <c r="AE56" t="s">
        <v>1277</v>
      </c>
      <c r="AF56" t="s">
        <v>74</v>
      </c>
      <c r="AG56">
        <v>42</v>
      </c>
      <c r="AH56">
        <v>12</v>
      </c>
      <c r="AI56">
        <v>12</v>
      </c>
      <c r="AJ56">
        <v>0</v>
      </c>
      <c r="AK56">
        <v>17</v>
      </c>
      <c r="AL56" t="s">
        <v>1089</v>
      </c>
      <c r="AM56" t="s">
        <v>1090</v>
      </c>
      <c r="AN56" t="s">
        <v>1091</v>
      </c>
      <c r="AO56" t="s">
        <v>1092</v>
      </c>
      <c r="AP56" t="s">
        <v>74</v>
      </c>
      <c r="AQ56" t="s">
        <v>74</v>
      </c>
      <c r="AR56" t="s">
        <v>1078</v>
      </c>
      <c r="AS56" t="s">
        <v>1093</v>
      </c>
      <c r="AT56" t="s">
        <v>1278</v>
      </c>
      <c r="AU56">
        <v>2015</v>
      </c>
      <c r="AV56">
        <v>10</v>
      </c>
      <c r="AW56">
        <v>10</v>
      </c>
      <c r="AX56" t="s">
        <v>74</v>
      </c>
      <c r="AY56" t="s">
        <v>74</v>
      </c>
      <c r="AZ56" t="s">
        <v>74</v>
      </c>
      <c r="BA56" t="s">
        <v>74</v>
      </c>
      <c r="BB56" t="s">
        <v>74</v>
      </c>
      <c r="BC56" t="s">
        <v>74</v>
      </c>
      <c r="BD56" t="s">
        <v>1279</v>
      </c>
      <c r="BE56" t="s">
        <v>1280</v>
      </c>
      <c r="BF56" t="str">
        <f>HYPERLINK("http://dx.doi.org/10.1371/journal.pone.0141051","http://dx.doi.org/10.1371/journal.pone.0141051")</f>
        <v>http://dx.doi.org/10.1371/journal.pone.0141051</v>
      </c>
      <c r="BG56" t="s">
        <v>74</v>
      </c>
      <c r="BH56" t="s">
        <v>74</v>
      </c>
      <c r="BI56">
        <v>18</v>
      </c>
      <c r="BJ56" t="s">
        <v>530</v>
      </c>
      <c r="BK56" t="s">
        <v>101</v>
      </c>
      <c r="BL56" t="s">
        <v>531</v>
      </c>
      <c r="BM56" t="s">
        <v>1281</v>
      </c>
      <c r="BN56">
        <v>26496507</v>
      </c>
      <c r="BO56" t="s">
        <v>1282</v>
      </c>
      <c r="BP56" t="s">
        <v>74</v>
      </c>
      <c r="BQ56" t="s">
        <v>74</v>
      </c>
      <c r="BR56" t="s">
        <v>103</v>
      </c>
      <c r="BS56" t="s">
        <v>1283</v>
      </c>
      <c r="BT56" t="str">
        <f>HYPERLINK("https%3A%2F%2Fwww.webofscience.com%2Fwos%2Fwoscc%2Ffull-record%2FWOS:000363309200055","View Full Record in Web of Science")</f>
        <v>View Full Record in Web of Science</v>
      </c>
    </row>
    <row r="57" spans="1:72" x14ac:dyDescent="0.15">
      <c r="A57" t="s">
        <v>72</v>
      </c>
      <c r="B57" t="s">
        <v>1284</v>
      </c>
      <c r="C57" t="s">
        <v>74</v>
      </c>
      <c r="D57" t="s">
        <v>74</v>
      </c>
      <c r="E57" t="s">
        <v>74</v>
      </c>
      <c r="F57" t="s">
        <v>1285</v>
      </c>
      <c r="G57" t="s">
        <v>74</v>
      </c>
      <c r="H57" t="s">
        <v>74</v>
      </c>
      <c r="I57" t="s">
        <v>1286</v>
      </c>
      <c r="J57" t="s">
        <v>1287</v>
      </c>
      <c r="K57" t="s">
        <v>74</v>
      </c>
      <c r="L57" t="s">
        <v>74</v>
      </c>
      <c r="M57" t="s">
        <v>78</v>
      </c>
      <c r="N57" t="s">
        <v>79</v>
      </c>
      <c r="O57" t="s">
        <v>74</v>
      </c>
      <c r="P57" t="s">
        <v>74</v>
      </c>
      <c r="Q57" t="s">
        <v>74</v>
      </c>
      <c r="R57" t="s">
        <v>74</v>
      </c>
      <c r="S57" t="s">
        <v>74</v>
      </c>
      <c r="T57" t="s">
        <v>74</v>
      </c>
      <c r="U57" t="s">
        <v>1288</v>
      </c>
      <c r="V57" t="s">
        <v>1289</v>
      </c>
      <c r="W57" t="s">
        <v>1290</v>
      </c>
      <c r="X57" t="s">
        <v>1291</v>
      </c>
      <c r="Y57" t="s">
        <v>1292</v>
      </c>
      <c r="Z57" t="s">
        <v>1293</v>
      </c>
      <c r="AA57" t="s">
        <v>1294</v>
      </c>
      <c r="AB57" t="s">
        <v>1295</v>
      </c>
      <c r="AC57" t="s">
        <v>1296</v>
      </c>
      <c r="AD57" t="s">
        <v>1297</v>
      </c>
      <c r="AE57" t="s">
        <v>1298</v>
      </c>
      <c r="AF57" t="s">
        <v>74</v>
      </c>
      <c r="AG57">
        <v>48</v>
      </c>
      <c r="AH57">
        <v>51</v>
      </c>
      <c r="AI57">
        <v>52</v>
      </c>
      <c r="AJ57">
        <v>2</v>
      </c>
      <c r="AK57">
        <v>44</v>
      </c>
      <c r="AL57" t="s">
        <v>523</v>
      </c>
      <c r="AM57" t="s">
        <v>524</v>
      </c>
      <c r="AN57" t="s">
        <v>525</v>
      </c>
      <c r="AO57" t="s">
        <v>1299</v>
      </c>
      <c r="AP57" t="s">
        <v>74</v>
      </c>
      <c r="AQ57" t="s">
        <v>74</v>
      </c>
      <c r="AR57" t="s">
        <v>1300</v>
      </c>
      <c r="AS57" t="s">
        <v>1301</v>
      </c>
      <c r="AT57" t="s">
        <v>1278</v>
      </c>
      <c r="AU57">
        <v>2015</v>
      </c>
      <c r="AV57">
        <v>5</v>
      </c>
      <c r="AW57" t="s">
        <v>74</v>
      </c>
      <c r="AX57" t="s">
        <v>74</v>
      </c>
      <c r="AY57" t="s">
        <v>74</v>
      </c>
      <c r="AZ57" t="s">
        <v>74</v>
      </c>
      <c r="BA57" t="s">
        <v>74</v>
      </c>
      <c r="BB57" t="s">
        <v>74</v>
      </c>
      <c r="BC57" t="s">
        <v>74</v>
      </c>
      <c r="BD57">
        <v>14524</v>
      </c>
      <c r="BE57" t="s">
        <v>1302</v>
      </c>
      <c r="BF57" t="str">
        <f>HYPERLINK("http://dx.doi.org/10.1038/srep14524","http://dx.doi.org/10.1038/srep14524")</f>
        <v>http://dx.doi.org/10.1038/srep14524</v>
      </c>
      <c r="BG57" t="s">
        <v>74</v>
      </c>
      <c r="BH57" t="s">
        <v>74</v>
      </c>
      <c r="BI57">
        <v>11</v>
      </c>
      <c r="BJ57" t="s">
        <v>530</v>
      </c>
      <c r="BK57" t="s">
        <v>101</v>
      </c>
      <c r="BL57" t="s">
        <v>531</v>
      </c>
      <c r="BM57" t="s">
        <v>1303</v>
      </c>
      <c r="BN57" t="s">
        <v>74</v>
      </c>
      <c r="BO57" t="s">
        <v>1304</v>
      </c>
      <c r="BP57" t="s">
        <v>74</v>
      </c>
      <c r="BQ57" t="s">
        <v>74</v>
      </c>
      <c r="BR57" t="s">
        <v>103</v>
      </c>
      <c r="BS57" t="s">
        <v>1305</v>
      </c>
      <c r="BT57" t="str">
        <f>HYPERLINK("https%3A%2F%2Fwww.webofscience.com%2Fwos%2Fwoscc%2Ffull-record%2FWOS:000363302900001","View Full Record in Web of Science")</f>
        <v>View Full Record in Web of Science</v>
      </c>
    </row>
    <row r="58" spans="1:72" x14ac:dyDescent="0.15">
      <c r="A58" t="s">
        <v>72</v>
      </c>
      <c r="B58" t="s">
        <v>1306</v>
      </c>
      <c r="C58" t="s">
        <v>74</v>
      </c>
      <c r="D58" t="s">
        <v>74</v>
      </c>
      <c r="E58" t="s">
        <v>74</v>
      </c>
      <c r="F58" t="s">
        <v>1307</v>
      </c>
      <c r="G58" t="s">
        <v>74</v>
      </c>
      <c r="H58" t="s">
        <v>74</v>
      </c>
      <c r="I58" t="s">
        <v>1308</v>
      </c>
      <c r="J58" t="s">
        <v>1309</v>
      </c>
      <c r="K58" t="s">
        <v>74</v>
      </c>
      <c r="L58" t="s">
        <v>74</v>
      </c>
      <c r="M58" t="s">
        <v>78</v>
      </c>
      <c r="N58" t="s">
        <v>79</v>
      </c>
      <c r="O58" t="s">
        <v>74</v>
      </c>
      <c r="P58" t="s">
        <v>74</v>
      </c>
      <c r="Q58" t="s">
        <v>74</v>
      </c>
      <c r="R58" t="s">
        <v>74</v>
      </c>
      <c r="S58" t="s">
        <v>74</v>
      </c>
      <c r="T58" t="s">
        <v>1310</v>
      </c>
      <c r="U58" t="s">
        <v>1311</v>
      </c>
      <c r="V58" t="s">
        <v>1312</v>
      </c>
      <c r="W58" t="s">
        <v>1313</v>
      </c>
      <c r="X58" t="s">
        <v>1314</v>
      </c>
      <c r="Y58" t="s">
        <v>1315</v>
      </c>
      <c r="Z58" t="s">
        <v>1316</v>
      </c>
      <c r="AA58" t="s">
        <v>74</v>
      </c>
      <c r="AB58" t="s">
        <v>1317</v>
      </c>
      <c r="AC58" t="s">
        <v>1318</v>
      </c>
      <c r="AD58" t="s">
        <v>1319</v>
      </c>
      <c r="AE58" t="s">
        <v>1320</v>
      </c>
      <c r="AF58" t="s">
        <v>74</v>
      </c>
      <c r="AG58">
        <v>35</v>
      </c>
      <c r="AH58">
        <v>26</v>
      </c>
      <c r="AI58">
        <v>27</v>
      </c>
      <c r="AJ58">
        <v>14</v>
      </c>
      <c r="AK58">
        <v>181</v>
      </c>
      <c r="AL58" t="s">
        <v>1321</v>
      </c>
      <c r="AM58" t="s">
        <v>180</v>
      </c>
      <c r="AN58" t="s">
        <v>1322</v>
      </c>
      <c r="AO58" t="s">
        <v>1323</v>
      </c>
      <c r="AP58" t="s">
        <v>1324</v>
      </c>
      <c r="AQ58" t="s">
        <v>74</v>
      </c>
      <c r="AR58" t="s">
        <v>1325</v>
      </c>
      <c r="AS58" t="s">
        <v>1326</v>
      </c>
      <c r="AT58" t="s">
        <v>1327</v>
      </c>
      <c r="AU58">
        <v>2015</v>
      </c>
      <c r="AV58">
        <v>282</v>
      </c>
      <c r="AW58">
        <v>1817</v>
      </c>
      <c r="AX58" t="s">
        <v>74</v>
      </c>
      <c r="AY58" t="s">
        <v>74</v>
      </c>
      <c r="AZ58" t="s">
        <v>74</v>
      </c>
      <c r="BA58" t="s">
        <v>74</v>
      </c>
      <c r="BB58" t="s">
        <v>74</v>
      </c>
      <c r="BC58" t="s">
        <v>74</v>
      </c>
      <c r="BD58">
        <v>20152033</v>
      </c>
      <c r="BE58" t="s">
        <v>1328</v>
      </c>
      <c r="BF58" t="str">
        <f>HYPERLINK("http://dx.doi.org/10.1098/rspb.2015.2033","http://dx.doi.org/10.1098/rspb.2015.2033")</f>
        <v>http://dx.doi.org/10.1098/rspb.2015.2033</v>
      </c>
      <c r="BG58" t="s">
        <v>74</v>
      </c>
      <c r="BH58" t="s">
        <v>74</v>
      </c>
      <c r="BI58">
        <v>8</v>
      </c>
      <c r="BJ58" t="s">
        <v>1329</v>
      </c>
      <c r="BK58" t="s">
        <v>101</v>
      </c>
      <c r="BL58" t="s">
        <v>1330</v>
      </c>
      <c r="BM58" t="s">
        <v>1331</v>
      </c>
      <c r="BN58">
        <v>26490794</v>
      </c>
      <c r="BO58" t="s">
        <v>908</v>
      </c>
      <c r="BP58" t="s">
        <v>74</v>
      </c>
      <c r="BQ58" t="s">
        <v>74</v>
      </c>
      <c r="BR58" t="s">
        <v>103</v>
      </c>
      <c r="BS58" t="s">
        <v>1332</v>
      </c>
      <c r="BT58" t="str">
        <f>HYPERLINK("https%3A%2F%2Fwww.webofscience.com%2Fwos%2Fwoscc%2Ffull-record%2FWOS:000363485700019","View Full Record in Web of Science")</f>
        <v>View Full Record in Web of Science</v>
      </c>
    </row>
    <row r="59" spans="1:72" x14ac:dyDescent="0.15">
      <c r="A59" t="s">
        <v>72</v>
      </c>
      <c r="B59" t="s">
        <v>1333</v>
      </c>
      <c r="C59" t="s">
        <v>74</v>
      </c>
      <c r="D59" t="s">
        <v>74</v>
      </c>
      <c r="E59" t="s">
        <v>74</v>
      </c>
      <c r="F59" t="s">
        <v>1334</v>
      </c>
      <c r="G59" t="s">
        <v>74</v>
      </c>
      <c r="H59" t="s">
        <v>74</v>
      </c>
      <c r="I59" t="s">
        <v>1335</v>
      </c>
      <c r="J59" t="s">
        <v>1336</v>
      </c>
      <c r="K59" t="s">
        <v>74</v>
      </c>
      <c r="L59" t="s">
        <v>74</v>
      </c>
      <c r="M59" t="s">
        <v>78</v>
      </c>
      <c r="N59" t="s">
        <v>754</v>
      </c>
      <c r="O59" t="s">
        <v>74</v>
      </c>
      <c r="P59" t="s">
        <v>74</v>
      </c>
      <c r="Q59" t="s">
        <v>74</v>
      </c>
      <c r="R59" t="s">
        <v>74</v>
      </c>
      <c r="S59" t="s">
        <v>74</v>
      </c>
      <c r="T59" t="s">
        <v>74</v>
      </c>
      <c r="U59" t="s">
        <v>1337</v>
      </c>
      <c r="V59" t="s">
        <v>1338</v>
      </c>
      <c r="W59" t="s">
        <v>1339</v>
      </c>
      <c r="X59" t="s">
        <v>1340</v>
      </c>
      <c r="Y59" t="s">
        <v>1341</v>
      </c>
      <c r="Z59" t="s">
        <v>1342</v>
      </c>
      <c r="AA59" t="s">
        <v>1343</v>
      </c>
      <c r="AB59" t="s">
        <v>1344</v>
      </c>
      <c r="AC59" t="s">
        <v>74</v>
      </c>
      <c r="AD59" t="s">
        <v>74</v>
      </c>
      <c r="AE59" t="s">
        <v>74</v>
      </c>
      <c r="AF59" t="s">
        <v>74</v>
      </c>
      <c r="AG59">
        <v>11</v>
      </c>
      <c r="AH59">
        <v>1</v>
      </c>
      <c r="AI59">
        <v>1</v>
      </c>
      <c r="AJ59">
        <v>1</v>
      </c>
      <c r="AK59">
        <v>27</v>
      </c>
      <c r="AL59" t="s">
        <v>523</v>
      </c>
      <c r="AM59" t="s">
        <v>524</v>
      </c>
      <c r="AN59" t="s">
        <v>525</v>
      </c>
      <c r="AO59" t="s">
        <v>1345</v>
      </c>
      <c r="AP59" t="s">
        <v>1346</v>
      </c>
      <c r="AQ59" t="s">
        <v>74</v>
      </c>
      <c r="AR59" t="s">
        <v>1336</v>
      </c>
      <c r="AS59" t="s">
        <v>1347</v>
      </c>
      <c r="AT59" t="s">
        <v>1327</v>
      </c>
      <c r="AU59">
        <v>2015</v>
      </c>
      <c r="AV59">
        <v>526</v>
      </c>
      <c r="AW59">
        <v>7574</v>
      </c>
      <c r="AX59" t="s">
        <v>74</v>
      </c>
      <c r="AY59" t="s">
        <v>74</v>
      </c>
      <c r="AZ59" t="s">
        <v>74</v>
      </c>
      <c r="BA59" t="s">
        <v>74</v>
      </c>
      <c r="BB59">
        <v>510</v>
      </c>
      <c r="BC59">
        <v>512</v>
      </c>
      <c r="BD59" t="s">
        <v>74</v>
      </c>
      <c r="BE59" t="s">
        <v>1348</v>
      </c>
      <c r="BF59" t="str">
        <f>HYPERLINK("http://dx.doi.org/10.1038/526510a","http://dx.doi.org/10.1038/526510a")</f>
        <v>http://dx.doi.org/10.1038/526510a</v>
      </c>
      <c r="BG59" t="s">
        <v>74</v>
      </c>
      <c r="BH59" t="s">
        <v>74</v>
      </c>
      <c r="BI59">
        <v>4</v>
      </c>
      <c r="BJ59" t="s">
        <v>530</v>
      </c>
      <c r="BK59" t="s">
        <v>101</v>
      </c>
      <c r="BL59" t="s">
        <v>531</v>
      </c>
      <c r="BM59" t="s">
        <v>1349</v>
      </c>
      <c r="BN59">
        <v>26490614</v>
      </c>
      <c r="BO59" t="s">
        <v>162</v>
      </c>
      <c r="BP59" t="s">
        <v>74</v>
      </c>
      <c r="BQ59" t="s">
        <v>74</v>
      </c>
      <c r="BR59" t="s">
        <v>103</v>
      </c>
      <c r="BS59" t="s">
        <v>1350</v>
      </c>
      <c r="BT59" t="str">
        <f>HYPERLINK("https%3A%2F%2Fwww.webofscience.com%2Fwos%2Fwoscc%2Ffull-record%2FWOS:000364026100033","View Full Record in Web of Science")</f>
        <v>View Full Record in Web of Science</v>
      </c>
    </row>
    <row r="60" spans="1:72" x14ac:dyDescent="0.15">
      <c r="A60" t="s">
        <v>72</v>
      </c>
      <c r="B60" t="s">
        <v>1351</v>
      </c>
      <c r="C60" t="s">
        <v>74</v>
      </c>
      <c r="D60" t="s">
        <v>74</v>
      </c>
      <c r="E60" t="s">
        <v>74</v>
      </c>
      <c r="F60" t="s">
        <v>1352</v>
      </c>
      <c r="G60" t="s">
        <v>74</v>
      </c>
      <c r="H60" t="s">
        <v>74</v>
      </c>
      <c r="I60" t="s">
        <v>1353</v>
      </c>
      <c r="J60" t="s">
        <v>1193</v>
      </c>
      <c r="K60" t="s">
        <v>74</v>
      </c>
      <c r="L60" t="s">
        <v>74</v>
      </c>
      <c r="M60" t="s">
        <v>78</v>
      </c>
      <c r="N60" t="s">
        <v>79</v>
      </c>
      <c r="O60" t="s">
        <v>74</v>
      </c>
      <c r="P60" t="s">
        <v>74</v>
      </c>
      <c r="Q60" t="s">
        <v>74</v>
      </c>
      <c r="R60" t="s">
        <v>74</v>
      </c>
      <c r="S60" t="s">
        <v>74</v>
      </c>
      <c r="T60" t="s">
        <v>1354</v>
      </c>
      <c r="U60" t="s">
        <v>1355</v>
      </c>
      <c r="V60" t="s">
        <v>1356</v>
      </c>
      <c r="W60" t="s">
        <v>1357</v>
      </c>
      <c r="X60" t="s">
        <v>1358</v>
      </c>
      <c r="Y60" t="s">
        <v>1359</v>
      </c>
      <c r="Z60" t="s">
        <v>1360</v>
      </c>
      <c r="AA60" t="s">
        <v>74</v>
      </c>
      <c r="AB60" t="s">
        <v>74</v>
      </c>
      <c r="AC60" t="s">
        <v>1361</v>
      </c>
      <c r="AD60" t="s">
        <v>1362</v>
      </c>
      <c r="AE60" t="s">
        <v>1363</v>
      </c>
      <c r="AF60" t="s">
        <v>74</v>
      </c>
      <c r="AG60">
        <v>74</v>
      </c>
      <c r="AH60">
        <v>12</v>
      </c>
      <c r="AI60">
        <v>15</v>
      </c>
      <c r="AJ60">
        <v>0</v>
      </c>
      <c r="AK60">
        <v>4</v>
      </c>
      <c r="AL60" t="s">
        <v>1206</v>
      </c>
      <c r="AM60" t="s">
        <v>1207</v>
      </c>
      <c r="AN60" t="s">
        <v>1208</v>
      </c>
      <c r="AO60" t="s">
        <v>1209</v>
      </c>
      <c r="AP60" t="s">
        <v>1210</v>
      </c>
      <c r="AQ60" t="s">
        <v>74</v>
      </c>
      <c r="AR60" t="s">
        <v>1193</v>
      </c>
      <c r="AS60" t="s">
        <v>1211</v>
      </c>
      <c r="AT60" t="s">
        <v>1364</v>
      </c>
      <c r="AU60">
        <v>2015</v>
      </c>
      <c r="AV60">
        <v>4033</v>
      </c>
      <c r="AW60">
        <v>1</v>
      </c>
      <c r="AX60" t="s">
        <v>74</v>
      </c>
      <c r="AY60" t="s">
        <v>74</v>
      </c>
      <c r="AZ60" t="s">
        <v>74</v>
      </c>
      <c r="BA60" t="s">
        <v>74</v>
      </c>
      <c r="BB60">
        <v>57</v>
      </c>
      <c r="BC60">
        <v>93</v>
      </c>
      <c r="BD60" t="s">
        <v>74</v>
      </c>
      <c r="BE60" t="s">
        <v>1365</v>
      </c>
      <c r="BF60" t="str">
        <f>HYPERLINK("http://dx.doi.org/10.11646/zootaxa.4033.1.3","http://dx.doi.org/10.11646/zootaxa.4033.1.3")</f>
        <v>http://dx.doi.org/10.11646/zootaxa.4033.1.3</v>
      </c>
      <c r="BG60" t="s">
        <v>74</v>
      </c>
      <c r="BH60" t="s">
        <v>74</v>
      </c>
      <c r="BI60">
        <v>37</v>
      </c>
      <c r="BJ60" t="s">
        <v>243</v>
      </c>
      <c r="BK60" t="s">
        <v>101</v>
      </c>
      <c r="BL60" t="s">
        <v>243</v>
      </c>
      <c r="BM60" t="s">
        <v>1366</v>
      </c>
      <c r="BN60">
        <v>26624392</v>
      </c>
      <c r="BO60" t="s">
        <v>162</v>
      </c>
      <c r="BP60" t="s">
        <v>74</v>
      </c>
      <c r="BQ60" t="s">
        <v>74</v>
      </c>
      <c r="BR60" t="s">
        <v>103</v>
      </c>
      <c r="BS60" t="s">
        <v>1367</v>
      </c>
      <c r="BT60" t="str">
        <f>HYPERLINK("https%3A%2F%2Fwww.webofscience.com%2Fwos%2Fwoscc%2Ffull-record%2FWOS:000363695700003","View Full Record in Web of Science")</f>
        <v>View Full Record in Web of Science</v>
      </c>
    </row>
    <row r="61" spans="1:72" x14ac:dyDescent="0.15">
      <c r="A61" t="s">
        <v>72</v>
      </c>
      <c r="B61" t="s">
        <v>1368</v>
      </c>
      <c r="C61" t="s">
        <v>74</v>
      </c>
      <c r="D61" t="s">
        <v>74</v>
      </c>
      <c r="E61" t="s">
        <v>74</v>
      </c>
      <c r="F61" t="s">
        <v>1369</v>
      </c>
      <c r="G61" t="s">
        <v>74</v>
      </c>
      <c r="H61" t="s">
        <v>74</v>
      </c>
      <c r="I61" t="s">
        <v>1370</v>
      </c>
      <c r="J61" t="s">
        <v>1078</v>
      </c>
      <c r="K61" t="s">
        <v>74</v>
      </c>
      <c r="L61" t="s">
        <v>74</v>
      </c>
      <c r="M61" t="s">
        <v>78</v>
      </c>
      <c r="N61" t="s">
        <v>79</v>
      </c>
      <c r="O61" t="s">
        <v>74</v>
      </c>
      <c r="P61" t="s">
        <v>74</v>
      </c>
      <c r="Q61" t="s">
        <v>74</v>
      </c>
      <c r="R61" t="s">
        <v>74</v>
      </c>
      <c r="S61" t="s">
        <v>74</v>
      </c>
      <c r="T61" t="s">
        <v>74</v>
      </c>
      <c r="U61" t="s">
        <v>1371</v>
      </c>
      <c r="V61" t="s">
        <v>1372</v>
      </c>
      <c r="W61" t="s">
        <v>1373</v>
      </c>
      <c r="X61" t="s">
        <v>1374</v>
      </c>
      <c r="Y61" t="s">
        <v>1375</v>
      </c>
      <c r="Z61" t="s">
        <v>1376</v>
      </c>
      <c r="AA61" t="s">
        <v>1377</v>
      </c>
      <c r="AB61" t="s">
        <v>1378</v>
      </c>
      <c r="AC61" t="s">
        <v>1379</v>
      </c>
      <c r="AD61" t="s">
        <v>1380</v>
      </c>
      <c r="AE61" t="s">
        <v>1381</v>
      </c>
      <c r="AF61" t="s">
        <v>74</v>
      </c>
      <c r="AG61">
        <v>64</v>
      </c>
      <c r="AH61">
        <v>40</v>
      </c>
      <c r="AI61">
        <v>45</v>
      </c>
      <c r="AJ61">
        <v>0</v>
      </c>
      <c r="AK61">
        <v>51</v>
      </c>
      <c r="AL61" t="s">
        <v>1089</v>
      </c>
      <c r="AM61" t="s">
        <v>1090</v>
      </c>
      <c r="AN61" t="s">
        <v>1091</v>
      </c>
      <c r="AO61" t="s">
        <v>1092</v>
      </c>
      <c r="AP61" t="s">
        <v>74</v>
      </c>
      <c r="AQ61" t="s">
        <v>74</v>
      </c>
      <c r="AR61" t="s">
        <v>1078</v>
      </c>
      <c r="AS61" t="s">
        <v>1093</v>
      </c>
      <c r="AT61" t="s">
        <v>1364</v>
      </c>
      <c r="AU61">
        <v>2015</v>
      </c>
      <c r="AV61">
        <v>10</v>
      </c>
      <c r="AW61">
        <v>10</v>
      </c>
      <c r="AX61" t="s">
        <v>74</v>
      </c>
      <c r="AY61" t="s">
        <v>74</v>
      </c>
      <c r="AZ61" t="s">
        <v>74</v>
      </c>
      <c r="BA61" t="s">
        <v>74</v>
      </c>
      <c r="BB61" t="s">
        <v>74</v>
      </c>
      <c r="BC61" t="s">
        <v>74</v>
      </c>
      <c r="BD61" t="s">
        <v>1382</v>
      </c>
      <c r="BE61" t="s">
        <v>1383</v>
      </c>
      <c r="BF61" t="str">
        <f>HYPERLINK("http://dx.doi.org/10.1371/journal.pone.0139877","http://dx.doi.org/10.1371/journal.pone.0139877")</f>
        <v>http://dx.doi.org/10.1371/journal.pone.0139877</v>
      </c>
      <c r="BG61" t="s">
        <v>74</v>
      </c>
      <c r="BH61" t="s">
        <v>74</v>
      </c>
      <c r="BI61">
        <v>18</v>
      </c>
      <c r="BJ61" t="s">
        <v>530</v>
      </c>
      <c r="BK61" t="s">
        <v>101</v>
      </c>
      <c r="BL61" t="s">
        <v>531</v>
      </c>
      <c r="BM61" t="s">
        <v>1384</v>
      </c>
      <c r="BN61">
        <v>26488299</v>
      </c>
      <c r="BO61" t="s">
        <v>533</v>
      </c>
      <c r="BP61" t="s">
        <v>74</v>
      </c>
      <c r="BQ61" t="s">
        <v>74</v>
      </c>
      <c r="BR61" t="s">
        <v>103</v>
      </c>
      <c r="BS61" t="s">
        <v>1385</v>
      </c>
      <c r="BT61" t="str">
        <f>HYPERLINK("https%3A%2F%2Fwww.webofscience.com%2Fwos%2Fwoscc%2Ffull-record%2FWOS:000363248400042","View Full Record in Web of Science")</f>
        <v>View Full Record in Web of Science</v>
      </c>
    </row>
    <row r="62" spans="1:72" x14ac:dyDescent="0.15">
      <c r="A62" t="s">
        <v>72</v>
      </c>
      <c r="B62" t="s">
        <v>1386</v>
      </c>
      <c r="C62" t="s">
        <v>74</v>
      </c>
      <c r="D62" t="s">
        <v>74</v>
      </c>
      <c r="E62" t="s">
        <v>74</v>
      </c>
      <c r="F62" t="s">
        <v>1387</v>
      </c>
      <c r="G62" t="s">
        <v>74</v>
      </c>
      <c r="H62" t="s">
        <v>74</v>
      </c>
      <c r="I62" t="s">
        <v>1388</v>
      </c>
      <c r="J62" t="s">
        <v>1389</v>
      </c>
      <c r="K62" t="s">
        <v>74</v>
      </c>
      <c r="L62" t="s">
        <v>74</v>
      </c>
      <c r="M62" t="s">
        <v>78</v>
      </c>
      <c r="N62" t="s">
        <v>79</v>
      </c>
      <c r="O62" t="s">
        <v>74</v>
      </c>
      <c r="P62" t="s">
        <v>74</v>
      </c>
      <c r="Q62" t="s">
        <v>74</v>
      </c>
      <c r="R62" t="s">
        <v>74</v>
      </c>
      <c r="S62" t="s">
        <v>74</v>
      </c>
      <c r="T62" t="s">
        <v>1390</v>
      </c>
      <c r="U62" t="s">
        <v>74</v>
      </c>
      <c r="V62" t="s">
        <v>1391</v>
      </c>
      <c r="W62" t="s">
        <v>1392</v>
      </c>
      <c r="X62" t="s">
        <v>1393</v>
      </c>
      <c r="Y62" t="s">
        <v>1394</v>
      </c>
      <c r="Z62" t="s">
        <v>1395</v>
      </c>
      <c r="AA62" t="s">
        <v>1396</v>
      </c>
      <c r="AB62" t="s">
        <v>1397</v>
      </c>
      <c r="AC62" t="s">
        <v>74</v>
      </c>
      <c r="AD62" t="s">
        <v>74</v>
      </c>
      <c r="AE62" t="s">
        <v>74</v>
      </c>
      <c r="AF62" t="s">
        <v>74</v>
      </c>
      <c r="AG62">
        <v>22</v>
      </c>
      <c r="AH62">
        <v>16</v>
      </c>
      <c r="AI62">
        <v>17</v>
      </c>
      <c r="AJ62">
        <v>0</v>
      </c>
      <c r="AK62">
        <v>4</v>
      </c>
      <c r="AL62" t="s">
        <v>92</v>
      </c>
      <c r="AM62" t="s">
        <v>550</v>
      </c>
      <c r="AN62" t="s">
        <v>1398</v>
      </c>
      <c r="AO62" t="s">
        <v>74</v>
      </c>
      <c r="AP62" t="s">
        <v>1399</v>
      </c>
      <c r="AQ62" t="s">
        <v>74</v>
      </c>
      <c r="AR62" t="s">
        <v>1400</v>
      </c>
      <c r="AS62" t="s">
        <v>1401</v>
      </c>
      <c r="AT62" t="s">
        <v>1364</v>
      </c>
      <c r="AU62">
        <v>2015</v>
      </c>
      <c r="AV62">
        <v>67</v>
      </c>
      <c r="AW62" t="s">
        <v>74</v>
      </c>
      <c r="AX62" t="s">
        <v>74</v>
      </c>
      <c r="AY62" t="s">
        <v>74</v>
      </c>
      <c r="AZ62" t="s">
        <v>74</v>
      </c>
      <c r="BA62" t="s">
        <v>74</v>
      </c>
      <c r="BB62" t="s">
        <v>74</v>
      </c>
      <c r="BC62" t="s">
        <v>74</v>
      </c>
      <c r="BD62">
        <v>170</v>
      </c>
      <c r="BE62" t="s">
        <v>1402</v>
      </c>
      <c r="BF62" t="str">
        <f>HYPERLINK("http://dx.doi.org/10.1186/s40623-015-0338-4","http://dx.doi.org/10.1186/s40623-015-0338-4")</f>
        <v>http://dx.doi.org/10.1186/s40623-015-0338-4</v>
      </c>
      <c r="BG62" t="s">
        <v>74</v>
      </c>
      <c r="BH62" t="s">
        <v>74</v>
      </c>
      <c r="BI62">
        <v>11</v>
      </c>
      <c r="BJ62" t="s">
        <v>314</v>
      </c>
      <c r="BK62" t="s">
        <v>101</v>
      </c>
      <c r="BL62" t="s">
        <v>315</v>
      </c>
      <c r="BM62" t="s">
        <v>1403</v>
      </c>
      <c r="BN62" t="s">
        <v>74</v>
      </c>
      <c r="BO62" t="s">
        <v>1404</v>
      </c>
      <c r="BP62" t="s">
        <v>74</v>
      </c>
      <c r="BQ62" t="s">
        <v>74</v>
      </c>
      <c r="BR62" t="s">
        <v>103</v>
      </c>
      <c r="BS62" t="s">
        <v>1405</v>
      </c>
      <c r="BT62" t="str">
        <f>HYPERLINK("https%3A%2F%2Fwww.webofscience.com%2Fwos%2Fwoscc%2Ffull-record%2FWOS:000363252500001","View Full Record in Web of Science")</f>
        <v>View Full Record in Web of Science</v>
      </c>
    </row>
    <row r="63" spans="1:72" x14ac:dyDescent="0.15">
      <c r="A63" t="s">
        <v>72</v>
      </c>
      <c r="B63" t="s">
        <v>1406</v>
      </c>
      <c r="C63" t="s">
        <v>74</v>
      </c>
      <c r="D63" t="s">
        <v>74</v>
      </c>
      <c r="E63" t="s">
        <v>74</v>
      </c>
      <c r="F63" t="s">
        <v>1407</v>
      </c>
      <c r="G63" t="s">
        <v>74</v>
      </c>
      <c r="H63" t="s">
        <v>74</v>
      </c>
      <c r="I63" t="s">
        <v>1408</v>
      </c>
      <c r="J63" t="s">
        <v>1409</v>
      </c>
      <c r="K63" t="s">
        <v>74</v>
      </c>
      <c r="L63" t="s">
        <v>74</v>
      </c>
      <c r="M63" t="s">
        <v>78</v>
      </c>
      <c r="N63" t="s">
        <v>79</v>
      </c>
      <c r="O63" t="s">
        <v>74</v>
      </c>
      <c r="P63" t="s">
        <v>74</v>
      </c>
      <c r="Q63" t="s">
        <v>74</v>
      </c>
      <c r="R63" t="s">
        <v>74</v>
      </c>
      <c r="S63" t="s">
        <v>74</v>
      </c>
      <c r="T63" t="s">
        <v>1410</v>
      </c>
      <c r="U63" t="s">
        <v>1411</v>
      </c>
      <c r="V63" t="s">
        <v>1412</v>
      </c>
      <c r="W63" t="s">
        <v>1413</v>
      </c>
      <c r="X63" t="s">
        <v>1414</v>
      </c>
      <c r="Y63" t="s">
        <v>1415</v>
      </c>
      <c r="Z63" t="s">
        <v>1416</v>
      </c>
      <c r="AA63" t="s">
        <v>1417</v>
      </c>
      <c r="AB63" t="s">
        <v>1418</v>
      </c>
      <c r="AC63" t="s">
        <v>1419</v>
      </c>
      <c r="AD63" t="s">
        <v>1420</v>
      </c>
      <c r="AE63" t="s">
        <v>1421</v>
      </c>
      <c r="AF63" t="s">
        <v>74</v>
      </c>
      <c r="AG63">
        <v>14</v>
      </c>
      <c r="AH63">
        <v>2</v>
      </c>
      <c r="AI63">
        <v>2</v>
      </c>
      <c r="AJ63">
        <v>0</v>
      </c>
      <c r="AK63">
        <v>4</v>
      </c>
      <c r="AL63" t="s">
        <v>1422</v>
      </c>
      <c r="AM63" t="s">
        <v>180</v>
      </c>
      <c r="AN63" t="s">
        <v>1423</v>
      </c>
      <c r="AO63" t="s">
        <v>1424</v>
      </c>
      <c r="AP63" t="s">
        <v>74</v>
      </c>
      <c r="AQ63" t="s">
        <v>74</v>
      </c>
      <c r="AR63" t="s">
        <v>1425</v>
      </c>
      <c r="AS63" t="s">
        <v>1409</v>
      </c>
      <c r="AT63" t="s">
        <v>1426</v>
      </c>
      <c r="AU63">
        <v>2015</v>
      </c>
      <c r="AV63">
        <v>3</v>
      </c>
      <c r="AW63" t="s">
        <v>74</v>
      </c>
      <c r="AX63" t="s">
        <v>74</v>
      </c>
      <c r="AY63" t="s">
        <v>74</v>
      </c>
      <c r="AZ63" t="s">
        <v>74</v>
      </c>
      <c r="BA63" t="s">
        <v>74</v>
      </c>
      <c r="BB63" t="s">
        <v>74</v>
      </c>
      <c r="BC63" t="s">
        <v>74</v>
      </c>
      <c r="BD63" t="s">
        <v>1427</v>
      </c>
      <c r="BE63" t="s">
        <v>1428</v>
      </c>
      <c r="BF63" t="str">
        <f>HYPERLINK("http://dx.doi.org/10.7717/peerj.1338","http://dx.doi.org/10.7717/peerj.1338")</f>
        <v>http://dx.doi.org/10.7717/peerj.1338</v>
      </c>
      <c r="BG63" t="s">
        <v>74</v>
      </c>
      <c r="BH63" t="s">
        <v>74</v>
      </c>
      <c r="BI63">
        <v>11</v>
      </c>
      <c r="BJ63" t="s">
        <v>530</v>
      </c>
      <c r="BK63" t="s">
        <v>101</v>
      </c>
      <c r="BL63" t="s">
        <v>531</v>
      </c>
      <c r="BM63" t="s">
        <v>1429</v>
      </c>
      <c r="BN63">
        <v>26623182</v>
      </c>
      <c r="BO63" t="s">
        <v>1430</v>
      </c>
      <c r="BP63" t="s">
        <v>74</v>
      </c>
      <c r="BQ63" t="s">
        <v>74</v>
      </c>
      <c r="BR63" t="s">
        <v>103</v>
      </c>
      <c r="BS63" t="s">
        <v>1431</v>
      </c>
      <c r="BT63" t="str">
        <f>HYPERLINK("https%3A%2F%2Fwww.webofscience.com%2Fwos%2Fwoscc%2Ffull-record%2FWOS:000364330400009","View Full Record in Web of Science")</f>
        <v>View Full Record in Web of Science</v>
      </c>
    </row>
    <row r="64" spans="1:72" x14ac:dyDescent="0.15">
      <c r="A64" t="s">
        <v>72</v>
      </c>
      <c r="B64" t="s">
        <v>1432</v>
      </c>
      <c r="C64" t="s">
        <v>74</v>
      </c>
      <c r="D64" t="s">
        <v>74</v>
      </c>
      <c r="E64" t="s">
        <v>74</v>
      </c>
      <c r="F64" t="s">
        <v>1433</v>
      </c>
      <c r="G64" t="s">
        <v>74</v>
      </c>
      <c r="H64" t="s">
        <v>74</v>
      </c>
      <c r="I64" t="s">
        <v>1434</v>
      </c>
      <c r="J64" t="s">
        <v>1435</v>
      </c>
      <c r="K64" t="s">
        <v>74</v>
      </c>
      <c r="L64" t="s">
        <v>74</v>
      </c>
      <c r="M64" t="s">
        <v>78</v>
      </c>
      <c r="N64" t="s">
        <v>79</v>
      </c>
      <c r="O64" t="s">
        <v>74</v>
      </c>
      <c r="P64" t="s">
        <v>74</v>
      </c>
      <c r="Q64" t="s">
        <v>74</v>
      </c>
      <c r="R64" t="s">
        <v>74</v>
      </c>
      <c r="S64" t="s">
        <v>74</v>
      </c>
      <c r="T64" t="s">
        <v>1436</v>
      </c>
      <c r="U64" t="s">
        <v>1437</v>
      </c>
      <c r="V64" t="s">
        <v>1438</v>
      </c>
      <c r="W64" t="s">
        <v>1439</v>
      </c>
      <c r="X64" t="s">
        <v>1440</v>
      </c>
      <c r="Y64" t="s">
        <v>1441</v>
      </c>
      <c r="Z64" t="s">
        <v>1442</v>
      </c>
      <c r="AA64" t="s">
        <v>1443</v>
      </c>
      <c r="AB64" t="s">
        <v>1444</v>
      </c>
      <c r="AC64" t="s">
        <v>1445</v>
      </c>
      <c r="AD64" t="s">
        <v>1446</v>
      </c>
      <c r="AE64" t="s">
        <v>1447</v>
      </c>
      <c r="AF64" t="s">
        <v>74</v>
      </c>
      <c r="AG64">
        <v>17</v>
      </c>
      <c r="AH64">
        <v>0</v>
      </c>
      <c r="AI64">
        <v>0</v>
      </c>
      <c r="AJ64">
        <v>2</v>
      </c>
      <c r="AK64">
        <v>18</v>
      </c>
      <c r="AL64" t="s">
        <v>1448</v>
      </c>
      <c r="AM64" t="s">
        <v>1449</v>
      </c>
      <c r="AN64" t="s">
        <v>1450</v>
      </c>
      <c r="AO64" t="s">
        <v>1451</v>
      </c>
      <c r="AP64" t="s">
        <v>74</v>
      </c>
      <c r="AQ64" t="s">
        <v>74</v>
      </c>
      <c r="AR64" t="s">
        <v>1452</v>
      </c>
      <c r="AS64" t="s">
        <v>1453</v>
      </c>
      <c r="AT64" t="s">
        <v>1426</v>
      </c>
      <c r="AU64">
        <v>2015</v>
      </c>
      <c r="AV64">
        <v>12</v>
      </c>
      <c r="AW64" t="s">
        <v>74</v>
      </c>
      <c r="AX64" t="s">
        <v>74</v>
      </c>
      <c r="AY64" t="s">
        <v>74</v>
      </c>
      <c r="AZ64" t="s">
        <v>74</v>
      </c>
      <c r="BA64" t="s">
        <v>74</v>
      </c>
      <c r="BB64" t="s">
        <v>74</v>
      </c>
      <c r="BC64" t="s">
        <v>74</v>
      </c>
      <c r="BD64">
        <v>145</v>
      </c>
      <c r="BE64" t="s">
        <v>1454</v>
      </c>
      <c r="BF64" t="str">
        <f>HYPERLINK("http://dx.doi.org/10.5772/60974","http://dx.doi.org/10.5772/60974")</f>
        <v>http://dx.doi.org/10.5772/60974</v>
      </c>
      <c r="BG64" t="s">
        <v>74</v>
      </c>
      <c r="BH64" t="s">
        <v>74</v>
      </c>
      <c r="BI64">
        <v>16</v>
      </c>
      <c r="BJ64" t="s">
        <v>1455</v>
      </c>
      <c r="BK64" t="s">
        <v>101</v>
      </c>
      <c r="BL64" t="s">
        <v>1455</v>
      </c>
      <c r="BM64" t="s">
        <v>1456</v>
      </c>
      <c r="BN64" t="s">
        <v>74</v>
      </c>
      <c r="BO64" t="s">
        <v>74</v>
      </c>
      <c r="BP64" t="s">
        <v>74</v>
      </c>
      <c r="BQ64" t="s">
        <v>74</v>
      </c>
      <c r="BR64" t="s">
        <v>103</v>
      </c>
      <c r="BS64" t="s">
        <v>1457</v>
      </c>
      <c r="BT64" t="str">
        <f>HYPERLINK("https%3A%2F%2Fwww.webofscience.com%2Fwos%2Fwoscc%2Ffull-record%2FWOS:000364210900001","View Full Record in Web of Science")</f>
        <v>View Full Record in Web of Science</v>
      </c>
    </row>
    <row r="65" spans="1:72" x14ac:dyDescent="0.15">
      <c r="A65" t="s">
        <v>72</v>
      </c>
      <c r="B65" t="s">
        <v>1458</v>
      </c>
      <c r="C65" t="s">
        <v>74</v>
      </c>
      <c r="D65" t="s">
        <v>74</v>
      </c>
      <c r="E65" t="s">
        <v>74</v>
      </c>
      <c r="F65" t="s">
        <v>1459</v>
      </c>
      <c r="G65" t="s">
        <v>74</v>
      </c>
      <c r="H65" t="s">
        <v>74</v>
      </c>
      <c r="I65" t="s">
        <v>1460</v>
      </c>
      <c r="J65" t="s">
        <v>1461</v>
      </c>
      <c r="K65" t="s">
        <v>74</v>
      </c>
      <c r="L65" t="s">
        <v>74</v>
      </c>
      <c r="M65" t="s">
        <v>78</v>
      </c>
      <c r="N65" t="s">
        <v>79</v>
      </c>
      <c r="O65" t="s">
        <v>74</v>
      </c>
      <c r="P65" t="s">
        <v>74</v>
      </c>
      <c r="Q65" t="s">
        <v>74</v>
      </c>
      <c r="R65" t="s">
        <v>74</v>
      </c>
      <c r="S65" t="s">
        <v>74</v>
      </c>
      <c r="T65" t="s">
        <v>1462</v>
      </c>
      <c r="U65" t="s">
        <v>1463</v>
      </c>
      <c r="V65" t="s">
        <v>1464</v>
      </c>
      <c r="W65" t="s">
        <v>1465</v>
      </c>
      <c r="X65" t="s">
        <v>1466</v>
      </c>
      <c r="Y65" t="s">
        <v>1467</v>
      </c>
      <c r="Z65" t="s">
        <v>1468</v>
      </c>
      <c r="AA65" t="s">
        <v>1469</v>
      </c>
      <c r="AB65" t="s">
        <v>1470</v>
      </c>
      <c r="AC65" t="s">
        <v>1471</v>
      </c>
      <c r="AD65" t="s">
        <v>1472</v>
      </c>
      <c r="AE65" t="s">
        <v>1473</v>
      </c>
      <c r="AF65" t="s">
        <v>74</v>
      </c>
      <c r="AG65">
        <v>49</v>
      </c>
      <c r="AH65">
        <v>28</v>
      </c>
      <c r="AI65">
        <v>28</v>
      </c>
      <c r="AJ65">
        <v>0</v>
      </c>
      <c r="AK65">
        <v>21</v>
      </c>
      <c r="AL65" t="s">
        <v>1474</v>
      </c>
      <c r="AM65" t="s">
        <v>1475</v>
      </c>
      <c r="AN65" t="s">
        <v>1476</v>
      </c>
      <c r="AO65" t="s">
        <v>1477</v>
      </c>
      <c r="AP65" t="s">
        <v>74</v>
      </c>
      <c r="AQ65" t="s">
        <v>74</v>
      </c>
      <c r="AR65" t="s">
        <v>1478</v>
      </c>
      <c r="AS65" t="s">
        <v>1479</v>
      </c>
      <c r="AT65" t="s">
        <v>1426</v>
      </c>
      <c r="AU65">
        <v>2015</v>
      </c>
      <c r="AV65">
        <v>11</v>
      </c>
      <c r="AW65">
        <v>5</v>
      </c>
      <c r="AX65" t="s">
        <v>74</v>
      </c>
      <c r="AY65" t="s">
        <v>74</v>
      </c>
      <c r="AZ65" t="s">
        <v>74</v>
      </c>
      <c r="BA65" t="s">
        <v>74</v>
      </c>
      <c r="BB65">
        <v>719</v>
      </c>
      <c r="BC65">
        <v>729</v>
      </c>
      <c r="BD65" t="s">
        <v>74</v>
      </c>
      <c r="BE65" t="s">
        <v>1480</v>
      </c>
      <c r="BF65" t="str">
        <f>HYPERLINK("http://dx.doi.org/10.1080/17445647.2014.957251","http://dx.doi.org/10.1080/17445647.2014.957251")</f>
        <v>http://dx.doi.org/10.1080/17445647.2014.957251</v>
      </c>
      <c r="BG65" t="s">
        <v>74</v>
      </c>
      <c r="BH65" t="s">
        <v>74</v>
      </c>
      <c r="BI65">
        <v>11</v>
      </c>
      <c r="BJ65" t="s">
        <v>1481</v>
      </c>
      <c r="BK65" t="s">
        <v>1482</v>
      </c>
      <c r="BL65" t="s">
        <v>1483</v>
      </c>
      <c r="BM65" t="s">
        <v>1484</v>
      </c>
      <c r="BN65" t="s">
        <v>74</v>
      </c>
      <c r="BO65" t="s">
        <v>245</v>
      </c>
      <c r="BP65" t="s">
        <v>74</v>
      </c>
      <c r="BQ65" t="s">
        <v>74</v>
      </c>
      <c r="BR65" t="s">
        <v>103</v>
      </c>
      <c r="BS65" t="s">
        <v>1485</v>
      </c>
      <c r="BT65" t="str">
        <f>HYPERLINK("https%3A%2F%2Fwww.webofscience.com%2Fwos%2Fwoscc%2Ffull-record%2FWOS:000359772800004","View Full Record in Web of Science")</f>
        <v>View Full Record in Web of Science</v>
      </c>
    </row>
    <row r="66" spans="1:72" x14ac:dyDescent="0.15">
      <c r="A66" t="s">
        <v>72</v>
      </c>
      <c r="B66" t="s">
        <v>1486</v>
      </c>
      <c r="C66" t="s">
        <v>74</v>
      </c>
      <c r="D66" t="s">
        <v>74</v>
      </c>
      <c r="E66" t="s">
        <v>74</v>
      </c>
      <c r="F66" t="s">
        <v>1487</v>
      </c>
      <c r="G66" t="s">
        <v>74</v>
      </c>
      <c r="H66" t="s">
        <v>74</v>
      </c>
      <c r="I66" t="s">
        <v>1488</v>
      </c>
      <c r="J66" t="s">
        <v>1489</v>
      </c>
      <c r="K66" t="s">
        <v>74</v>
      </c>
      <c r="L66" t="s">
        <v>74</v>
      </c>
      <c r="M66" t="s">
        <v>78</v>
      </c>
      <c r="N66" t="s">
        <v>79</v>
      </c>
      <c r="O66" t="s">
        <v>74</v>
      </c>
      <c r="P66" t="s">
        <v>74</v>
      </c>
      <c r="Q66" t="s">
        <v>74</v>
      </c>
      <c r="R66" t="s">
        <v>74</v>
      </c>
      <c r="S66" t="s">
        <v>74</v>
      </c>
      <c r="T66" t="s">
        <v>1490</v>
      </c>
      <c r="U66" t="s">
        <v>1491</v>
      </c>
      <c r="V66" t="s">
        <v>1492</v>
      </c>
      <c r="W66" t="s">
        <v>1493</v>
      </c>
      <c r="X66" t="s">
        <v>1494</v>
      </c>
      <c r="Y66" t="s">
        <v>1495</v>
      </c>
      <c r="Z66" t="s">
        <v>1496</v>
      </c>
      <c r="AA66" t="s">
        <v>1497</v>
      </c>
      <c r="AB66" t="s">
        <v>1498</v>
      </c>
      <c r="AC66" t="s">
        <v>1499</v>
      </c>
      <c r="AD66" t="s">
        <v>1500</v>
      </c>
      <c r="AE66" t="s">
        <v>1501</v>
      </c>
      <c r="AF66" t="s">
        <v>74</v>
      </c>
      <c r="AG66">
        <v>65</v>
      </c>
      <c r="AH66">
        <v>34</v>
      </c>
      <c r="AI66">
        <v>40</v>
      </c>
      <c r="AJ66">
        <v>3</v>
      </c>
      <c r="AK66">
        <v>41</v>
      </c>
      <c r="AL66" t="s">
        <v>1502</v>
      </c>
      <c r="AM66" t="s">
        <v>307</v>
      </c>
      <c r="AN66" t="s">
        <v>1503</v>
      </c>
      <c r="AO66" t="s">
        <v>1504</v>
      </c>
      <c r="AP66" t="s">
        <v>74</v>
      </c>
      <c r="AQ66" t="s">
        <v>74</v>
      </c>
      <c r="AR66" t="s">
        <v>1505</v>
      </c>
      <c r="AS66" t="s">
        <v>1506</v>
      </c>
      <c r="AT66" t="s">
        <v>1426</v>
      </c>
      <c r="AU66">
        <v>2015</v>
      </c>
      <c r="AV66">
        <v>112</v>
      </c>
      <c r="AW66">
        <v>42</v>
      </c>
      <c r="AX66" t="s">
        <v>74</v>
      </c>
      <c r="AY66" t="s">
        <v>74</v>
      </c>
      <c r="AZ66" t="s">
        <v>74</v>
      </c>
      <c r="BA66" t="s">
        <v>74</v>
      </c>
      <c r="BB66">
        <v>12997</v>
      </c>
      <c r="BC66">
        <v>13002</v>
      </c>
      <c r="BD66" t="s">
        <v>74</v>
      </c>
      <c r="BE66" t="s">
        <v>1507</v>
      </c>
      <c r="BF66" t="str">
        <f>HYPERLINK("http://dx.doi.org/10.1073/pnas.1513962112","http://dx.doi.org/10.1073/pnas.1513962112")</f>
        <v>http://dx.doi.org/10.1073/pnas.1513962112</v>
      </c>
      <c r="BG66" t="s">
        <v>74</v>
      </c>
      <c r="BH66" t="s">
        <v>74</v>
      </c>
      <c r="BI66">
        <v>6</v>
      </c>
      <c r="BJ66" t="s">
        <v>530</v>
      </c>
      <c r="BK66" t="s">
        <v>101</v>
      </c>
      <c r="BL66" t="s">
        <v>531</v>
      </c>
      <c r="BM66" t="s">
        <v>1508</v>
      </c>
      <c r="BN66">
        <v>26417090</v>
      </c>
      <c r="BO66" t="s">
        <v>1509</v>
      </c>
      <c r="BP66" t="s">
        <v>74</v>
      </c>
      <c r="BQ66" t="s">
        <v>74</v>
      </c>
      <c r="BR66" t="s">
        <v>103</v>
      </c>
      <c r="BS66" t="s">
        <v>1510</v>
      </c>
      <c r="BT66" t="str">
        <f>HYPERLINK("https%3A%2F%2Fwww.webofscience.com%2Fwos%2Fwoscc%2Ffull-record%2FWOS:000363138600038","View Full Record in Web of Science")</f>
        <v>View Full Record in Web of Science</v>
      </c>
    </row>
    <row r="67" spans="1:72" x14ac:dyDescent="0.15">
      <c r="A67" t="s">
        <v>72</v>
      </c>
      <c r="B67" t="s">
        <v>1511</v>
      </c>
      <c r="C67" t="s">
        <v>74</v>
      </c>
      <c r="D67" t="s">
        <v>74</v>
      </c>
      <c r="E67" t="s">
        <v>74</v>
      </c>
      <c r="F67" t="s">
        <v>1512</v>
      </c>
      <c r="G67" t="s">
        <v>74</v>
      </c>
      <c r="H67" t="s">
        <v>74</v>
      </c>
      <c r="I67" t="s">
        <v>1513</v>
      </c>
      <c r="J67" t="s">
        <v>1008</v>
      </c>
      <c r="K67" t="s">
        <v>74</v>
      </c>
      <c r="L67" t="s">
        <v>74</v>
      </c>
      <c r="M67" t="s">
        <v>78</v>
      </c>
      <c r="N67" t="s">
        <v>79</v>
      </c>
      <c r="O67" t="s">
        <v>74</v>
      </c>
      <c r="P67" t="s">
        <v>74</v>
      </c>
      <c r="Q67" t="s">
        <v>74</v>
      </c>
      <c r="R67" t="s">
        <v>74</v>
      </c>
      <c r="S67" t="s">
        <v>74</v>
      </c>
      <c r="T67" t="s">
        <v>1514</v>
      </c>
      <c r="U67" t="s">
        <v>1515</v>
      </c>
      <c r="V67" t="s">
        <v>1516</v>
      </c>
      <c r="W67" t="s">
        <v>1517</v>
      </c>
      <c r="X67" t="s">
        <v>1518</v>
      </c>
      <c r="Y67" t="s">
        <v>1519</v>
      </c>
      <c r="Z67" t="s">
        <v>1520</v>
      </c>
      <c r="AA67" t="s">
        <v>74</v>
      </c>
      <c r="AB67" t="s">
        <v>1521</v>
      </c>
      <c r="AC67" t="s">
        <v>1522</v>
      </c>
      <c r="AD67" t="s">
        <v>1523</v>
      </c>
      <c r="AE67" t="s">
        <v>1524</v>
      </c>
      <c r="AF67" t="s">
        <v>74</v>
      </c>
      <c r="AG67">
        <v>32</v>
      </c>
      <c r="AH67">
        <v>9</v>
      </c>
      <c r="AI67">
        <v>9</v>
      </c>
      <c r="AJ67">
        <v>0</v>
      </c>
      <c r="AK67">
        <v>20</v>
      </c>
      <c r="AL67" t="s">
        <v>306</v>
      </c>
      <c r="AM67" t="s">
        <v>307</v>
      </c>
      <c r="AN67" t="s">
        <v>308</v>
      </c>
      <c r="AO67" t="s">
        <v>1021</v>
      </c>
      <c r="AP67" t="s">
        <v>1022</v>
      </c>
      <c r="AQ67" t="s">
        <v>74</v>
      </c>
      <c r="AR67" t="s">
        <v>1023</v>
      </c>
      <c r="AS67" t="s">
        <v>1024</v>
      </c>
      <c r="AT67" t="s">
        <v>1525</v>
      </c>
      <c r="AU67">
        <v>2015</v>
      </c>
      <c r="AV67">
        <v>42</v>
      </c>
      <c r="AW67">
        <v>19</v>
      </c>
      <c r="AX67" t="s">
        <v>74</v>
      </c>
      <c r="AY67" t="s">
        <v>74</v>
      </c>
      <c r="AZ67" t="s">
        <v>74</v>
      </c>
      <c r="BA67" t="s">
        <v>74</v>
      </c>
      <c r="BB67">
        <v>7853</v>
      </c>
      <c r="BC67">
        <v>7859</v>
      </c>
      <c r="BD67" t="s">
        <v>74</v>
      </c>
      <c r="BE67" t="s">
        <v>1526</v>
      </c>
      <c r="BF67" t="str">
        <f>HYPERLINK("http://dx.doi.org/10.1002/2015GL065432","http://dx.doi.org/10.1002/2015GL065432")</f>
        <v>http://dx.doi.org/10.1002/2015GL065432</v>
      </c>
      <c r="BG67" t="s">
        <v>74</v>
      </c>
      <c r="BH67" t="s">
        <v>74</v>
      </c>
      <c r="BI67">
        <v>7</v>
      </c>
      <c r="BJ67" t="s">
        <v>314</v>
      </c>
      <c r="BK67" t="s">
        <v>101</v>
      </c>
      <c r="BL67" t="s">
        <v>315</v>
      </c>
      <c r="BM67" t="s">
        <v>1527</v>
      </c>
      <c r="BN67" t="s">
        <v>74</v>
      </c>
      <c r="BO67" t="s">
        <v>1528</v>
      </c>
      <c r="BP67" t="s">
        <v>74</v>
      </c>
      <c r="BQ67" t="s">
        <v>74</v>
      </c>
      <c r="BR67" t="s">
        <v>103</v>
      </c>
      <c r="BS67" t="s">
        <v>1529</v>
      </c>
      <c r="BT67" t="str">
        <f>HYPERLINK("https%3A%2F%2Fwww.webofscience.com%2Fwos%2Fwoscc%2Ffull-record%2FWOS:000363695500001","View Full Record in Web of Science")</f>
        <v>View Full Record in Web of Science</v>
      </c>
    </row>
    <row r="68" spans="1:72" x14ac:dyDescent="0.15">
      <c r="A68" t="s">
        <v>72</v>
      </c>
      <c r="B68" t="s">
        <v>1530</v>
      </c>
      <c r="C68" t="s">
        <v>74</v>
      </c>
      <c r="D68" t="s">
        <v>74</v>
      </c>
      <c r="E68" t="s">
        <v>74</v>
      </c>
      <c r="F68" t="s">
        <v>1531</v>
      </c>
      <c r="G68" t="s">
        <v>74</v>
      </c>
      <c r="H68" t="s">
        <v>74</v>
      </c>
      <c r="I68" t="s">
        <v>1532</v>
      </c>
      <c r="J68" t="s">
        <v>1008</v>
      </c>
      <c r="K68" t="s">
        <v>74</v>
      </c>
      <c r="L68" t="s">
        <v>74</v>
      </c>
      <c r="M68" t="s">
        <v>78</v>
      </c>
      <c r="N68" t="s">
        <v>79</v>
      </c>
      <c r="O68" t="s">
        <v>74</v>
      </c>
      <c r="P68" t="s">
        <v>74</v>
      </c>
      <c r="Q68" t="s">
        <v>74</v>
      </c>
      <c r="R68" t="s">
        <v>74</v>
      </c>
      <c r="S68" t="s">
        <v>74</v>
      </c>
      <c r="T68" t="s">
        <v>1533</v>
      </c>
      <c r="U68" t="s">
        <v>1534</v>
      </c>
      <c r="V68" t="s">
        <v>1535</v>
      </c>
      <c r="W68" t="s">
        <v>1536</v>
      </c>
      <c r="X68" t="s">
        <v>1537</v>
      </c>
      <c r="Y68" t="s">
        <v>1538</v>
      </c>
      <c r="Z68" t="s">
        <v>1539</v>
      </c>
      <c r="AA68" t="s">
        <v>1540</v>
      </c>
      <c r="AB68" t="s">
        <v>1541</v>
      </c>
      <c r="AC68" t="s">
        <v>1542</v>
      </c>
      <c r="AD68" t="s">
        <v>1543</v>
      </c>
      <c r="AE68" t="s">
        <v>1544</v>
      </c>
      <c r="AF68" t="s">
        <v>74</v>
      </c>
      <c r="AG68">
        <v>44</v>
      </c>
      <c r="AH68">
        <v>67</v>
      </c>
      <c r="AI68">
        <v>73</v>
      </c>
      <c r="AJ68">
        <v>1</v>
      </c>
      <c r="AK68">
        <v>61</v>
      </c>
      <c r="AL68" t="s">
        <v>306</v>
      </c>
      <c r="AM68" t="s">
        <v>307</v>
      </c>
      <c r="AN68" t="s">
        <v>308</v>
      </c>
      <c r="AO68" t="s">
        <v>1021</v>
      </c>
      <c r="AP68" t="s">
        <v>1022</v>
      </c>
      <c r="AQ68" t="s">
        <v>74</v>
      </c>
      <c r="AR68" t="s">
        <v>1023</v>
      </c>
      <c r="AS68" t="s">
        <v>1024</v>
      </c>
      <c r="AT68" t="s">
        <v>1525</v>
      </c>
      <c r="AU68">
        <v>2015</v>
      </c>
      <c r="AV68">
        <v>42</v>
      </c>
      <c r="AW68">
        <v>19</v>
      </c>
      <c r="AX68" t="s">
        <v>74</v>
      </c>
      <c r="AY68" t="s">
        <v>74</v>
      </c>
      <c r="AZ68" t="s">
        <v>74</v>
      </c>
      <c r="BA68" t="s">
        <v>74</v>
      </c>
      <c r="BB68">
        <v>8088</v>
      </c>
      <c r="BC68">
        <v>8097</v>
      </c>
      <c r="BD68" t="s">
        <v>74</v>
      </c>
      <c r="BE68" t="s">
        <v>1545</v>
      </c>
      <c r="BF68" t="str">
        <f>HYPERLINK("http://dx.doi.org/10.1002/2015GL065727","http://dx.doi.org/10.1002/2015GL065727")</f>
        <v>http://dx.doi.org/10.1002/2015GL065727</v>
      </c>
      <c r="BG68" t="s">
        <v>74</v>
      </c>
      <c r="BH68" t="s">
        <v>74</v>
      </c>
      <c r="BI68">
        <v>10</v>
      </c>
      <c r="BJ68" t="s">
        <v>314</v>
      </c>
      <c r="BK68" t="s">
        <v>101</v>
      </c>
      <c r="BL68" t="s">
        <v>315</v>
      </c>
      <c r="BM68" t="s">
        <v>1527</v>
      </c>
      <c r="BN68" t="s">
        <v>74</v>
      </c>
      <c r="BO68" t="s">
        <v>1546</v>
      </c>
      <c r="BP68" t="s">
        <v>74</v>
      </c>
      <c r="BQ68" t="s">
        <v>74</v>
      </c>
      <c r="BR68" t="s">
        <v>103</v>
      </c>
      <c r="BS68" t="s">
        <v>1547</v>
      </c>
      <c r="BT68" t="str">
        <f>HYPERLINK("https%3A%2F%2Fwww.webofscience.com%2Fwos%2Fwoscc%2Ffull-record%2FWOS:000363695500029","View Full Record in Web of Science")</f>
        <v>View Full Record in Web of Science</v>
      </c>
    </row>
    <row r="69" spans="1:72" x14ac:dyDescent="0.15">
      <c r="A69" t="s">
        <v>72</v>
      </c>
      <c r="B69" t="s">
        <v>1548</v>
      </c>
      <c r="C69" t="s">
        <v>74</v>
      </c>
      <c r="D69" t="s">
        <v>74</v>
      </c>
      <c r="E69" t="s">
        <v>74</v>
      </c>
      <c r="F69" t="s">
        <v>1549</v>
      </c>
      <c r="G69" t="s">
        <v>74</v>
      </c>
      <c r="H69" t="s">
        <v>74</v>
      </c>
      <c r="I69" t="s">
        <v>1550</v>
      </c>
      <c r="J69" t="s">
        <v>1008</v>
      </c>
      <c r="K69" t="s">
        <v>74</v>
      </c>
      <c r="L69" t="s">
        <v>74</v>
      </c>
      <c r="M69" t="s">
        <v>78</v>
      </c>
      <c r="N69" t="s">
        <v>79</v>
      </c>
      <c r="O69" t="s">
        <v>74</v>
      </c>
      <c r="P69" t="s">
        <v>74</v>
      </c>
      <c r="Q69" t="s">
        <v>74</v>
      </c>
      <c r="R69" t="s">
        <v>74</v>
      </c>
      <c r="S69" t="s">
        <v>74</v>
      </c>
      <c r="T69" t="s">
        <v>1551</v>
      </c>
      <c r="U69" t="s">
        <v>1552</v>
      </c>
      <c r="V69" t="s">
        <v>1553</v>
      </c>
      <c r="W69" t="s">
        <v>1554</v>
      </c>
      <c r="X69" t="s">
        <v>1555</v>
      </c>
      <c r="Y69" t="s">
        <v>1556</v>
      </c>
      <c r="Z69" t="s">
        <v>1557</v>
      </c>
      <c r="AA69" t="s">
        <v>1558</v>
      </c>
      <c r="AB69" t="s">
        <v>1559</v>
      </c>
      <c r="AC69" t="s">
        <v>1560</v>
      </c>
      <c r="AD69" t="s">
        <v>1561</v>
      </c>
      <c r="AE69" t="s">
        <v>1562</v>
      </c>
      <c r="AF69" t="s">
        <v>74</v>
      </c>
      <c r="AG69">
        <v>21</v>
      </c>
      <c r="AH69">
        <v>50</v>
      </c>
      <c r="AI69">
        <v>53</v>
      </c>
      <c r="AJ69">
        <v>0</v>
      </c>
      <c r="AK69">
        <v>22</v>
      </c>
      <c r="AL69" t="s">
        <v>306</v>
      </c>
      <c r="AM69" t="s">
        <v>307</v>
      </c>
      <c r="AN69" t="s">
        <v>308</v>
      </c>
      <c r="AO69" t="s">
        <v>1021</v>
      </c>
      <c r="AP69" t="s">
        <v>1022</v>
      </c>
      <c r="AQ69" t="s">
        <v>74</v>
      </c>
      <c r="AR69" t="s">
        <v>1023</v>
      </c>
      <c r="AS69" t="s">
        <v>1024</v>
      </c>
      <c r="AT69" t="s">
        <v>1525</v>
      </c>
      <c r="AU69">
        <v>2015</v>
      </c>
      <c r="AV69">
        <v>42</v>
      </c>
      <c r="AW69">
        <v>19</v>
      </c>
      <c r="AX69" t="s">
        <v>74</v>
      </c>
      <c r="AY69" t="s">
        <v>74</v>
      </c>
      <c r="AZ69" t="s">
        <v>74</v>
      </c>
      <c r="BA69" t="s">
        <v>74</v>
      </c>
      <c r="BB69">
        <v>8172</v>
      </c>
      <c r="BC69">
        <v>8176</v>
      </c>
      <c r="BD69" t="s">
        <v>74</v>
      </c>
      <c r="BE69" t="s">
        <v>1563</v>
      </c>
      <c r="BF69" t="str">
        <f>HYPERLINK("http://dx.doi.org/10.1002/2015GL065523","http://dx.doi.org/10.1002/2015GL065523")</f>
        <v>http://dx.doi.org/10.1002/2015GL065523</v>
      </c>
      <c r="BG69" t="s">
        <v>74</v>
      </c>
      <c r="BH69" t="s">
        <v>74</v>
      </c>
      <c r="BI69">
        <v>5</v>
      </c>
      <c r="BJ69" t="s">
        <v>314</v>
      </c>
      <c r="BK69" t="s">
        <v>101</v>
      </c>
      <c r="BL69" t="s">
        <v>315</v>
      </c>
      <c r="BM69" t="s">
        <v>1527</v>
      </c>
      <c r="BN69" t="s">
        <v>74</v>
      </c>
      <c r="BO69" t="s">
        <v>1528</v>
      </c>
      <c r="BP69" t="s">
        <v>74</v>
      </c>
      <c r="BQ69" t="s">
        <v>74</v>
      </c>
      <c r="BR69" t="s">
        <v>103</v>
      </c>
      <c r="BS69" t="s">
        <v>1564</v>
      </c>
      <c r="BT69" t="str">
        <f>HYPERLINK("https%3A%2F%2Fwww.webofscience.com%2Fwos%2Fwoscc%2Ffull-record%2FWOS:000363695500039","View Full Record in Web of Science")</f>
        <v>View Full Record in Web of Science</v>
      </c>
    </row>
    <row r="70" spans="1:72" x14ac:dyDescent="0.15">
      <c r="A70" t="s">
        <v>72</v>
      </c>
      <c r="B70" t="s">
        <v>1565</v>
      </c>
      <c r="C70" t="s">
        <v>74</v>
      </c>
      <c r="D70" t="s">
        <v>74</v>
      </c>
      <c r="E70" t="s">
        <v>74</v>
      </c>
      <c r="F70" t="s">
        <v>1566</v>
      </c>
      <c r="G70" t="s">
        <v>74</v>
      </c>
      <c r="H70" t="s">
        <v>74</v>
      </c>
      <c r="I70" t="s">
        <v>1567</v>
      </c>
      <c r="J70" t="s">
        <v>1218</v>
      </c>
      <c r="K70" t="s">
        <v>74</v>
      </c>
      <c r="L70" t="s">
        <v>74</v>
      </c>
      <c r="M70" t="s">
        <v>78</v>
      </c>
      <c r="N70" t="s">
        <v>79</v>
      </c>
      <c r="O70" t="s">
        <v>74</v>
      </c>
      <c r="P70" t="s">
        <v>74</v>
      </c>
      <c r="Q70" t="s">
        <v>74</v>
      </c>
      <c r="R70" t="s">
        <v>74</v>
      </c>
      <c r="S70" t="s">
        <v>74</v>
      </c>
      <c r="T70" t="s">
        <v>74</v>
      </c>
      <c r="U70" t="s">
        <v>74</v>
      </c>
      <c r="V70" t="s">
        <v>1568</v>
      </c>
      <c r="W70" t="s">
        <v>1569</v>
      </c>
      <c r="X70" t="s">
        <v>1570</v>
      </c>
      <c r="Y70" t="s">
        <v>1571</v>
      </c>
      <c r="Z70" t="s">
        <v>1572</v>
      </c>
      <c r="AA70" t="s">
        <v>1573</v>
      </c>
      <c r="AB70" t="s">
        <v>1574</v>
      </c>
      <c r="AC70" t="s">
        <v>1575</v>
      </c>
      <c r="AD70" t="s">
        <v>1576</v>
      </c>
      <c r="AE70" t="s">
        <v>1577</v>
      </c>
      <c r="AF70" t="s">
        <v>74</v>
      </c>
      <c r="AG70">
        <v>50</v>
      </c>
      <c r="AH70">
        <v>30</v>
      </c>
      <c r="AI70">
        <v>33</v>
      </c>
      <c r="AJ70">
        <v>0</v>
      </c>
      <c r="AK70">
        <v>26</v>
      </c>
      <c r="AL70" t="s">
        <v>306</v>
      </c>
      <c r="AM70" t="s">
        <v>307</v>
      </c>
      <c r="AN70" t="s">
        <v>308</v>
      </c>
      <c r="AO70" t="s">
        <v>1229</v>
      </c>
      <c r="AP70" t="s">
        <v>1230</v>
      </c>
      <c r="AQ70" t="s">
        <v>74</v>
      </c>
      <c r="AR70" t="s">
        <v>1231</v>
      </c>
      <c r="AS70" t="s">
        <v>1232</v>
      </c>
      <c r="AT70" t="s">
        <v>1525</v>
      </c>
      <c r="AU70">
        <v>2015</v>
      </c>
      <c r="AV70">
        <v>120</v>
      </c>
      <c r="AW70">
        <v>19</v>
      </c>
      <c r="AX70" t="s">
        <v>74</v>
      </c>
      <c r="AY70" t="s">
        <v>74</v>
      </c>
      <c r="AZ70" t="s">
        <v>74</v>
      </c>
      <c r="BA70" t="s">
        <v>74</v>
      </c>
      <c r="BB70">
        <v>9916</v>
      </c>
      <c r="BC70">
        <v>9931</v>
      </c>
      <c r="BD70" t="s">
        <v>74</v>
      </c>
      <c r="BE70" t="s">
        <v>1578</v>
      </c>
      <c r="BF70" t="str">
        <f>HYPERLINK("http://dx.doi.org/10.1002/2015JD023608","http://dx.doi.org/10.1002/2015JD023608")</f>
        <v>http://dx.doi.org/10.1002/2015JD023608</v>
      </c>
      <c r="BG70" t="s">
        <v>74</v>
      </c>
      <c r="BH70" t="s">
        <v>74</v>
      </c>
      <c r="BI70">
        <v>16</v>
      </c>
      <c r="BJ70" t="s">
        <v>271</v>
      </c>
      <c r="BK70" t="s">
        <v>101</v>
      </c>
      <c r="BL70" t="s">
        <v>271</v>
      </c>
      <c r="BM70" t="s">
        <v>1579</v>
      </c>
      <c r="BN70" t="s">
        <v>74</v>
      </c>
      <c r="BO70" t="s">
        <v>1580</v>
      </c>
      <c r="BP70" t="s">
        <v>74</v>
      </c>
      <c r="BQ70" t="s">
        <v>74</v>
      </c>
      <c r="BR70" t="s">
        <v>103</v>
      </c>
      <c r="BS70" t="s">
        <v>1581</v>
      </c>
      <c r="BT70" t="str">
        <f>HYPERLINK("https%3A%2F%2Fwww.webofscience.com%2Fwos%2Fwoscc%2Ffull-record%2FWOS:000209847200006","View Full Record in Web of Science")</f>
        <v>View Full Record in Web of Science</v>
      </c>
    </row>
    <row r="71" spans="1:72" x14ac:dyDescent="0.15">
      <c r="A71" t="s">
        <v>72</v>
      </c>
      <c r="B71" t="s">
        <v>1582</v>
      </c>
      <c r="C71" t="s">
        <v>74</v>
      </c>
      <c r="D71" t="s">
        <v>74</v>
      </c>
      <c r="E71" t="s">
        <v>74</v>
      </c>
      <c r="F71" t="s">
        <v>1583</v>
      </c>
      <c r="G71" t="s">
        <v>74</v>
      </c>
      <c r="H71" t="s">
        <v>74</v>
      </c>
      <c r="I71" t="s">
        <v>1584</v>
      </c>
      <c r="J71" t="s">
        <v>1585</v>
      </c>
      <c r="K71" t="s">
        <v>74</v>
      </c>
      <c r="L71" t="s">
        <v>74</v>
      </c>
      <c r="M71" t="s">
        <v>78</v>
      </c>
      <c r="N71" t="s">
        <v>79</v>
      </c>
      <c r="O71" t="s">
        <v>74</v>
      </c>
      <c r="P71" t="s">
        <v>74</v>
      </c>
      <c r="Q71" t="s">
        <v>74</v>
      </c>
      <c r="R71" t="s">
        <v>74</v>
      </c>
      <c r="S71" t="s">
        <v>74</v>
      </c>
      <c r="T71" t="s">
        <v>1586</v>
      </c>
      <c r="U71" t="s">
        <v>1587</v>
      </c>
      <c r="V71" t="s">
        <v>1588</v>
      </c>
      <c r="W71" t="s">
        <v>1589</v>
      </c>
      <c r="X71" t="s">
        <v>1590</v>
      </c>
      <c r="Y71" t="s">
        <v>1591</v>
      </c>
      <c r="Z71" t="s">
        <v>1592</v>
      </c>
      <c r="AA71" t="s">
        <v>1593</v>
      </c>
      <c r="AB71" t="s">
        <v>1594</v>
      </c>
      <c r="AC71" t="s">
        <v>1595</v>
      </c>
      <c r="AD71" t="s">
        <v>1596</v>
      </c>
      <c r="AE71" t="s">
        <v>1597</v>
      </c>
      <c r="AF71" t="s">
        <v>74</v>
      </c>
      <c r="AG71">
        <v>45</v>
      </c>
      <c r="AH71">
        <v>8</v>
      </c>
      <c r="AI71">
        <v>9</v>
      </c>
      <c r="AJ71">
        <v>0</v>
      </c>
      <c r="AK71">
        <v>32</v>
      </c>
      <c r="AL71" t="s">
        <v>397</v>
      </c>
      <c r="AM71" t="s">
        <v>398</v>
      </c>
      <c r="AN71" t="s">
        <v>399</v>
      </c>
      <c r="AO71" t="s">
        <v>1598</v>
      </c>
      <c r="AP71" t="s">
        <v>1599</v>
      </c>
      <c r="AQ71" t="s">
        <v>74</v>
      </c>
      <c r="AR71" t="s">
        <v>1600</v>
      </c>
      <c r="AS71" t="s">
        <v>1601</v>
      </c>
      <c r="AT71" t="s">
        <v>1602</v>
      </c>
      <c r="AU71">
        <v>2015</v>
      </c>
      <c r="AV71">
        <v>99</v>
      </c>
      <c r="AW71" t="s">
        <v>1603</v>
      </c>
      <c r="AX71" t="s">
        <v>74</v>
      </c>
      <c r="AY71" t="s">
        <v>74</v>
      </c>
      <c r="AZ71" t="s">
        <v>74</v>
      </c>
      <c r="BA71" t="s">
        <v>74</v>
      </c>
      <c r="BB71">
        <v>284</v>
      </c>
      <c r="BC71">
        <v>291</v>
      </c>
      <c r="BD71" t="s">
        <v>74</v>
      </c>
      <c r="BE71" t="s">
        <v>1604</v>
      </c>
      <c r="BF71" t="str">
        <f>HYPERLINK("http://dx.doi.org/10.1016/j.marpolbul.2015.07.047","http://dx.doi.org/10.1016/j.marpolbul.2015.07.047")</f>
        <v>http://dx.doi.org/10.1016/j.marpolbul.2015.07.047</v>
      </c>
      <c r="BG71" t="s">
        <v>74</v>
      </c>
      <c r="BH71" t="s">
        <v>74</v>
      </c>
      <c r="BI71">
        <v>8</v>
      </c>
      <c r="BJ71" t="s">
        <v>1605</v>
      </c>
      <c r="BK71" t="s">
        <v>101</v>
      </c>
      <c r="BL71" t="s">
        <v>990</v>
      </c>
      <c r="BM71" t="s">
        <v>1606</v>
      </c>
      <c r="BN71">
        <v>26233302</v>
      </c>
      <c r="BO71" t="s">
        <v>74</v>
      </c>
      <c r="BP71" t="s">
        <v>74</v>
      </c>
      <c r="BQ71" t="s">
        <v>74</v>
      </c>
      <c r="BR71" t="s">
        <v>103</v>
      </c>
      <c r="BS71" t="s">
        <v>1607</v>
      </c>
      <c r="BT71" t="str">
        <f>HYPERLINK("https%3A%2F%2Fwww.webofscience.com%2Fwos%2Fwoscc%2Ffull-record%2FWOS:000364258000044","View Full Record in Web of Science")</f>
        <v>View Full Record in Web of Science</v>
      </c>
    </row>
    <row r="72" spans="1:72" x14ac:dyDescent="0.15">
      <c r="A72" t="s">
        <v>72</v>
      </c>
      <c r="B72" t="s">
        <v>1608</v>
      </c>
      <c r="C72" t="s">
        <v>74</v>
      </c>
      <c r="D72" t="s">
        <v>74</v>
      </c>
      <c r="E72" t="s">
        <v>74</v>
      </c>
      <c r="F72" t="s">
        <v>1609</v>
      </c>
      <c r="G72" t="s">
        <v>74</v>
      </c>
      <c r="H72" t="s">
        <v>74</v>
      </c>
      <c r="I72" t="s">
        <v>1610</v>
      </c>
      <c r="J72" t="s">
        <v>1611</v>
      </c>
      <c r="K72" t="s">
        <v>74</v>
      </c>
      <c r="L72" t="s">
        <v>74</v>
      </c>
      <c r="M72" t="s">
        <v>78</v>
      </c>
      <c r="N72" t="s">
        <v>1612</v>
      </c>
      <c r="O72" t="s">
        <v>1613</v>
      </c>
      <c r="P72" t="s">
        <v>1614</v>
      </c>
      <c r="Q72" t="s">
        <v>1615</v>
      </c>
      <c r="R72" t="s">
        <v>74</v>
      </c>
      <c r="S72" t="s">
        <v>74</v>
      </c>
      <c r="T72" t="s">
        <v>1616</v>
      </c>
      <c r="U72" t="s">
        <v>1617</v>
      </c>
      <c r="V72" t="s">
        <v>1618</v>
      </c>
      <c r="W72" t="s">
        <v>1619</v>
      </c>
      <c r="X72" t="s">
        <v>1620</v>
      </c>
      <c r="Y72" t="s">
        <v>1621</v>
      </c>
      <c r="Z72" t="s">
        <v>1622</v>
      </c>
      <c r="AA72" t="s">
        <v>1623</v>
      </c>
      <c r="AB72" t="s">
        <v>1624</v>
      </c>
      <c r="AC72" t="s">
        <v>74</v>
      </c>
      <c r="AD72" t="s">
        <v>74</v>
      </c>
      <c r="AE72" t="s">
        <v>74</v>
      </c>
      <c r="AF72" t="s">
        <v>74</v>
      </c>
      <c r="AG72">
        <v>57</v>
      </c>
      <c r="AH72">
        <v>1</v>
      </c>
      <c r="AI72">
        <v>1</v>
      </c>
      <c r="AJ72">
        <v>1</v>
      </c>
      <c r="AK72">
        <v>16</v>
      </c>
      <c r="AL72" t="s">
        <v>883</v>
      </c>
      <c r="AM72" t="s">
        <v>884</v>
      </c>
      <c r="AN72" t="s">
        <v>885</v>
      </c>
      <c r="AO72" t="s">
        <v>1625</v>
      </c>
      <c r="AP72" t="s">
        <v>1626</v>
      </c>
      <c r="AQ72" t="s">
        <v>74</v>
      </c>
      <c r="AR72" t="s">
        <v>1627</v>
      </c>
      <c r="AS72" t="s">
        <v>1628</v>
      </c>
      <c r="AT72" t="s">
        <v>1602</v>
      </c>
      <c r="AU72">
        <v>2015</v>
      </c>
      <c r="AV72">
        <v>361</v>
      </c>
      <c r="AW72" t="s">
        <v>74</v>
      </c>
      <c r="AX72" t="s">
        <v>74</v>
      </c>
      <c r="AY72" t="s">
        <v>74</v>
      </c>
      <c r="AZ72" t="s">
        <v>74</v>
      </c>
      <c r="BA72" t="s">
        <v>74</v>
      </c>
      <c r="BB72">
        <v>620</v>
      </c>
      <c r="BC72">
        <v>626</v>
      </c>
      <c r="BD72" t="s">
        <v>74</v>
      </c>
      <c r="BE72" t="s">
        <v>1629</v>
      </c>
      <c r="BF72" t="str">
        <f>HYPERLINK("http://dx.doi.org/10.1016/j.nimb.2015.05.016","http://dx.doi.org/10.1016/j.nimb.2015.05.016")</f>
        <v>http://dx.doi.org/10.1016/j.nimb.2015.05.016</v>
      </c>
      <c r="BG72" t="s">
        <v>74</v>
      </c>
      <c r="BH72" t="s">
        <v>74</v>
      </c>
      <c r="BI72">
        <v>7</v>
      </c>
      <c r="BJ72" t="s">
        <v>1630</v>
      </c>
      <c r="BK72" t="s">
        <v>1631</v>
      </c>
      <c r="BL72" t="s">
        <v>1632</v>
      </c>
      <c r="BM72" t="s">
        <v>1633</v>
      </c>
      <c r="BN72" t="s">
        <v>74</v>
      </c>
      <c r="BO72" t="s">
        <v>1213</v>
      </c>
      <c r="BP72" t="s">
        <v>74</v>
      </c>
      <c r="BQ72" t="s">
        <v>74</v>
      </c>
      <c r="BR72" t="s">
        <v>103</v>
      </c>
      <c r="BS72" t="s">
        <v>1634</v>
      </c>
      <c r="BT72" t="str">
        <f>HYPERLINK("https%3A%2F%2Fwww.webofscience.com%2Fwos%2Fwoscc%2Ffull-record%2FWOS:000363345900116","View Full Record in Web of Science")</f>
        <v>View Full Record in Web of Science</v>
      </c>
    </row>
    <row r="73" spans="1:72" x14ac:dyDescent="0.15">
      <c r="A73" t="s">
        <v>72</v>
      </c>
      <c r="B73" t="s">
        <v>1635</v>
      </c>
      <c r="C73" t="s">
        <v>74</v>
      </c>
      <c r="D73" t="s">
        <v>74</v>
      </c>
      <c r="E73" t="s">
        <v>74</v>
      </c>
      <c r="F73" t="s">
        <v>1636</v>
      </c>
      <c r="G73" t="s">
        <v>74</v>
      </c>
      <c r="H73" t="s">
        <v>74</v>
      </c>
      <c r="I73" t="s">
        <v>1637</v>
      </c>
      <c r="J73" t="s">
        <v>1638</v>
      </c>
      <c r="K73" t="s">
        <v>74</v>
      </c>
      <c r="L73" t="s">
        <v>74</v>
      </c>
      <c r="M73" t="s">
        <v>78</v>
      </c>
      <c r="N73" t="s">
        <v>79</v>
      </c>
      <c r="O73" t="s">
        <v>74</v>
      </c>
      <c r="P73" t="s">
        <v>74</v>
      </c>
      <c r="Q73" t="s">
        <v>74</v>
      </c>
      <c r="R73" t="s">
        <v>74</v>
      </c>
      <c r="S73" t="s">
        <v>74</v>
      </c>
      <c r="T73" t="s">
        <v>1639</v>
      </c>
      <c r="U73" t="s">
        <v>1640</v>
      </c>
      <c r="V73" t="s">
        <v>1641</v>
      </c>
      <c r="W73" t="s">
        <v>1642</v>
      </c>
      <c r="X73" t="s">
        <v>1643</v>
      </c>
      <c r="Y73" t="s">
        <v>1644</v>
      </c>
      <c r="Z73" t="s">
        <v>1645</v>
      </c>
      <c r="AA73" t="s">
        <v>1646</v>
      </c>
      <c r="AB73" t="s">
        <v>1647</v>
      </c>
      <c r="AC73" t="s">
        <v>1648</v>
      </c>
      <c r="AD73" t="s">
        <v>1649</v>
      </c>
      <c r="AE73" t="s">
        <v>1650</v>
      </c>
      <c r="AF73" t="s">
        <v>74</v>
      </c>
      <c r="AG73">
        <v>62</v>
      </c>
      <c r="AH73">
        <v>27</v>
      </c>
      <c r="AI73">
        <v>29</v>
      </c>
      <c r="AJ73">
        <v>0</v>
      </c>
      <c r="AK73">
        <v>39</v>
      </c>
      <c r="AL73" t="s">
        <v>1651</v>
      </c>
      <c r="AM73" t="s">
        <v>1254</v>
      </c>
      <c r="AN73" t="s">
        <v>1652</v>
      </c>
      <c r="AO73" t="s">
        <v>1653</v>
      </c>
      <c r="AP73" t="s">
        <v>1654</v>
      </c>
      <c r="AQ73" t="s">
        <v>74</v>
      </c>
      <c r="AR73" t="s">
        <v>1655</v>
      </c>
      <c r="AS73" t="s">
        <v>1656</v>
      </c>
      <c r="AT73" t="s">
        <v>1602</v>
      </c>
      <c r="AU73">
        <v>2015</v>
      </c>
      <c r="AV73">
        <v>755</v>
      </c>
      <c r="AW73" t="s">
        <v>74</v>
      </c>
      <c r="AX73" t="s">
        <v>74</v>
      </c>
      <c r="AY73" t="s">
        <v>74</v>
      </c>
      <c r="AZ73" t="s">
        <v>74</v>
      </c>
      <c r="BA73" t="s">
        <v>74</v>
      </c>
      <c r="BB73">
        <v>182</v>
      </c>
      <c r="BC73">
        <v>196</v>
      </c>
      <c r="BD73" t="s">
        <v>74</v>
      </c>
      <c r="BE73" t="s">
        <v>1657</v>
      </c>
      <c r="BF73" t="str">
        <f>HYPERLINK("http://dx.doi.org/10.1016/j.jelechem.2015.07.023","http://dx.doi.org/10.1016/j.jelechem.2015.07.023")</f>
        <v>http://dx.doi.org/10.1016/j.jelechem.2015.07.023</v>
      </c>
      <c r="BG73" t="s">
        <v>74</v>
      </c>
      <c r="BH73" t="s">
        <v>74</v>
      </c>
      <c r="BI73">
        <v>15</v>
      </c>
      <c r="BJ73" t="s">
        <v>1658</v>
      </c>
      <c r="BK73" t="s">
        <v>101</v>
      </c>
      <c r="BL73" t="s">
        <v>1659</v>
      </c>
      <c r="BM73" t="s">
        <v>1660</v>
      </c>
      <c r="BN73" t="s">
        <v>74</v>
      </c>
      <c r="BO73" t="s">
        <v>559</v>
      </c>
      <c r="BP73" t="s">
        <v>74</v>
      </c>
      <c r="BQ73" t="s">
        <v>74</v>
      </c>
      <c r="BR73" t="s">
        <v>103</v>
      </c>
      <c r="BS73" t="s">
        <v>1661</v>
      </c>
      <c r="BT73" t="str">
        <f>HYPERLINK("https%3A%2F%2Fwww.webofscience.com%2Fwos%2Fwoscc%2Ffull-record%2FWOS:000362917300025","View Full Record in Web of Science")</f>
        <v>View Full Record in Web of Science</v>
      </c>
    </row>
    <row r="74" spans="1:72" x14ac:dyDescent="0.15">
      <c r="A74" t="s">
        <v>72</v>
      </c>
      <c r="B74" t="s">
        <v>1662</v>
      </c>
      <c r="C74" t="s">
        <v>74</v>
      </c>
      <c r="D74" t="s">
        <v>74</v>
      </c>
      <c r="E74" t="s">
        <v>74</v>
      </c>
      <c r="F74" t="s">
        <v>1663</v>
      </c>
      <c r="G74" t="s">
        <v>74</v>
      </c>
      <c r="H74" t="s">
        <v>74</v>
      </c>
      <c r="I74" t="s">
        <v>1664</v>
      </c>
      <c r="J74" t="s">
        <v>1665</v>
      </c>
      <c r="K74" t="s">
        <v>74</v>
      </c>
      <c r="L74" t="s">
        <v>74</v>
      </c>
      <c r="M74" t="s">
        <v>78</v>
      </c>
      <c r="N74" t="s">
        <v>79</v>
      </c>
      <c r="O74" t="s">
        <v>74</v>
      </c>
      <c r="P74" t="s">
        <v>74</v>
      </c>
      <c r="Q74" t="s">
        <v>74</v>
      </c>
      <c r="R74" t="s">
        <v>74</v>
      </c>
      <c r="S74" t="s">
        <v>74</v>
      </c>
      <c r="T74" t="s">
        <v>1666</v>
      </c>
      <c r="U74" t="s">
        <v>1667</v>
      </c>
      <c r="V74" t="s">
        <v>1668</v>
      </c>
      <c r="W74" t="s">
        <v>1669</v>
      </c>
      <c r="X74" t="s">
        <v>1670</v>
      </c>
      <c r="Y74" t="s">
        <v>1671</v>
      </c>
      <c r="Z74" t="s">
        <v>1672</v>
      </c>
      <c r="AA74" t="s">
        <v>1673</v>
      </c>
      <c r="AB74" t="s">
        <v>1674</v>
      </c>
      <c r="AC74" t="s">
        <v>1675</v>
      </c>
      <c r="AD74" t="s">
        <v>1676</v>
      </c>
      <c r="AE74" t="s">
        <v>1677</v>
      </c>
      <c r="AF74" t="s">
        <v>74</v>
      </c>
      <c r="AG74">
        <v>75</v>
      </c>
      <c r="AH74">
        <v>10</v>
      </c>
      <c r="AI74">
        <v>18</v>
      </c>
      <c r="AJ74">
        <v>2</v>
      </c>
      <c r="AK74">
        <v>38</v>
      </c>
      <c r="AL74" t="s">
        <v>496</v>
      </c>
      <c r="AM74" t="s">
        <v>398</v>
      </c>
      <c r="AN74" t="s">
        <v>497</v>
      </c>
      <c r="AO74" t="s">
        <v>1678</v>
      </c>
      <c r="AP74" t="s">
        <v>1679</v>
      </c>
      <c r="AQ74" t="s">
        <v>74</v>
      </c>
      <c r="AR74" t="s">
        <v>1680</v>
      </c>
      <c r="AS74" t="s">
        <v>1681</v>
      </c>
      <c r="AT74" t="s">
        <v>1602</v>
      </c>
      <c r="AU74">
        <v>2015</v>
      </c>
      <c r="AV74">
        <v>56</v>
      </c>
      <c r="AW74">
        <v>8</v>
      </c>
      <c r="AX74" t="s">
        <v>74</v>
      </c>
      <c r="AY74" t="s">
        <v>74</v>
      </c>
      <c r="AZ74" t="s">
        <v>74</v>
      </c>
      <c r="BA74" t="s">
        <v>74</v>
      </c>
      <c r="BB74">
        <v>1578</v>
      </c>
      <c r="BC74">
        <v>1589</v>
      </c>
      <c r="BD74" t="s">
        <v>74</v>
      </c>
      <c r="BE74" t="s">
        <v>1682</v>
      </c>
      <c r="BF74" t="str">
        <f>HYPERLINK("http://dx.doi.org/10.1016/j.asr.2015.07.009","http://dx.doi.org/10.1016/j.asr.2015.07.009")</f>
        <v>http://dx.doi.org/10.1016/j.asr.2015.07.009</v>
      </c>
      <c r="BG74" t="s">
        <v>74</v>
      </c>
      <c r="BH74" t="s">
        <v>74</v>
      </c>
      <c r="BI74">
        <v>12</v>
      </c>
      <c r="BJ74" t="s">
        <v>1683</v>
      </c>
      <c r="BK74" t="s">
        <v>101</v>
      </c>
      <c r="BL74" t="s">
        <v>1684</v>
      </c>
      <c r="BM74" t="s">
        <v>1685</v>
      </c>
      <c r="BN74" t="s">
        <v>74</v>
      </c>
      <c r="BO74" t="s">
        <v>74</v>
      </c>
      <c r="BP74" t="s">
        <v>74</v>
      </c>
      <c r="BQ74" t="s">
        <v>74</v>
      </c>
      <c r="BR74" t="s">
        <v>103</v>
      </c>
      <c r="BS74" t="s">
        <v>1686</v>
      </c>
      <c r="BT74" t="str">
        <f>HYPERLINK("https%3A%2F%2Fwww.webofscience.com%2Fwos%2Fwoscc%2Ffull-record%2FWOS:000362604300002","View Full Record in Web of Science")</f>
        <v>View Full Record in Web of Science</v>
      </c>
    </row>
    <row r="75" spans="1:72" x14ac:dyDescent="0.15">
      <c r="A75" t="s">
        <v>72</v>
      </c>
      <c r="B75" t="s">
        <v>1687</v>
      </c>
      <c r="C75" t="s">
        <v>74</v>
      </c>
      <c r="D75" t="s">
        <v>74</v>
      </c>
      <c r="E75" t="s">
        <v>74</v>
      </c>
      <c r="F75" t="s">
        <v>1688</v>
      </c>
      <c r="G75" t="s">
        <v>74</v>
      </c>
      <c r="H75" t="s">
        <v>74</v>
      </c>
      <c r="I75" t="s">
        <v>1689</v>
      </c>
      <c r="J75" t="s">
        <v>1690</v>
      </c>
      <c r="K75" t="s">
        <v>74</v>
      </c>
      <c r="L75" t="s">
        <v>74</v>
      </c>
      <c r="M75" t="s">
        <v>78</v>
      </c>
      <c r="N75" t="s">
        <v>79</v>
      </c>
      <c r="O75" t="s">
        <v>74</v>
      </c>
      <c r="P75" t="s">
        <v>74</v>
      </c>
      <c r="Q75" t="s">
        <v>74</v>
      </c>
      <c r="R75" t="s">
        <v>74</v>
      </c>
      <c r="S75" t="s">
        <v>74</v>
      </c>
      <c r="T75" t="s">
        <v>1691</v>
      </c>
      <c r="U75" t="s">
        <v>1692</v>
      </c>
      <c r="V75" t="s">
        <v>1693</v>
      </c>
      <c r="W75" t="s">
        <v>1694</v>
      </c>
      <c r="X75" t="s">
        <v>1695</v>
      </c>
      <c r="Y75" t="s">
        <v>1696</v>
      </c>
      <c r="Z75" t="s">
        <v>1697</v>
      </c>
      <c r="AA75" t="s">
        <v>1698</v>
      </c>
      <c r="AB75" t="s">
        <v>1699</v>
      </c>
      <c r="AC75" t="s">
        <v>1700</v>
      </c>
      <c r="AD75" t="s">
        <v>206</v>
      </c>
      <c r="AE75" t="s">
        <v>1701</v>
      </c>
      <c r="AF75" t="s">
        <v>74</v>
      </c>
      <c r="AG75">
        <v>53</v>
      </c>
      <c r="AH75">
        <v>22</v>
      </c>
      <c r="AI75">
        <v>24</v>
      </c>
      <c r="AJ75">
        <v>1</v>
      </c>
      <c r="AK75">
        <v>47</v>
      </c>
      <c r="AL75" t="s">
        <v>883</v>
      </c>
      <c r="AM75" t="s">
        <v>884</v>
      </c>
      <c r="AN75" t="s">
        <v>885</v>
      </c>
      <c r="AO75" t="s">
        <v>1702</v>
      </c>
      <c r="AP75" t="s">
        <v>1703</v>
      </c>
      <c r="AQ75" t="s">
        <v>74</v>
      </c>
      <c r="AR75" t="s">
        <v>1704</v>
      </c>
      <c r="AS75" t="s">
        <v>1705</v>
      </c>
      <c r="AT75" t="s">
        <v>1602</v>
      </c>
      <c r="AU75">
        <v>2015</v>
      </c>
      <c r="AV75">
        <v>428</v>
      </c>
      <c r="AW75" t="s">
        <v>74</v>
      </c>
      <c r="AX75" t="s">
        <v>74</v>
      </c>
      <c r="AY75" t="s">
        <v>74</v>
      </c>
      <c r="AZ75" t="s">
        <v>74</v>
      </c>
      <c r="BA75" t="s">
        <v>74</v>
      </c>
      <c r="BB75">
        <v>193</v>
      </c>
      <c r="BC75">
        <v>203</v>
      </c>
      <c r="BD75" t="s">
        <v>74</v>
      </c>
      <c r="BE75" t="s">
        <v>1706</v>
      </c>
      <c r="BF75" t="str">
        <f>HYPERLINK("http://dx.doi.org/10.1016/j.epsl.2015.07.013","http://dx.doi.org/10.1016/j.epsl.2015.07.013")</f>
        <v>http://dx.doi.org/10.1016/j.epsl.2015.07.013</v>
      </c>
      <c r="BG75" t="s">
        <v>74</v>
      </c>
      <c r="BH75" t="s">
        <v>74</v>
      </c>
      <c r="BI75">
        <v>11</v>
      </c>
      <c r="BJ75" t="s">
        <v>1707</v>
      </c>
      <c r="BK75" t="s">
        <v>101</v>
      </c>
      <c r="BL75" t="s">
        <v>1707</v>
      </c>
      <c r="BM75" t="s">
        <v>1708</v>
      </c>
      <c r="BN75" t="s">
        <v>74</v>
      </c>
      <c r="BO75" t="s">
        <v>684</v>
      </c>
      <c r="BP75" t="s">
        <v>74</v>
      </c>
      <c r="BQ75" t="s">
        <v>74</v>
      </c>
      <c r="BR75" t="s">
        <v>103</v>
      </c>
      <c r="BS75" t="s">
        <v>1709</v>
      </c>
      <c r="BT75" t="str">
        <f>HYPERLINK("https%3A%2F%2Fwww.webofscience.com%2Fwos%2Fwoscc%2Ffull-record%2FWOS:000360952600019","View Full Record in Web of Science")</f>
        <v>View Full Record in Web of Science</v>
      </c>
    </row>
    <row r="76" spans="1:72" x14ac:dyDescent="0.15">
      <c r="A76" t="s">
        <v>72</v>
      </c>
      <c r="B76" t="s">
        <v>1710</v>
      </c>
      <c r="C76" t="s">
        <v>74</v>
      </c>
      <c r="D76" t="s">
        <v>74</v>
      </c>
      <c r="E76" t="s">
        <v>74</v>
      </c>
      <c r="F76" t="s">
        <v>1711</v>
      </c>
      <c r="G76" t="s">
        <v>74</v>
      </c>
      <c r="H76" t="s">
        <v>74</v>
      </c>
      <c r="I76" t="s">
        <v>1712</v>
      </c>
      <c r="J76" t="s">
        <v>1336</v>
      </c>
      <c r="K76" t="s">
        <v>74</v>
      </c>
      <c r="L76" t="s">
        <v>74</v>
      </c>
      <c r="M76" t="s">
        <v>78</v>
      </c>
      <c r="N76" t="s">
        <v>754</v>
      </c>
      <c r="O76" t="s">
        <v>74</v>
      </c>
      <c r="P76" t="s">
        <v>74</v>
      </c>
      <c r="Q76" t="s">
        <v>74</v>
      </c>
      <c r="R76" t="s">
        <v>74</v>
      </c>
      <c r="S76" t="s">
        <v>74</v>
      </c>
      <c r="T76" t="s">
        <v>74</v>
      </c>
      <c r="U76" t="s">
        <v>74</v>
      </c>
      <c r="V76" t="s">
        <v>74</v>
      </c>
      <c r="W76" t="s">
        <v>1713</v>
      </c>
      <c r="X76" t="s">
        <v>1714</v>
      </c>
      <c r="Y76" t="s">
        <v>1715</v>
      </c>
      <c r="Z76" t="s">
        <v>1716</v>
      </c>
      <c r="AA76" t="s">
        <v>74</v>
      </c>
      <c r="AB76" t="s">
        <v>1717</v>
      </c>
      <c r="AC76" t="s">
        <v>74</v>
      </c>
      <c r="AD76" t="s">
        <v>74</v>
      </c>
      <c r="AE76" t="s">
        <v>74</v>
      </c>
      <c r="AF76" t="s">
        <v>74</v>
      </c>
      <c r="AG76">
        <v>11</v>
      </c>
      <c r="AH76">
        <v>1</v>
      </c>
      <c r="AI76">
        <v>1</v>
      </c>
      <c r="AJ76">
        <v>0</v>
      </c>
      <c r="AK76">
        <v>13</v>
      </c>
      <c r="AL76" t="s">
        <v>179</v>
      </c>
      <c r="AM76" t="s">
        <v>180</v>
      </c>
      <c r="AN76" t="s">
        <v>181</v>
      </c>
      <c r="AO76" t="s">
        <v>1345</v>
      </c>
      <c r="AP76" t="s">
        <v>1346</v>
      </c>
      <c r="AQ76" t="s">
        <v>74</v>
      </c>
      <c r="AR76" t="s">
        <v>1336</v>
      </c>
      <c r="AS76" t="s">
        <v>1347</v>
      </c>
      <c r="AT76" t="s">
        <v>1602</v>
      </c>
      <c r="AU76">
        <v>2015</v>
      </c>
      <c r="AV76">
        <v>526</v>
      </c>
      <c r="AW76">
        <v>7573</v>
      </c>
      <c r="AX76" t="s">
        <v>74</v>
      </c>
      <c r="AY76" t="s">
        <v>74</v>
      </c>
      <c r="AZ76" t="s">
        <v>74</v>
      </c>
      <c r="BA76" t="s">
        <v>74</v>
      </c>
      <c r="BB76">
        <v>327</v>
      </c>
      <c r="BC76">
        <v>328</v>
      </c>
      <c r="BD76" t="s">
        <v>74</v>
      </c>
      <c r="BE76" t="s">
        <v>1718</v>
      </c>
      <c r="BF76" t="str">
        <f>HYPERLINK("http://dx.doi.org/10.1038/526327a","http://dx.doi.org/10.1038/526327a")</f>
        <v>http://dx.doi.org/10.1038/526327a</v>
      </c>
      <c r="BG76" t="s">
        <v>74</v>
      </c>
      <c r="BH76" t="s">
        <v>74</v>
      </c>
      <c r="BI76">
        <v>2</v>
      </c>
      <c r="BJ76" t="s">
        <v>530</v>
      </c>
      <c r="BK76" t="s">
        <v>1482</v>
      </c>
      <c r="BL76" t="s">
        <v>531</v>
      </c>
      <c r="BM76" t="s">
        <v>1719</v>
      </c>
      <c r="BN76">
        <v>26469037</v>
      </c>
      <c r="BO76" t="s">
        <v>162</v>
      </c>
      <c r="BP76" t="s">
        <v>74</v>
      </c>
      <c r="BQ76" t="s">
        <v>74</v>
      </c>
      <c r="BR76" t="s">
        <v>103</v>
      </c>
      <c r="BS76" t="s">
        <v>1720</v>
      </c>
      <c r="BT76" t="str">
        <f>HYPERLINK("https%3A%2F%2Fwww.webofscience.com%2Fwos%2Fwoscc%2Ffull-record%2FWOS:000362730200029","View Full Record in Web of Science")</f>
        <v>View Full Record in Web of Science</v>
      </c>
    </row>
    <row r="77" spans="1:72" x14ac:dyDescent="0.15">
      <c r="A77" t="s">
        <v>72</v>
      </c>
      <c r="B77" t="s">
        <v>1721</v>
      </c>
      <c r="C77" t="s">
        <v>74</v>
      </c>
      <c r="D77" t="s">
        <v>74</v>
      </c>
      <c r="E77" t="s">
        <v>74</v>
      </c>
      <c r="F77" t="s">
        <v>1722</v>
      </c>
      <c r="G77" t="s">
        <v>74</v>
      </c>
      <c r="H77" t="s">
        <v>74</v>
      </c>
      <c r="I77" t="s">
        <v>1723</v>
      </c>
      <c r="J77" t="s">
        <v>1336</v>
      </c>
      <c r="K77" t="s">
        <v>74</v>
      </c>
      <c r="L77" t="s">
        <v>74</v>
      </c>
      <c r="M77" t="s">
        <v>78</v>
      </c>
      <c r="N77" t="s">
        <v>79</v>
      </c>
      <c r="O77" t="s">
        <v>74</v>
      </c>
      <c r="P77" t="s">
        <v>74</v>
      </c>
      <c r="Q77" t="s">
        <v>74</v>
      </c>
      <c r="R77" t="s">
        <v>74</v>
      </c>
      <c r="S77" t="s">
        <v>74</v>
      </c>
      <c r="T77" t="s">
        <v>74</v>
      </c>
      <c r="U77" t="s">
        <v>1724</v>
      </c>
      <c r="V77" t="s">
        <v>1725</v>
      </c>
      <c r="W77" t="s">
        <v>1726</v>
      </c>
      <c r="X77" t="s">
        <v>1727</v>
      </c>
      <c r="Y77" t="s">
        <v>1728</v>
      </c>
      <c r="Z77" t="s">
        <v>1729</v>
      </c>
      <c r="AA77" t="s">
        <v>1730</v>
      </c>
      <c r="AB77" t="s">
        <v>1731</v>
      </c>
      <c r="AC77" t="s">
        <v>1732</v>
      </c>
      <c r="AD77" t="s">
        <v>1733</v>
      </c>
      <c r="AE77" t="s">
        <v>1734</v>
      </c>
      <c r="AF77" t="s">
        <v>74</v>
      </c>
      <c r="AG77">
        <v>59</v>
      </c>
      <c r="AH77">
        <v>276</v>
      </c>
      <c r="AI77">
        <v>304</v>
      </c>
      <c r="AJ77">
        <v>3</v>
      </c>
      <c r="AK77">
        <v>161</v>
      </c>
      <c r="AL77" t="s">
        <v>523</v>
      </c>
      <c r="AM77" t="s">
        <v>524</v>
      </c>
      <c r="AN77" t="s">
        <v>525</v>
      </c>
      <c r="AO77" t="s">
        <v>1345</v>
      </c>
      <c r="AP77" t="s">
        <v>1346</v>
      </c>
      <c r="AQ77" t="s">
        <v>74</v>
      </c>
      <c r="AR77" t="s">
        <v>1336</v>
      </c>
      <c r="AS77" t="s">
        <v>1347</v>
      </c>
      <c r="AT77" t="s">
        <v>1602</v>
      </c>
      <c r="AU77">
        <v>2015</v>
      </c>
      <c r="AV77">
        <v>526</v>
      </c>
      <c r="AW77">
        <v>7573</v>
      </c>
      <c r="AX77" t="s">
        <v>74</v>
      </c>
      <c r="AY77" t="s">
        <v>74</v>
      </c>
      <c r="AZ77" t="s">
        <v>74</v>
      </c>
      <c r="BA77" t="s">
        <v>74</v>
      </c>
      <c r="BB77">
        <v>421</v>
      </c>
      <c r="BC77" t="s">
        <v>556</v>
      </c>
      <c r="BD77" t="s">
        <v>74</v>
      </c>
      <c r="BE77" t="s">
        <v>1735</v>
      </c>
      <c r="BF77" t="str">
        <f>HYPERLINK("http://dx.doi.org/10.1038/nature15706","http://dx.doi.org/10.1038/nature15706")</f>
        <v>http://dx.doi.org/10.1038/nature15706</v>
      </c>
      <c r="BG77" t="s">
        <v>74</v>
      </c>
      <c r="BH77" t="s">
        <v>74</v>
      </c>
      <c r="BI77">
        <v>18</v>
      </c>
      <c r="BJ77" t="s">
        <v>530</v>
      </c>
      <c r="BK77" t="s">
        <v>101</v>
      </c>
      <c r="BL77" t="s">
        <v>531</v>
      </c>
      <c r="BM77" t="s">
        <v>1719</v>
      </c>
      <c r="BN77">
        <v>26469052</v>
      </c>
      <c r="BO77" t="s">
        <v>74</v>
      </c>
      <c r="BP77" t="s">
        <v>1736</v>
      </c>
      <c r="BQ77" t="s">
        <v>1737</v>
      </c>
      <c r="BR77" t="s">
        <v>103</v>
      </c>
      <c r="BS77" t="s">
        <v>1738</v>
      </c>
      <c r="BT77" t="str">
        <f>HYPERLINK("https%3A%2F%2Fwww.webofscience.com%2Fwos%2Fwoscc%2Ffull-record%2FWOS:000362730200049","View Full Record in Web of Science")</f>
        <v>View Full Record in Web of Science</v>
      </c>
    </row>
    <row r="78" spans="1:72" x14ac:dyDescent="0.15">
      <c r="A78" t="s">
        <v>72</v>
      </c>
      <c r="B78" t="s">
        <v>1739</v>
      </c>
      <c r="C78" t="s">
        <v>74</v>
      </c>
      <c r="D78" t="s">
        <v>74</v>
      </c>
      <c r="E78" t="s">
        <v>74</v>
      </c>
      <c r="F78" t="s">
        <v>1740</v>
      </c>
      <c r="G78" t="s">
        <v>74</v>
      </c>
      <c r="H78" t="s">
        <v>74</v>
      </c>
      <c r="I78" t="s">
        <v>1741</v>
      </c>
      <c r="J78" t="s">
        <v>1078</v>
      </c>
      <c r="K78" t="s">
        <v>74</v>
      </c>
      <c r="L78" t="s">
        <v>74</v>
      </c>
      <c r="M78" t="s">
        <v>78</v>
      </c>
      <c r="N78" t="s">
        <v>79</v>
      </c>
      <c r="O78" t="s">
        <v>74</v>
      </c>
      <c r="P78" t="s">
        <v>74</v>
      </c>
      <c r="Q78" t="s">
        <v>74</v>
      </c>
      <c r="R78" t="s">
        <v>74</v>
      </c>
      <c r="S78" t="s">
        <v>74</v>
      </c>
      <c r="T78" t="s">
        <v>74</v>
      </c>
      <c r="U78" t="s">
        <v>1742</v>
      </c>
      <c r="V78" t="s">
        <v>1743</v>
      </c>
      <c r="W78" t="s">
        <v>1744</v>
      </c>
      <c r="X78" t="s">
        <v>1745</v>
      </c>
      <c r="Y78" t="s">
        <v>1746</v>
      </c>
      <c r="Z78" t="s">
        <v>1747</v>
      </c>
      <c r="AA78" t="s">
        <v>1748</v>
      </c>
      <c r="AB78" t="s">
        <v>1749</v>
      </c>
      <c r="AC78" t="s">
        <v>1750</v>
      </c>
      <c r="AD78" t="s">
        <v>1751</v>
      </c>
      <c r="AE78" t="s">
        <v>1752</v>
      </c>
      <c r="AF78" t="s">
        <v>74</v>
      </c>
      <c r="AG78">
        <v>66</v>
      </c>
      <c r="AH78">
        <v>54</v>
      </c>
      <c r="AI78">
        <v>57</v>
      </c>
      <c r="AJ78">
        <v>1</v>
      </c>
      <c r="AK78">
        <v>86</v>
      </c>
      <c r="AL78" t="s">
        <v>1089</v>
      </c>
      <c r="AM78" t="s">
        <v>1090</v>
      </c>
      <c r="AN78" t="s">
        <v>1091</v>
      </c>
      <c r="AO78" t="s">
        <v>1092</v>
      </c>
      <c r="AP78" t="s">
        <v>74</v>
      </c>
      <c r="AQ78" t="s">
        <v>74</v>
      </c>
      <c r="AR78" t="s">
        <v>1078</v>
      </c>
      <c r="AS78" t="s">
        <v>1093</v>
      </c>
      <c r="AT78" t="s">
        <v>1602</v>
      </c>
      <c r="AU78">
        <v>2015</v>
      </c>
      <c r="AV78">
        <v>10</v>
      </c>
      <c r="AW78">
        <v>10</v>
      </c>
      <c r="AX78" t="s">
        <v>74</v>
      </c>
      <c r="AY78" t="s">
        <v>74</v>
      </c>
      <c r="AZ78" t="s">
        <v>74</v>
      </c>
      <c r="BA78" t="s">
        <v>74</v>
      </c>
      <c r="BB78" t="s">
        <v>74</v>
      </c>
      <c r="BC78" t="s">
        <v>74</v>
      </c>
      <c r="BD78" t="s">
        <v>1753</v>
      </c>
      <c r="BE78" t="s">
        <v>1754</v>
      </c>
      <c r="BF78" t="str">
        <f>HYPERLINK("http://dx.doi.org/10.1371/journal.pone.0140394","http://dx.doi.org/10.1371/journal.pone.0140394")</f>
        <v>http://dx.doi.org/10.1371/journal.pone.0140394</v>
      </c>
      <c r="BG78" t="s">
        <v>74</v>
      </c>
      <c r="BH78" t="s">
        <v>74</v>
      </c>
      <c r="BI78">
        <v>19</v>
      </c>
      <c r="BJ78" t="s">
        <v>530</v>
      </c>
      <c r="BK78" t="s">
        <v>101</v>
      </c>
      <c r="BL78" t="s">
        <v>531</v>
      </c>
      <c r="BM78" t="s">
        <v>1755</v>
      </c>
      <c r="BN78">
        <v>26469945</v>
      </c>
      <c r="BO78" t="s">
        <v>1756</v>
      </c>
      <c r="BP78" t="s">
        <v>74</v>
      </c>
      <c r="BQ78" t="s">
        <v>74</v>
      </c>
      <c r="BR78" t="s">
        <v>103</v>
      </c>
      <c r="BS78" t="s">
        <v>1757</v>
      </c>
      <c r="BT78" t="str">
        <f>HYPERLINK("https%3A%2F%2Fwww.webofscience.com%2Fwos%2Fwoscc%2Ffull-record%2FWOS:000363184600057","View Full Record in Web of Science")</f>
        <v>View Full Record in Web of Science</v>
      </c>
    </row>
    <row r="79" spans="1:72" x14ac:dyDescent="0.15">
      <c r="A79" t="s">
        <v>72</v>
      </c>
      <c r="B79" t="s">
        <v>1758</v>
      </c>
      <c r="C79" t="s">
        <v>74</v>
      </c>
      <c r="D79" t="s">
        <v>74</v>
      </c>
      <c r="E79" t="s">
        <v>74</v>
      </c>
      <c r="F79" t="s">
        <v>1759</v>
      </c>
      <c r="G79" t="s">
        <v>74</v>
      </c>
      <c r="H79" t="s">
        <v>74</v>
      </c>
      <c r="I79" t="s">
        <v>1760</v>
      </c>
      <c r="J79" t="s">
        <v>1761</v>
      </c>
      <c r="K79" t="s">
        <v>74</v>
      </c>
      <c r="L79" t="s">
        <v>74</v>
      </c>
      <c r="M79" t="s">
        <v>78</v>
      </c>
      <c r="N79" t="s">
        <v>79</v>
      </c>
      <c r="O79" t="s">
        <v>74</v>
      </c>
      <c r="P79" t="s">
        <v>74</v>
      </c>
      <c r="Q79" t="s">
        <v>74</v>
      </c>
      <c r="R79" t="s">
        <v>74</v>
      </c>
      <c r="S79" t="s">
        <v>74</v>
      </c>
      <c r="T79" t="s">
        <v>1762</v>
      </c>
      <c r="U79" t="s">
        <v>1763</v>
      </c>
      <c r="V79" t="s">
        <v>1764</v>
      </c>
      <c r="W79" t="s">
        <v>1765</v>
      </c>
      <c r="X79" t="s">
        <v>1766</v>
      </c>
      <c r="Y79" t="s">
        <v>1767</v>
      </c>
      <c r="Z79" t="s">
        <v>1768</v>
      </c>
      <c r="AA79" t="s">
        <v>1769</v>
      </c>
      <c r="AB79" t="s">
        <v>1770</v>
      </c>
      <c r="AC79" t="s">
        <v>1771</v>
      </c>
      <c r="AD79" t="s">
        <v>1772</v>
      </c>
      <c r="AE79" t="s">
        <v>1773</v>
      </c>
      <c r="AF79" t="s">
        <v>74</v>
      </c>
      <c r="AG79">
        <v>140</v>
      </c>
      <c r="AH79">
        <v>25</v>
      </c>
      <c r="AI79">
        <v>29</v>
      </c>
      <c r="AJ79">
        <v>0</v>
      </c>
      <c r="AK79">
        <v>33</v>
      </c>
      <c r="AL79" t="s">
        <v>397</v>
      </c>
      <c r="AM79" t="s">
        <v>398</v>
      </c>
      <c r="AN79" t="s">
        <v>399</v>
      </c>
      <c r="AO79" t="s">
        <v>1774</v>
      </c>
      <c r="AP79" t="s">
        <v>74</v>
      </c>
      <c r="AQ79" t="s">
        <v>74</v>
      </c>
      <c r="AR79" t="s">
        <v>1775</v>
      </c>
      <c r="AS79" t="s">
        <v>1776</v>
      </c>
      <c r="AT79" t="s">
        <v>1602</v>
      </c>
      <c r="AU79">
        <v>2015</v>
      </c>
      <c r="AV79">
        <v>126</v>
      </c>
      <c r="AW79" t="s">
        <v>74</v>
      </c>
      <c r="AX79" t="s">
        <v>74</v>
      </c>
      <c r="AY79" t="s">
        <v>74</v>
      </c>
      <c r="AZ79" t="s">
        <v>74</v>
      </c>
      <c r="BA79" t="s">
        <v>74</v>
      </c>
      <c r="BB79">
        <v>26</v>
      </c>
      <c r="BC79">
        <v>40</v>
      </c>
      <c r="BD79" t="s">
        <v>74</v>
      </c>
      <c r="BE79" t="s">
        <v>1777</v>
      </c>
      <c r="BF79" t="str">
        <f>HYPERLINK("http://dx.doi.org/10.1016/j.quascirev.2015.08.021","http://dx.doi.org/10.1016/j.quascirev.2015.08.021")</f>
        <v>http://dx.doi.org/10.1016/j.quascirev.2015.08.021</v>
      </c>
      <c r="BG79" t="s">
        <v>74</v>
      </c>
      <c r="BH79" t="s">
        <v>74</v>
      </c>
      <c r="BI79">
        <v>15</v>
      </c>
      <c r="BJ79" t="s">
        <v>1778</v>
      </c>
      <c r="BK79" t="s">
        <v>101</v>
      </c>
      <c r="BL79" t="s">
        <v>1779</v>
      </c>
      <c r="BM79" t="s">
        <v>1780</v>
      </c>
      <c r="BN79" t="s">
        <v>74</v>
      </c>
      <c r="BO79" t="s">
        <v>1781</v>
      </c>
      <c r="BP79" t="s">
        <v>74</v>
      </c>
      <c r="BQ79" t="s">
        <v>74</v>
      </c>
      <c r="BR79" t="s">
        <v>103</v>
      </c>
      <c r="BS79" t="s">
        <v>1782</v>
      </c>
      <c r="BT79" t="str">
        <f>HYPERLINK("https%3A%2F%2Fwww.webofscience.com%2Fwos%2Fwoscc%2Ffull-record%2FWOS:000363823000003","View Full Record in Web of Science")</f>
        <v>View Full Record in Web of Science</v>
      </c>
    </row>
    <row r="80" spans="1:72" x14ac:dyDescent="0.15">
      <c r="A80" t="s">
        <v>72</v>
      </c>
      <c r="B80" t="s">
        <v>1783</v>
      </c>
      <c r="C80" t="s">
        <v>74</v>
      </c>
      <c r="D80" t="s">
        <v>74</v>
      </c>
      <c r="E80" t="s">
        <v>74</v>
      </c>
      <c r="F80" t="s">
        <v>1784</v>
      </c>
      <c r="G80" t="s">
        <v>74</v>
      </c>
      <c r="H80" t="s">
        <v>74</v>
      </c>
      <c r="I80" t="s">
        <v>1785</v>
      </c>
      <c r="J80" t="s">
        <v>1033</v>
      </c>
      <c r="K80" t="s">
        <v>74</v>
      </c>
      <c r="L80" t="s">
        <v>74</v>
      </c>
      <c r="M80" t="s">
        <v>78</v>
      </c>
      <c r="N80" t="s">
        <v>79</v>
      </c>
      <c r="O80" t="s">
        <v>74</v>
      </c>
      <c r="P80" t="s">
        <v>74</v>
      </c>
      <c r="Q80" t="s">
        <v>74</v>
      </c>
      <c r="R80" t="s">
        <v>74</v>
      </c>
      <c r="S80" t="s">
        <v>74</v>
      </c>
      <c r="T80" t="s">
        <v>1786</v>
      </c>
      <c r="U80" t="s">
        <v>1787</v>
      </c>
      <c r="V80" t="s">
        <v>1788</v>
      </c>
      <c r="W80" t="s">
        <v>1789</v>
      </c>
      <c r="X80" t="s">
        <v>1790</v>
      </c>
      <c r="Y80" t="s">
        <v>1791</v>
      </c>
      <c r="Z80" t="s">
        <v>1792</v>
      </c>
      <c r="AA80" t="s">
        <v>1793</v>
      </c>
      <c r="AB80" t="s">
        <v>1794</v>
      </c>
      <c r="AC80" t="s">
        <v>1795</v>
      </c>
      <c r="AD80" t="s">
        <v>1796</v>
      </c>
      <c r="AE80" t="s">
        <v>1797</v>
      </c>
      <c r="AF80" t="s">
        <v>74</v>
      </c>
      <c r="AG80">
        <v>44</v>
      </c>
      <c r="AH80">
        <v>20</v>
      </c>
      <c r="AI80">
        <v>21</v>
      </c>
      <c r="AJ80">
        <v>1</v>
      </c>
      <c r="AK80">
        <v>22</v>
      </c>
      <c r="AL80" t="s">
        <v>1046</v>
      </c>
      <c r="AM80" t="s">
        <v>1047</v>
      </c>
      <c r="AN80" t="s">
        <v>1048</v>
      </c>
      <c r="AO80" t="s">
        <v>1049</v>
      </c>
      <c r="AP80" t="s">
        <v>1050</v>
      </c>
      <c r="AQ80" t="s">
        <v>74</v>
      </c>
      <c r="AR80" t="s">
        <v>1051</v>
      </c>
      <c r="AS80" t="s">
        <v>1052</v>
      </c>
      <c r="AT80" t="s">
        <v>1798</v>
      </c>
      <c r="AU80">
        <v>2015</v>
      </c>
      <c r="AV80">
        <v>537</v>
      </c>
      <c r="AW80" t="s">
        <v>74</v>
      </c>
      <c r="AX80" t="s">
        <v>74</v>
      </c>
      <c r="AY80" t="s">
        <v>74</v>
      </c>
      <c r="AZ80" t="s">
        <v>74</v>
      </c>
      <c r="BA80" t="s">
        <v>74</v>
      </c>
      <c r="BB80">
        <v>191</v>
      </c>
      <c r="BC80">
        <v>203</v>
      </c>
      <c r="BD80" t="s">
        <v>74</v>
      </c>
      <c r="BE80" t="s">
        <v>1799</v>
      </c>
      <c r="BF80" t="str">
        <f>HYPERLINK("http://dx.doi.org/10.3354/meps11446","http://dx.doi.org/10.3354/meps11446")</f>
        <v>http://dx.doi.org/10.3354/meps11446</v>
      </c>
      <c r="BG80" t="s">
        <v>74</v>
      </c>
      <c r="BH80" t="s">
        <v>74</v>
      </c>
      <c r="BI80">
        <v>13</v>
      </c>
      <c r="BJ80" t="s">
        <v>1054</v>
      </c>
      <c r="BK80" t="s">
        <v>101</v>
      </c>
      <c r="BL80" t="s">
        <v>1055</v>
      </c>
      <c r="BM80" t="s">
        <v>1800</v>
      </c>
      <c r="BN80" t="s">
        <v>74</v>
      </c>
      <c r="BO80" t="s">
        <v>1801</v>
      </c>
      <c r="BP80" t="s">
        <v>74</v>
      </c>
      <c r="BQ80" t="s">
        <v>74</v>
      </c>
      <c r="BR80" t="s">
        <v>103</v>
      </c>
      <c r="BS80" t="s">
        <v>1802</v>
      </c>
      <c r="BT80" t="str">
        <f>HYPERLINK("https%3A%2F%2Fwww.webofscience.com%2Fwos%2Fwoscc%2Ffull-record%2FWOS:000363180900015","View Full Record in Web of Science")</f>
        <v>View Full Record in Web of Science</v>
      </c>
    </row>
    <row r="81" spans="1:72" x14ac:dyDescent="0.15">
      <c r="A81" t="s">
        <v>72</v>
      </c>
      <c r="B81" t="s">
        <v>1803</v>
      </c>
      <c r="C81" t="s">
        <v>74</v>
      </c>
      <c r="D81" t="s">
        <v>74</v>
      </c>
      <c r="E81" t="s">
        <v>74</v>
      </c>
      <c r="F81" t="s">
        <v>1804</v>
      </c>
      <c r="G81" t="s">
        <v>74</v>
      </c>
      <c r="H81" t="s">
        <v>74</v>
      </c>
      <c r="I81" t="s">
        <v>1805</v>
      </c>
      <c r="J81" t="s">
        <v>1287</v>
      </c>
      <c r="K81" t="s">
        <v>74</v>
      </c>
      <c r="L81" t="s">
        <v>74</v>
      </c>
      <c r="M81" t="s">
        <v>78</v>
      </c>
      <c r="N81" t="s">
        <v>79</v>
      </c>
      <c r="O81" t="s">
        <v>74</v>
      </c>
      <c r="P81" t="s">
        <v>74</v>
      </c>
      <c r="Q81" t="s">
        <v>74</v>
      </c>
      <c r="R81" t="s">
        <v>74</v>
      </c>
      <c r="S81" t="s">
        <v>74</v>
      </c>
      <c r="T81" t="s">
        <v>74</v>
      </c>
      <c r="U81" t="s">
        <v>1806</v>
      </c>
      <c r="V81" t="s">
        <v>1807</v>
      </c>
      <c r="W81" t="s">
        <v>1808</v>
      </c>
      <c r="X81" t="s">
        <v>1809</v>
      </c>
      <c r="Y81" t="s">
        <v>1292</v>
      </c>
      <c r="Z81" t="s">
        <v>1293</v>
      </c>
      <c r="AA81" t="s">
        <v>1810</v>
      </c>
      <c r="AB81" t="s">
        <v>1811</v>
      </c>
      <c r="AC81" t="s">
        <v>1812</v>
      </c>
      <c r="AD81" t="s">
        <v>1813</v>
      </c>
      <c r="AE81" t="s">
        <v>1814</v>
      </c>
      <c r="AF81" t="s">
        <v>74</v>
      </c>
      <c r="AG81">
        <v>45</v>
      </c>
      <c r="AH81">
        <v>50</v>
      </c>
      <c r="AI81">
        <v>59</v>
      </c>
      <c r="AJ81">
        <v>2</v>
      </c>
      <c r="AK81">
        <v>49</v>
      </c>
      <c r="AL81" t="s">
        <v>523</v>
      </c>
      <c r="AM81" t="s">
        <v>524</v>
      </c>
      <c r="AN81" t="s">
        <v>525</v>
      </c>
      <c r="AO81" t="s">
        <v>1299</v>
      </c>
      <c r="AP81" t="s">
        <v>74</v>
      </c>
      <c r="AQ81" t="s">
        <v>74</v>
      </c>
      <c r="AR81" t="s">
        <v>1300</v>
      </c>
      <c r="AS81" t="s">
        <v>1301</v>
      </c>
      <c r="AT81" t="s">
        <v>1798</v>
      </c>
      <c r="AU81">
        <v>2015</v>
      </c>
      <c r="AV81">
        <v>5</v>
      </c>
      <c r="AW81" t="s">
        <v>74</v>
      </c>
      <c r="AX81" t="s">
        <v>74</v>
      </c>
      <c r="AY81" t="s">
        <v>74</v>
      </c>
      <c r="AZ81" t="s">
        <v>74</v>
      </c>
      <c r="BA81" t="s">
        <v>74</v>
      </c>
      <c r="BB81" t="s">
        <v>74</v>
      </c>
      <c r="BC81" t="s">
        <v>74</v>
      </c>
      <c r="BD81">
        <v>14850</v>
      </c>
      <c r="BE81" t="s">
        <v>1815</v>
      </c>
      <c r="BF81" t="str">
        <f>HYPERLINK("http://dx.doi.org/10.1038/srep14850","http://dx.doi.org/10.1038/srep14850")</f>
        <v>http://dx.doi.org/10.1038/srep14850</v>
      </c>
      <c r="BG81" t="s">
        <v>74</v>
      </c>
      <c r="BH81" t="s">
        <v>74</v>
      </c>
      <c r="BI81">
        <v>10</v>
      </c>
      <c r="BJ81" t="s">
        <v>530</v>
      </c>
      <c r="BK81" t="s">
        <v>101</v>
      </c>
      <c r="BL81" t="s">
        <v>531</v>
      </c>
      <c r="BM81" t="s">
        <v>1816</v>
      </c>
      <c r="BN81">
        <v>26463847</v>
      </c>
      <c r="BO81" t="s">
        <v>533</v>
      </c>
      <c r="BP81" t="s">
        <v>74</v>
      </c>
      <c r="BQ81" t="s">
        <v>74</v>
      </c>
      <c r="BR81" t="s">
        <v>103</v>
      </c>
      <c r="BS81" t="s">
        <v>1817</v>
      </c>
      <c r="BT81" t="str">
        <f>HYPERLINK("https%3A%2F%2Fwww.webofscience.com%2Fwos%2Fwoscc%2Ffull-record%2FWOS:000362718100002","View Full Record in Web of Science")</f>
        <v>View Full Record in Web of Science</v>
      </c>
    </row>
    <row r="82" spans="1:72" x14ac:dyDescent="0.15">
      <c r="A82" t="s">
        <v>72</v>
      </c>
      <c r="B82" t="s">
        <v>1818</v>
      </c>
      <c r="C82" t="s">
        <v>74</v>
      </c>
      <c r="D82" t="s">
        <v>74</v>
      </c>
      <c r="E82" t="s">
        <v>74</v>
      </c>
      <c r="F82" t="s">
        <v>1819</v>
      </c>
      <c r="G82" t="s">
        <v>74</v>
      </c>
      <c r="H82" t="s">
        <v>74</v>
      </c>
      <c r="I82" t="s">
        <v>1820</v>
      </c>
      <c r="J82" t="s">
        <v>1821</v>
      </c>
      <c r="K82" t="s">
        <v>74</v>
      </c>
      <c r="L82" t="s">
        <v>74</v>
      </c>
      <c r="M82" t="s">
        <v>78</v>
      </c>
      <c r="N82" t="s">
        <v>79</v>
      </c>
      <c r="O82" t="s">
        <v>74</v>
      </c>
      <c r="P82" t="s">
        <v>74</v>
      </c>
      <c r="Q82" t="s">
        <v>74</v>
      </c>
      <c r="R82" t="s">
        <v>74</v>
      </c>
      <c r="S82" t="s">
        <v>74</v>
      </c>
      <c r="T82" t="s">
        <v>74</v>
      </c>
      <c r="U82" t="s">
        <v>1822</v>
      </c>
      <c r="V82" t="s">
        <v>1823</v>
      </c>
      <c r="W82" t="s">
        <v>1824</v>
      </c>
      <c r="X82" t="s">
        <v>1825</v>
      </c>
      <c r="Y82" t="s">
        <v>1826</v>
      </c>
      <c r="Z82" t="s">
        <v>1827</v>
      </c>
      <c r="AA82" t="s">
        <v>1828</v>
      </c>
      <c r="AB82" t="s">
        <v>1829</v>
      </c>
      <c r="AC82" t="s">
        <v>74</v>
      </c>
      <c r="AD82" t="s">
        <v>74</v>
      </c>
      <c r="AE82" t="s">
        <v>74</v>
      </c>
      <c r="AF82" t="s">
        <v>74</v>
      </c>
      <c r="AG82">
        <v>77</v>
      </c>
      <c r="AH82">
        <v>30</v>
      </c>
      <c r="AI82">
        <v>31</v>
      </c>
      <c r="AJ82">
        <v>0</v>
      </c>
      <c r="AK82">
        <v>18</v>
      </c>
      <c r="AL82" t="s">
        <v>1830</v>
      </c>
      <c r="AM82" t="s">
        <v>1831</v>
      </c>
      <c r="AN82" t="s">
        <v>1832</v>
      </c>
      <c r="AO82" t="s">
        <v>1833</v>
      </c>
      <c r="AP82" t="s">
        <v>74</v>
      </c>
      <c r="AQ82" t="s">
        <v>74</v>
      </c>
      <c r="AR82" t="s">
        <v>1834</v>
      </c>
      <c r="AS82" t="s">
        <v>1835</v>
      </c>
      <c r="AT82" t="s">
        <v>1798</v>
      </c>
      <c r="AU82">
        <v>2015</v>
      </c>
      <c r="AV82">
        <v>3</v>
      </c>
      <c r="AW82" t="s">
        <v>74</v>
      </c>
      <c r="AX82" t="s">
        <v>74</v>
      </c>
      <c r="AY82" t="s">
        <v>74</v>
      </c>
      <c r="AZ82" t="s">
        <v>74</v>
      </c>
      <c r="BA82" t="s">
        <v>74</v>
      </c>
      <c r="BB82">
        <v>1</v>
      </c>
      <c r="BC82">
        <v>17</v>
      </c>
      <c r="BD82">
        <v>73</v>
      </c>
      <c r="BE82" t="s">
        <v>1836</v>
      </c>
      <c r="BF82" t="str">
        <f>HYPERLINK("http://dx.doi.org/10.12952/journal.elementa.000073","http://dx.doi.org/10.12952/journal.elementa.000073")</f>
        <v>http://dx.doi.org/10.12952/journal.elementa.000073</v>
      </c>
      <c r="BG82" t="s">
        <v>74</v>
      </c>
      <c r="BH82" t="s">
        <v>74</v>
      </c>
      <c r="BI82">
        <v>17</v>
      </c>
      <c r="BJ82" t="s">
        <v>1837</v>
      </c>
      <c r="BK82" t="s">
        <v>101</v>
      </c>
      <c r="BL82" t="s">
        <v>1838</v>
      </c>
      <c r="BM82" t="s">
        <v>1839</v>
      </c>
      <c r="BN82" t="s">
        <v>74</v>
      </c>
      <c r="BO82" t="s">
        <v>1304</v>
      </c>
      <c r="BP82" t="s">
        <v>74</v>
      </c>
      <c r="BQ82" t="s">
        <v>74</v>
      </c>
      <c r="BR82" t="s">
        <v>103</v>
      </c>
      <c r="BS82" t="s">
        <v>1840</v>
      </c>
      <c r="BT82" t="str">
        <f>HYPERLINK("https%3A%2F%2Fwww.webofscience.com%2Fwos%2Fwoscc%2Ffull-record%2FWOS:000368885500001","View Full Record in Web of Science")</f>
        <v>View Full Record in Web of Science</v>
      </c>
    </row>
    <row r="83" spans="1:72" x14ac:dyDescent="0.15">
      <c r="A83" t="s">
        <v>72</v>
      </c>
      <c r="B83" t="s">
        <v>1841</v>
      </c>
      <c r="C83" t="s">
        <v>74</v>
      </c>
      <c r="D83" t="s">
        <v>74</v>
      </c>
      <c r="E83" t="s">
        <v>74</v>
      </c>
      <c r="F83" t="s">
        <v>1842</v>
      </c>
      <c r="G83" t="s">
        <v>74</v>
      </c>
      <c r="H83" t="s">
        <v>74</v>
      </c>
      <c r="I83" t="s">
        <v>1843</v>
      </c>
      <c r="J83" t="s">
        <v>1240</v>
      </c>
      <c r="K83" t="s">
        <v>74</v>
      </c>
      <c r="L83" t="s">
        <v>74</v>
      </c>
      <c r="M83" t="s">
        <v>78</v>
      </c>
      <c r="N83" t="s">
        <v>79</v>
      </c>
      <c r="O83" t="s">
        <v>74</v>
      </c>
      <c r="P83" t="s">
        <v>74</v>
      </c>
      <c r="Q83" t="s">
        <v>74</v>
      </c>
      <c r="R83" t="s">
        <v>74</v>
      </c>
      <c r="S83" t="s">
        <v>74</v>
      </c>
      <c r="T83" t="s">
        <v>1844</v>
      </c>
      <c r="U83" t="s">
        <v>1845</v>
      </c>
      <c r="V83" t="s">
        <v>1846</v>
      </c>
      <c r="W83" t="s">
        <v>1847</v>
      </c>
      <c r="X83" t="s">
        <v>1848</v>
      </c>
      <c r="Y83" t="s">
        <v>1849</v>
      </c>
      <c r="Z83" t="s">
        <v>1850</v>
      </c>
      <c r="AA83" t="s">
        <v>1851</v>
      </c>
      <c r="AB83" t="s">
        <v>1852</v>
      </c>
      <c r="AC83" t="s">
        <v>1853</v>
      </c>
      <c r="AD83" t="s">
        <v>1854</v>
      </c>
      <c r="AE83" t="s">
        <v>1855</v>
      </c>
      <c r="AF83" t="s">
        <v>74</v>
      </c>
      <c r="AG83">
        <v>87</v>
      </c>
      <c r="AH83">
        <v>65</v>
      </c>
      <c r="AI83">
        <v>69</v>
      </c>
      <c r="AJ83">
        <v>2</v>
      </c>
      <c r="AK83">
        <v>55</v>
      </c>
      <c r="AL83" t="s">
        <v>1253</v>
      </c>
      <c r="AM83" t="s">
        <v>1254</v>
      </c>
      <c r="AN83" t="s">
        <v>1255</v>
      </c>
      <c r="AO83" t="s">
        <v>1256</v>
      </c>
      <c r="AP83" t="s">
        <v>74</v>
      </c>
      <c r="AQ83" t="s">
        <v>74</v>
      </c>
      <c r="AR83" t="s">
        <v>1257</v>
      </c>
      <c r="AS83" t="s">
        <v>1258</v>
      </c>
      <c r="AT83" t="s">
        <v>1856</v>
      </c>
      <c r="AU83">
        <v>2015</v>
      </c>
      <c r="AV83">
        <v>6</v>
      </c>
      <c r="AW83" t="s">
        <v>74</v>
      </c>
      <c r="AX83" t="s">
        <v>74</v>
      </c>
      <c r="AY83" t="s">
        <v>74</v>
      </c>
      <c r="AZ83" t="s">
        <v>74</v>
      </c>
      <c r="BA83" t="s">
        <v>74</v>
      </c>
      <c r="BB83" t="s">
        <v>74</v>
      </c>
      <c r="BC83" t="s">
        <v>74</v>
      </c>
      <c r="BD83">
        <v>1070</v>
      </c>
      <c r="BE83" t="s">
        <v>1857</v>
      </c>
      <c r="BF83" t="str">
        <f>HYPERLINK("http://dx.doi.org/10.3389/fmicb.2015.01070","http://dx.doi.org/10.3389/fmicb.2015.01070")</f>
        <v>http://dx.doi.org/10.3389/fmicb.2015.01070</v>
      </c>
      <c r="BG83" t="s">
        <v>74</v>
      </c>
      <c r="BH83" t="s">
        <v>74</v>
      </c>
      <c r="BI83">
        <v>10</v>
      </c>
      <c r="BJ83" t="s">
        <v>160</v>
      </c>
      <c r="BK83" t="s">
        <v>101</v>
      </c>
      <c r="BL83" t="s">
        <v>160</v>
      </c>
      <c r="BM83" t="s">
        <v>1858</v>
      </c>
      <c r="BN83">
        <v>26528250</v>
      </c>
      <c r="BO83" t="s">
        <v>533</v>
      </c>
      <c r="BP83" t="s">
        <v>74</v>
      </c>
      <c r="BQ83" t="s">
        <v>74</v>
      </c>
      <c r="BR83" t="s">
        <v>103</v>
      </c>
      <c r="BS83" t="s">
        <v>1859</v>
      </c>
      <c r="BT83" t="str">
        <f>HYPERLINK("https%3A%2F%2Fwww.webofscience.com%2Fwos%2Fwoscc%2Ffull-record%2FWOS:000363392400001","View Full Record in Web of Science")</f>
        <v>View Full Record in Web of Science</v>
      </c>
    </row>
    <row r="84" spans="1:72" x14ac:dyDescent="0.15">
      <c r="A84" t="s">
        <v>72</v>
      </c>
      <c r="B84" t="s">
        <v>1860</v>
      </c>
      <c r="C84" t="s">
        <v>74</v>
      </c>
      <c r="D84" t="s">
        <v>74</v>
      </c>
      <c r="E84" t="s">
        <v>74</v>
      </c>
      <c r="F84" t="s">
        <v>1861</v>
      </c>
      <c r="G84" t="s">
        <v>74</v>
      </c>
      <c r="H84" t="s">
        <v>74</v>
      </c>
      <c r="I84" t="s">
        <v>1862</v>
      </c>
      <c r="J84" t="s">
        <v>1078</v>
      </c>
      <c r="K84" t="s">
        <v>74</v>
      </c>
      <c r="L84" t="s">
        <v>74</v>
      </c>
      <c r="M84" t="s">
        <v>78</v>
      </c>
      <c r="N84" t="s">
        <v>79</v>
      </c>
      <c r="O84" t="s">
        <v>74</v>
      </c>
      <c r="P84" t="s">
        <v>74</v>
      </c>
      <c r="Q84" t="s">
        <v>74</v>
      </c>
      <c r="R84" t="s">
        <v>74</v>
      </c>
      <c r="S84" t="s">
        <v>74</v>
      </c>
      <c r="T84" t="s">
        <v>74</v>
      </c>
      <c r="U84" t="s">
        <v>1863</v>
      </c>
      <c r="V84" t="s">
        <v>1864</v>
      </c>
      <c r="W84" t="s">
        <v>1865</v>
      </c>
      <c r="X84" t="s">
        <v>1866</v>
      </c>
      <c r="Y84" t="s">
        <v>1867</v>
      </c>
      <c r="Z84" t="s">
        <v>1868</v>
      </c>
      <c r="AA84" t="s">
        <v>1869</v>
      </c>
      <c r="AB84" t="s">
        <v>1870</v>
      </c>
      <c r="AC84" t="s">
        <v>1871</v>
      </c>
      <c r="AD84" t="s">
        <v>1872</v>
      </c>
      <c r="AE84" t="s">
        <v>1873</v>
      </c>
      <c r="AF84" t="s">
        <v>74</v>
      </c>
      <c r="AG84">
        <v>42</v>
      </c>
      <c r="AH84">
        <v>46</v>
      </c>
      <c r="AI84">
        <v>49</v>
      </c>
      <c r="AJ84">
        <v>1</v>
      </c>
      <c r="AK84">
        <v>57</v>
      </c>
      <c r="AL84" t="s">
        <v>1089</v>
      </c>
      <c r="AM84" t="s">
        <v>1090</v>
      </c>
      <c r="AN84" t="s">
        <v>1091</v>
      </c>
      <c r="AO84" t="s">
        <v>1092</v>
      </c>
      <c r="AP84" t="s">
        <v>74</v>
      </c>
      <c r="AQ84" t="s">
        <v>74</v>
      </c>
      <c r="AR84" t="s">
        <v>1078</v>
      </c>
      <c r="AS84" t="s">
        <v>1093</v>
      </c>
      <c r="AT84" t="s">
        <v>1856</v>
      </c>
      <c r="AU84">
        <v>2015</v>
      </c>
      <c r="AV84">
        <v>10</v>
      </c>
      <c r="AW84">
        <v>10</v>
      </c>
      <c r="AX84" t="s">
        <v>74</v>
      </c>
      <c r="AY84" t="s">
        <v>74</v>
      </c>
      <c r="AZ84" t="s">
        <v>74</v>
      </c>
      <c r="BA84" t="s">
        <v>74</v>
      </c>
      <c r="BB84" t="s">
        <v>74</v>
      </c>
      <c r="BC84" t="s">
        <v>74</v>
      </c>
      <c r="BD84" t="s">
        <v>1874</v>
      </c>
      <c r="BE84" t="s">
        <v>1875</v>
      </c>
      <c r="BF84" t="str">
        <f>HYPERLINK("http://dx.doi.org/10.1371/journal.pone.0140270","http://dx.doi.org/10.1371/journal.pone.0140270")</f>
        <v>http://dx.doi.org/10.1371/journal.pone.0140270</v>
      </c>
      <c r="BG84" t="s">
        <v>74</v>
      </c>
      <c r="BH84" t="s">
        <v>74</v>
      </c>
      <c r="BI84">
        <v>12</v>
      </c>
      <c r="BJ84" t="s">
        <v>530</v>
      </c>
      <c r="BK84" t="s">
        <v>101</v>
      </c>
      <c r="BL84" t="s">
        <v>531</v>
      </c>
      <c r="BM84" t="s">
        <v>1876</v>
      </c>
      <c r="BN84">
        <v>26461104</v>
      </c>
      <c r="BO84" t="s">
        <v>1150</v>
      </c>
      <c r="BP84" t="s">
        <v>74</v>
      </c>
      <c r="BQ84" t="s">
        <v>74</v>
      </c>
      <c r="BR84" t="s">
        <v>103</v>
      </c>
      <c r="BS84" t="s">
        <v>1877</v>
      </c>
      <c r="BT84" t="str">
        <f>HYPERLINK("https%3A%2F%2Fwww.webofscience.com%2Fwos%2Fwoscc%2Ffull-record%2FWOS:000362962300076","View Full Record in Web of Science")</f>
        <v>View Full Record in Web of Science</v>
      </c>
    </row>
    <row r="85" spans="1:72" x14ac:dyDescent="0.15">
      <c r="A85" t="s">
        <v>72</v>
      </c>
      <c r="B85" t="s">
        <v>1878</v>
      </c>
      <c r="C85" t="s">
        <v>74</v>
      </c>
      <c r="D85" t="s">
        <v>74</v>
      </c>
      <c r="E85" t="s">
        <v>74</v>
      </c>
      <c r="F85" t="s">
        <v>1879</v>
      </c>
      <c r="G85" t="s">
        <v>74</v>
      </c>
      <c r="H85" t="s">
        <v>74</v>
      </c>
      <c r="I85" t="s">
        <v>1880</v>
      </c>
      <c r="J85" t="s">
        <v>1287</v>
      </c>
      <c r="K85" t="s">
        <v>74</v>
      </c>
      <c r="L85" t="s">
        <v>74</v>
      </c>
      <c r="M85" t="s">
        <v>78</v>
      </c>
      <c r="N85" t="s">
        <v>79</v>
      </c>
      <c r="O85" t="s">
        <v>74</v>
      </c>
      <c r="P85" t="s">
        <v>74</v>
      </c>
      <c r="Q85" t="s">
        <v>74</v>
      </c>
      <c r="R85" t="s">
        <v>74</v>
      </c>
      <c r="S85" t="s">
        <v>74</v>
      </c>
      <c r="T85" t="s">
        <v>74</v>
      </c>
      <c r="U85" t="s">
        <v>1881</v>
      </c>
      <c r="V85" t="s">
        <v>1882</v>
      </c>
      <c r="W85" t="s">
        <v>1883</v>
      </c>
      <c r="X85" t="s">
        <v>1884</v>
      </c>
      <c r="Y85" t="s">
        <v>1885</v>
      </c>
      <c r="Z85" t="s">
        <v>1886</v>
      </c>
      <c r="AA85" t="s">
        <v>1887</v>
      </c>
      <c r="AB85" t="s">
        <v>1888</v>
      </c>
      <c r="AC85" t="s">
        <v>1889</v>
      </c>
      <c r="AD85" t="s">
        <v>1890</v>
      </c>
      <c r="AE85" t="s">
        <v>1891</v>
      </c>
      <c r="AF85" t="s">
        <v>74</v>
      </c>
      <c r="AG85">
        <v>33</v>
      </c>
      <c r="AH85">
        <v>9</v>
      </c>
      <c r="AI85">
        <v>11</v>
      </c>
      <c r="AJ85">
        <v>0</v>
      </c>
      <c r="AK85">
        <v>6</v>
      </c>
      <c r="AL85" t="s">
        <v>523</v>
      </c>
      <c r="AM85" t="s">
        <v>524</v>
      </c>
      <c r="AN85" t="s">
        <v>525</v>
      </c>
      <c r="AO85" t="s">
        <v>1299</v>
      </c>
      <c r="AP85" t="s">
        <v>74</v>
      </c>
      <c r="AQ85" t="s">
        <v>74</v>
      </c>
      <c r="AR85" t="s">
        <v>1300</v>
      </c>
      <c r="AS85" t="s">
        <v>1301</v>
      </c>
      <c r="AT85" t="s">
        <v>1892</v>
      </c>
      <c r="AU85">
        <v>2015</v>
      </c>
      <c r="AV85">
        <v>5</v>
      </c>
      <c r="AW85" t="s">
        <v>74</v>
      </c>
      <c r="AX85" t="s">
        <v>74</v>
      </c>
      <c r="AY85" t="s">
        <v>74</v>
      </c>
      <c r="AZ85" t="s">
        <v>74</v>
      </c>
      <c r="BA85" t="s">
        <v>74</v>
      </c>
      <c r="BB85" t="s">
        <v>74</v>
      </c>
      <c r="BC85" t="s">
        <v>74</v>
      </c>
      <c r="BD85">
        <v>14900</v>
      </c>
      <c r="BE85" t="s">
        <v>1893</v>
      </c>
      <c r="BF85" t="str">
        <f>HYPERLINK("http://dx.doi.org/10.1038/srep14900","http://dx.doi.org/10.1038/srep14900")</f>
        <v>http://dx.doi.org/10.1038/srep14900</v>
      </c>
      <c r="BG85" t="s">
        <v>74</v>
      </c>
      <c r="BH85" t="s">
        <v>74</v>
      </c>
      <c r="BI85">
        <v>12</v>
      </c>
      <c r="BJ85" t="s">
        <v>530</v>
      </c>
      <c r="BK85" t="s">
        <v>101</v>
      </c>
      <c r="BL85" t="s">
        <v>531</v>
      </c>
      <c r="BM85" t="s">
        <v>1894</v>
      </c>
      <c r="BN85">
        <v>26449323</v>
      </c>
      <c r="BO85" t="s">
        <v>533</v>
      </c>
      <c r="BP85" t="s">
        <v>74</v>
      </c>
      <c r="BQ85" t="s">
        <v>74</v>
      </c>
      <c r="BR85" t="s">
        <v>103</v>
      </c>
      <c r="BS85" t="s">
        <v>1895</v>
      </c>
      <c r="BT85" t="str">
        <f>HYPERLINK("https%3A%2F%2Fwww.webofscience.com%2Fwos%2Fwoscc%2Ffull-record%2FWOS:000362478500001","View Full Record in Web of Science")</f>
        <v>View Full Record in Web of Science</v>
      </c>
    </row>
    <row r="86" spans="1:72" x14ac:dyDescent="0.15">
      <c r="A86" t="s">
        <v>72</v>
      </c>
      <c r="B86" t="s">
        <v>1896</v>
      </c>
      <c r="C86" t="s">
        <v>74</v>
      </c>
      <c r="D86" t="s">
        <v>74</v>
      </c>
      <c r="E86" t="s">
        <v>74</v>
      </c>
      <c r="F86" t="s">
        <v>1897</v>
      </c>
      <c r="G86" t="s">
        <v>74</v>
      </c>
      <c r="H86" t="s">
        <v>74</v>
      </c>
      <c r="I86" t="s">
        <v>1898</v>
      </c>
      <c r="J86" t="s">
        <v>1078</v>
      </c>
      <c r="K86" t="s">
        <v>74</v>
      </c>
      <c r="L86" t="s">
        <v>74</v>
      </c>
      <c r="M86" t="s">
        <v>78</v>
      </c>
      <c r="N86" t="s">
        <v>79</v>
      </c>
      <c r="O86" t="s">
        <v>74</v>
      </c>
      <c r="P86" t="s">
        <v>74</v>
      </c>
      <c r="Q86" t="s">
        <v>74</v>
      </c>
      <c r="R86" t="s">
        <v>74</v>
      </c>
      <c r="S86" t="s">
        <v>74</v>
      </c>
      <c r="T86" t="s">
        <v>74</v>
      </c>
      <c r="U86" t="s">
        <v>1899</v>
      </c>
      <c r="V86" t="s">
        <v>1900</v>
      </c>
      <c r="W86" t="s">
        <v>1901</v>
      </c>
      <c r="X86" t="s">
        <v>1902</v>
      </c>
      <c r="Y86" t="s">
        <v>1903</v>
      </c>
      <c r="Z86" t="s">
        <v>1904</v>
      </c>
      <c r="AA86" t="s">
        <v>1905</v>
      </c>
      <c r="AB86" t="s">
        <v>1906</v>
      </c>
      <c r="AC86" t="s">
        <v>1907</v>
      </c>
      <c r="AD86" t="s">
        <v>1908</v>
      </c>
      <c r="AE86" t="s">
        <v>1909</v>
      </c>
      <c r="AF86" t="s">
        <v>74</v>
      </c>
      <c r="AG86">
        <v>63</v>
      </c>
      <c r="AH86">
        <v>22</v>
      </c>
      <c r="AI86">
        <v>23</v>
      </c>
      <c r="AJ86">
        <v>0</v>
      </c>
      <c r="AK86">
        <v>43</v>
      </c>
      <c r="AL86" t="s">
        <v>1089</v>
      </c>
      <c r="AM86" t="s">
        <v>1090</v>
      </c>
      <c r="AN86" t="s">
        <v>1091</v>
      </c>
      <c r="AO86" t="s">
        <v>1092</v>
      </c>
      <c r="AP86" t="s">
        <v>74</v>
      </c>
      <c r="AQ86" t="s">
        <v>74</v>
      </c>
      <c r="AR86" t="s">
        <v>1078</v>
      </c>
      <c r="AS86" t="s">
        <v>1093</v>
      </c>
      <c r="AT86" t="s">
        <v>1892</v>
      </c>
      <c r="AU86">
        <v>2015</v>
      </c>
      <c r="AV86">
        <v>10</v>
      </c>
      <c r="AW86">
        <v>10</v>
      </c>
      <c r="AX86" t="s">
        <v>74</v>
      </c>
      <c r="AY86" t="s">
        <v>74</v>
      </c>
      <c r="AZ86" t="s">
        <v>74</v>
      </c>
      <c r="BA86" t="s">
        <v>74</v>
      </c>
      <c r="BB86" t="s">
        <v>74</v>
      </c>
      <c r="BC86" t="s">
        <v>74</v>
      </c>
      <c r="BD86" t="s">
        <v>1910</v>
      </c>
      <c r="BE86" t="s">
        <v>1911</v>
      </c>
      <c r="BF86" t="str">
        <f>HYPERLINK("http://dx.doi.org/10.1371/journal.pone.0140078","http://dx.doi.org/10.1371/journal.pone.0140078")</f>
        <v>http://dx.doi.org/10.1371/journal.pone.0140078</v>
      </c>
      <c r="BG86" t="s">
        <v>74</v>
      </c>
      <c r="BH86" t="s">
        <v>74</v>
      </c>
      <c r="BI86">
        <v>22</v>
      </c>
      <c r="BJ86" t="s">
        <v>530</v>
      </c>
      <c r="BK86" t="s">
        <v>101</v>
      </c>
      <c r="BL86" t="s">
        <v>531</v>
      </c>
      <c r="BM86" t="s">
        <v>1912</v>
      </c>
      <c r="BN86">
        <v>26451918</v>
      </c>
      <c r="BO86" t="s">
        <v>1262</v>
      </c>
      <c r="BP86" t="s">
        <v>74</v>
      </c>
      <c r="BQ86" t="s">
        <v>74</v>
      </c>
      <c r="BR86" t="s">
        <v>103</v>
      </c>
      <c r="BS86" t="s">
        <v>1913</v>
      </c>
      <c r="BT86" t="str">
        <f>HYPERLINK("https%3A%2F%2Fwww.webofscience.com%2Fwos%2Fwoscc%2Ffull-record%2FWOS:000362511200033","View Full Record in Web of Science")</f>
        <v>View Full Record in Web of Science</v>
      </c>
    </row>
    <row r="87" spans="1:72" x14ac:dyDescent="0.15">
      <c r="A87" t="s">
        <v>72</v>
      </c>
      <c r="B87" t="s">
        <v>1914</v>
      </c>
      <c r="C87" t="s">
        <v>74</v>
      </c>
      <c r="D87" t="s">
        <v>74</v>
      </c>
      <c r="E87" t="s">
        <v>74</v>
      </c>
      <c r="F87" t="s">
        <v>1915</v>
      </c>
      <c r="G87" t="s">
        <v>74</v>
      </c>
      <c r="H87" t="s">
        <v>74</v>
      </c>
      <c r="I87" t="s">
        <v>1916</v>
      </c>
      <c r="J87" t="s">
        <v>1917</v>
      </c>
      <c r="K87" t="s">
        <v>74</v>
      </c>
      <c r="L87" t="s">
        <v>74</v>
      </c>
      <c r="M87" t="s">
        <v>78</v>
      </c>
      <c r="N87" t="s">
        <v>79</v>
      </c>
      <c r="O87" t="s">
        <v>74</v>
      </c>
      <c r="P87" t="s">
        <v>74</v>
      </c>
      <c r="Q87" t="s">
        <v>74</v>
      </c>
      <c r="R87" t="s">
        <v>74</v>
      </c>
      <c r="S87" t="s">
        <v>74</v>
      </c>
      <c r="T87" t="s">
        <v>1918</v>
      </c>
      <c r="U87" t="s">
        <v>1919</v>
      </c>
      <c r="V87" t="s">
        <v>1920</v>
      </c>
      <c r="W87" t="s">
        <v>1921</v>
      </c>
      <c r="X87" t="s">
        <v>1922</v>
      </c>
      <c r="Y87" t="s">
        <v>1923</v>
      </c>
      <c r="Z87" t="s">
        <v>1924</v>
      </c>
      <c r="AA87" t="s">
        <v>1925</v>
      </c>
      <c r="AB87" t="s">
        <v>1926</v>
      </c>
      <c r="AC87" t="s">
        <v>74</v>
      </c>
      <c r="AD87" t="s">
        <v>74</v>
      </c>
      <c r="AE87" t="s">
        <v>74</v>
      </c>
      <c r="AF87" t="s">
        <v>74</v>
      </c>
      <c r="AG87">
        <v>19</v>
      </c>
      <c r="AH87">
        <v>10</v>
      </c>
      <c r="AI87">
        <v>11</v>
      </c>
      <c r="AJ87">
        <v>0</v>
      </c>
      <c r="AK87">
        <v>3</v>
      </c>
      <c r="AL87" t="s">
        <v>1927</v>
      </c>
      <c r="AM87" t="s">
        <v>1928</v>
      </c>
      <c r="AN87" t="s">
        <v>1929</v>
      </c>
      <c r="AO87" t="s">
        <v>1930</v>
      </c>
      <c r="AP87" t="s">
        <v>74</v>
      </c>
      <c r="AQ87" t="s">
        <v>74</v>
      </c>
      <c r="AR87" t="s">
        <v>1931</v>
      </c>
      <c r="AS87" t="s">
        <v>1917</v>
      </c>
      <c r="AT87" t="s">
        <v>1932</v>
      </c>
      <c r="AU87">
        <v>2015</v>
      </c>
      <c r="AV87">
        <v>4</v>
      </c>
      <c r="AW87" t="s">
        <v>74</v>
      </c>
      <c r="AX87" t="s">
        <v>74</v>
      </c>
      <c r="AY87" t="s">
        <v>74</v>
      </c>
      <c r="AZ87" t="s">
        <v>74</v>
      </c>
      <c r="BA87" t="s">
        <v>74</v>
      </c>
      <c r="BB87" t="s">
        <v>74</v>
      </c>
      <c r="BC87" t="s">
        <v>74</v>
      </c>
      <c r="BD87">
        <v>582</v>
      </c>
      <c r="BE87" t="s">
        <v>1933</v>
      </c>
      <c r="BF87" t="str">
        <f>HYPERLINK("http://dx.doi.org/10.1186/s40064-015-1354-3","http://dx.doi.org/10.1186/s40064-015-1354-3")</f>
        <v>http://dx.doi.org/10.1186/s40064-015-1354-3</v>
      </c>
      <c r="BG87" t="s">
        <v>74</v>
      </c>
      <c r="BH87" t="s">
        <v>74</v>
      </c>
      <c r="BI87">
        <v>6</v>
      </c>
      <c r="BJ87" t="s">
        <v>530</v>
      </c>
      <c r="BK87" t="s">
        <v>101</v>
      </c>
      <c r="BL87" t="s">
        <v>531</v>
      </c>
      <c r="BM87" t="s">
        <v>1934</v>
      </c>
      <c r="BN87">
        <v>26543717</v>
      </c>
      <c r="BO87" t="s">
        <v>533</v>
      </c>
      <c r="BP87" t="s">
        <v>74</v>
      </c>
      <c r="BQ87" t="s">
        <v>74</v>
      </c>
      <c r="BR87" t="s">
        <v>103</v>
      </c>
      <c r="BS87" t="s">
        <v>1935</v>
      </c>
      <c r="BT87" t="str">
        <f>HYPERLINK("https%3A%2F%2Fwww.webofscience.com%2Fwos%2Fwoscc%2Ffull-record%2FWOS:000364342600001","View Full Record in Web of Science")</f>
        <v>View Full Record in Web of Science</v>
      </c>
    </row>
    <row r="88" spans="1:72" x14ac:dyDescent="0.15">
      <c r="A88" t="s">
        <v>72</v>
      </c>
      <c r="B88" t="s">
        <v>1936</v>
      </c>
      <c r="C88" t="s">
        <v>74</v>
      </c>
      <c r="D88" t="s">
        <v>74</v>
      </c>
      <c r="E88" t="s">
        <v>74</v>
      </c>
      <c r="F88" t="s">
        <v>1937</v>
      </c>
      <c r="G88" t="s">
        <v>74</v>
      </c>
      <c r="H88" t="s">
        <v>74</v>
      </c>
      <c r="I88" t="s">
        <v>1938</v>
      </c>
      <c r="J88" t="s">
        <v>1939</v>
      </c>
      <c r="K88" t="s">
        <v>74</v>
      </c>
      <c r="L88" t="s">
        <v>74</v>
      </c>
      <c r="M88" t="s">
        <v>1940</v>
      </c>
      <c r="N88" t="s">
        <v>79</v>
      </c>
      <c r="O88" t="s">
        <v>74</v>
      </c>
      <c r="P88" t="s">
        <v>74</v>
      </c>
      <c r="Q88" t="s">
        <v>74</v>
      </c>
      <c r="R88" t="s">
        <v>74</v>
      </c>
      <c r="S88" t="s">
        <v>74</v>
      </c>
      <c r="T88" t="s">
        <v>74</v>
      </c>
      <c r="U88" t="s">
        <v>1941</v>
      </c>
      <c r="V88" t="s">
        <v>74</v>
      </c>
      <c r="W88" t="s">
        <v>1942</v>
      </c>
      <c r="X88" t="s">
        <v>1943</v>
      </c>
      <c r="Y88" t="s">
        <v>1944</v>
      </c>
      <c r="Z88" t="s">
        <v>1945</v>
      </c>
      <c r="AA88" t="s">
        <v>74</v>
      </c>
      <c r="AB88" t="s">
        <v>74</v>
      </c>
      <c r="AC88" t="s">
        <v>74</v>
      </c>
      <c r="AD88" t="s">
        <v>74</v>
      </c>
      <c r="AE88" t="s">
        <v>74</v>
      </c>
      <c r="AF88" t="s">
        <v>74</v>
      </c>
      <c r="AG88">
        <v>16</v>
      </c>
      <c r="AH88">
        <v>0</v>
      </c>
      <c r="AI88">
        <v>0</v>
      </c>
      <c r="AJ88">
        <v>0</v>
      </c>
      <c r="AK88">
        <v>0</v>
      </c>
      <c r="AL88" t="s">
        <v>1946</v>
      </c>
      <c r="AM88" t="s">
        <v>1947</v>
      </c>
      <c r="AN88" t="s">
        <v>1948</v>
      </c>
      <c r="AO88" t="s">
        <v>1949</v>
      </c>
      <c r="AP88" t="s">
        <v>1950</v>
      </c>
      <c r="AQ88" t="s">
        <v>74</v>
      </c>
      <c r="AR88" t="s">
        <v>1951</v>
      </c>
      <c r="AS88" t="s">
        <v>1952</v>
      </c>
      <c r="AT88" t="s">
        <v>1953</v>
      </c>
      <c r="AU88">
        <v>2015</v>
      </c>
      <c r="AV88">
        <v>135</v>
      </c>
      <c r="AW88">
        <v>18</v>
      </c>
      <c r="AX88" t="s">
        <v>74</v>
      </c>
      <c r="AY88" t="s">
        <v>74</v>
      </c>
      <c r="AZ88" t="s">
        <v>74</v>
      </c>
      <c r="BA88" t="s">
        <v>74</v>
      </c>
      <c r="BB88">
        <v>1658</v>
      </c>
      <c r="BC88">
        <v>1660</v>
      </c>
      <c r="BD88" t="s">
        <v>74</v>
      </c>
      <c r="BE88" t="s">
        <v>74</v>
      </c>
      <c r="BF88" t="s">
        <v>74</v>
      </c>
      <c r="BG88" t="s">
        <v>74</v>
      </c>
      <c r="BH88" t="s">
        <v>74</v>
      </c>
      <c r="BI88">
        <v>3</v>
      </c>
      <c r="BJ88" t="s">
        <v>1954</v>
      </c>
      <c r="BK88" t="s">
        <v>831</v>
      </c>
      <c r="BL88" t="s">
        <v>1955</v>
      </c>
      <c r="BM88" t="s">
        <v>1956</v>
      </c>
      <c r="BN88">
        <v>26442736</v>
      </c>
      <c r="BO88" t="s">
        <v>1404</v>
      </c>
      <c r="BP88" t="s">
        <v>74</v>
      </c>
      <c r="BQ88" t="s">
        <v>74</v>
      </c>
      <c r="BR88" t="s">
        <v>103</v>
      </c>
      <c r="BS88" t="s">
        <v>1957</v>
      </c>
      <c r="BT88" t="str">
        <f>HYPERLINK("https%3A%2F%2Fwww.webofscience.com%2Fwos%2Fwoscc%2Ffull-record%2FWOS:000371238500022","View Full Record in Web of Science")</f>
        <v>View Full Record in Web of Science</v>
      </c>
    </row>
    <row r="89" spans="1:72" x14ac:dyDescent="0.15">
      <c r="A89" t="s">
        <v>72</v>
      </c>
      <c r="B89" t="s">
        <v>1958</v>
      </c>
      <c r="C89" t="s">
        <v>74</v>
      </c>
      <c r="D89" t="s">
        <v>74</v>
      </c>
      <c r="E89" t="s">
        <v>74</v>
      </c>
      <c r="F89" t="s">
        <v>1959</v>
      </c>
      <c r="G89" t="s">
        <v>74</v>
      </c>
      <c r="H89" t="s">
        <v>74</v>
      </c>
      <c r="I89" t="s">
        <v>1960</v>
      </c>
      <c r="J89" t="s">
        <v>1961</v>
      </c>
      <c r="K89" t="s">
        <v>74</v>
      </c>
      <c r="L89" t="s">
        <v>74</v>
      </c>
      <c r="M89" t="s">
        <v>78</v>
      </c>
      <c r="N89" t="s">
        <v>79</v>
      </c>
      <c r="O89" t="s">
        <v>74</v>
      </c>
      <c r="P89" t="s">
        <v>74</v>
      </c>
      <c r="Q89" t="s">
        <v>74</v>
      </c>
      <c r="R89" t="s">
        <v>74</v>
      </c>
      <c r="S89" t="s">
        <v>74</v>
      </c>
      <c r="T89" t="s">
        <v>1962</v>
      </c>
      <c r="U89" t="s">
        <v>1963</v>
      </c>
      <c r="V89" t="s">
        <v>1964</v>
      </c>
      <c r="W89" t="s">
        <v>1965</v>
      </c>
      <c r="X89" t="s">
        <v>1966</v>
      </c>
      <c r="Y89" t="s">
        <v>1967</v>
      </c>
      <c r="Z89" t="s">
        <v>1968</v>
      </c>
      <c r="AA89" t="s">
        <v>1969</v>
      </c>
      <c r="AB89" t="s">
        <v>1970</v>
      </c>
      <c r="AC89" t="s">
        <v>1971</v>
      </c>
      <c r="AD89" t="s">
        <v>1972</v>
      </c>
      <c r="AE89" t="s">
        <v>1973</v>
      </c>
      <c r="AF89" t="s">
        <v>74</v>
      </c>
      <c r="AG89">
        <v>59</v>
      </c>
      <c r="AH89">
        <v>19</v>
      </c>
      <c r="AI89">
        <v>22</v>
      </c>
      <c r="AJ89">
        <v>3</v>
      </c>
      <c r="AK89">
        <v>58</v>
      </c>
      <c r="AL89" t="s">
        <v>1974</v>
      </c>
      <c r="AM89" t="s">
        <v>180</v>
      </c>
      <c r="AN89" t="s">
        <v>1975</v>
      </c>
      <c r="AO89" t="s">
        <v>1976</v>
      </c>
      <c r="AP89" t="s">
        <v>1977</v>
      </c>
      <c r="AQ89" t="s">
        <v>74</v>
      </c>
      <c r="AR89" t="s">
        <v>1978</v>
      </c>
      <c r="AS89" t="s">
        <v>1979</v>
      </c>
      <c r="AT89" t="s">
        <v>1980</v>
      </c>
      <c r="AU89">
        <v>2015</v>
      </c>
      <c r="AV89">
        <v>164</v>
      </c>
      <c r="AW89" t="s">
        <v>74</v>
      </c>
      <c r="AX89" t="s">
        <v>74</v>
      </c>
      <c r="AY89" t="s">
        <v>74</v>
      </c>
      <c r="AZ89" t="s">
        <v>74</v>
      </c>
      <c r="BA89" t="s">
        <v>74</v>
      </c>
      <c r="BB89">
        <v>520</v>
      </c>
      <c r="BC89">
        <v>536</v>
      </c>
      <c r="BD89" t="s">
        <v>74</v>
      </c>
      <c r="BE89" t="s">
        <v>1981</v>
      </c>
      <c r="BF89" t="str">
        <f>HYPERLINK("http://dx.doi.org/10.1016/j.ecss.2015.07.036","http://dx.doi.org/10.1016/j.ecss.2015.07.036")</f>
        <v>http://dx.doi.org/10.1016/j.ecss.2015.07.036</v>
      </c>
      <c r="BG89" t="s">
        <v>74</v>
      </c>
      <c r="BH89" t="s">
        <v>74</v>
      </c>
      <c r="BI89">
        <v>17</v>
      </c>
      <c r="BJ89" t="s">
        <v>478</v>
      </c>
      <c r="BK89" t="s">
        <v>101</v>
      </c>
      <c r="BL89" t="s">
        <v>478</v>
      </c>
      <c r="BM89" t="s">
        <v>1982</v>
      </c>
      <c r="BN89" t="s">
        <v>74</v>
      </c>
      <c r="BO89" t="s">
        <v>74</v>
      </c>
      <c r="BP89" t="s">
        <v>74</v>
      </c>
      <c r="BQ89" t="s">
        <v>74</v>
      </c>
      <c r="BR89" t="s">
        <v>103</v>
      </c>
      <c r="BS89" t="s">
        <v>1983</v>
      </c>
      <c r="BT89" t="str">
        <f>HYPERLINK("https%3A%2F%2Fwww.webofscience.com%2Fwos%2Fwoscc%2Ffull-record%2FWOS:000367862400051","View Full Record in Web of Science")</f>
        <v>View Full Record in Web of Science</v>
      </c>
    </row>
    <row r="90" spans="1:72" x14ac:dyDescent="0.15">
      <c r="A90" t="s">
        <v>72</v>
      </c>
      <c r="B90" t="s">
        <v>1984</v>
      </c>
      <c r="C90" t="s">
        <v>74</v>
      </c>
      <c r="D90" t="s">
        <v>74</v>
      </c>
      <c r="E90" t="s">
        <v>74</v>
      </c>
      <c r="F90" t="s">
        <v>1985</v>
      </c>
      <c r="G90" t="s">
        <v>74</v>
      </c>
      <c r="H90" t="s">
        <v>74</v>
      </c>
      <c r="I90" t="s">
        <v>1986</v>
      </c>
      <c r="J90" t="s">
        <v>1987</v>
      </c>
      <c r="K90" t="s">
        <v>74</v>
      </c>
      <c r="L90" t="s">
        <v>74</v>
      </c>
      <c r="M90" t="s">
        <v>78</v>
      </c>
      <c r="N90" t="s">
        <v>79</v>
      </c>
      <c r="O90" t="s">
        <v>74</v>
      </c>
      <c r="P90" t="s">
        <v>74</v>
      </c>
      <c r="Q90" t="s">
        <v>74</v>
      </c>
      <c r="R90" t="s">
        <v>74</v>
      </c>
      <c r="S90" t="s">
        <v>74</v>
      </c>
      <c r="T90" t="s">
        <v>1988</v>
      </c>
      <c r="U90" t="s">
        <v>1989</v>
      </c>
      <c r="V90" t="s">
        <v>1990</v>
      </c>
      <c r="W90" t="s">
        <v>1991</v>
      </c>
      <c r="X90" t="s">
        <v>1992</v>
      </c>
      <c r="Y90" t="s">
        <v>1993</v>
      </c>
      <c r="Z90" t="s">
        <v>1994</v>
      </c>
      <c r="AA90" t="s">
        <v>1995</v>
      </c>
      <c r="AB90" t="s">
        <v>74</v>
      </c>
      <c r="AC90" t="s">
        <v>74</v>
      </c>
      <c r="AD90" t="s">
        <v>74</v>
      </c>
      <c r="AE90" t="s">
        <v>74</v>
      </c>
      <c r="AF90" t="s">
        <v>74</v>
      </c>
      <c r="AG90">
        <v>234</v>
      </c>
      <c r="AH90">
        <v>74</v>
      </c>
      <c r="AI90">
        <v>80</v>
      </c>
      <c r="AJ90">
        <v>0</v>
      </c>
      <c r="AK90">
        <v>52</v>
      </c>
      <c r="AL90" t="s">
        <v>397</v>
      </c>
      <c r="AM90" t="s">
        <v>398</v>
      </c>
      <c r="AN90" t="s">
        <v>399</v>
      </c>
      <c r="AO90" t="s">
        <v>1996</v>
      </c>
      <c r="AP90" t="s">
        <v>1997</v>
      </c>
      <c r="AQ90" t="s">
        <v>74</v>
      </c>
      <c r="AR90" t="s">
        <v>1998</v>
      </c>
      <c r="AS90" t="s">
        <v>1999</v>
      </c>
      <c r="AT90" t="s">
        <v>1980</v>
      </c>
      <c r="AU90">
        <v>2015</v>
      </c>
      <c r="AV90">
        <v>383</v>
      </c>
      <c r="AW90" t="s">
        <v>74</v>
      </c>
      <c r="AX90" t="s">
        <v>74</v>
      </c>
      <c r="AY90" t="s">
        <v>74</v>
      </c>
      <c r="AZ90" t="s">
        <v>74</v>
      </c>
      <c r="BA90" t="s">
        <v>74</v>
      </c>
      <c r="BB90">
        <v>4</v>
      </c>
      <c r="BC90">
        <v>35</v>
      </c>
      <c r="BD90" t="s">
        <v>74</v>
      </c>
      <c r="BE90" t="s">
        <v>2000</v>
      </c>
      <c r="BF90" t="str">
        <f>HYPERLINK("http://dx.doi.org/10.1016/j.quaint.2015.06.039","http://dx.doi.org/10.1016/j.quaint.2015.06.039")</f>
        <v>http://dx.doi.org/10.1016/j.quaint.2015.06.039</v>
      </c>
      <c r="BG90" t="s">
        <v>74</v>
      </c>
      <c r="BH90" t="s">
        <v>74</v>
      </c>
      <c r="BI90">
        <v>32</v>
      </c>
      <c r="BJ90" t="s">
        <v>1778</v>
      </c>
      <c r="BK90" t="s">
        <v>101</v>
      </c>
      <c r="BL90" t="s">
        <v>1779</v>
      </c>
      <c r="BM90" t="s">
        <v>2001</v>
      </c>
      <c r="BN90" t="s">
        <v>74</v>
      </c>
      <c r="BO90" t="s">
        <v>290</v>
      </c>
      <c r="BP90" t="s">
        <v>74</v>
      </c>
      <c r="BQ90" t="s">
        <v>74</v>
      </c>
      <c r="BR90" t="s">
        <v>103</v>
      </c>
      <c r="BS90" t="s">
        <v>2002</v>
      </c>
      <c r="BT90" t="str">
        <f>HYPERLINK("https%3A%2F%2Fwww.webofscience.com%2Fwos%2Fwoscc%2Ffull-record%2FWOS:000363125500002","View Full Record in Web of Science")</f>
        <v>View Full Record in Web of Science</v>
      </c>
    </row>
    <row r="91" spans="1:72" x14ac:dyDescent="0.15">
      <c r="A91" t="s">
        <v>72</v>
      </c>
      <c r="B91" t="s">
        <v>2003</v>
      </c>
      <c r="C91" t="s">
        <v>74</v>
      </c>
      <c r="D91" t="s">
        <v>74</v>
      </c>
      <c r="E91" t="s">
        <v>74</v>
      </c>
      <c r="F91" t="s">
        <v>2004</v>
      </c>
      <c r="G91" t="s">
        <v>74</v>
      </c>
      <c r="H91" t="s">
        <v>74</v>
      </c>
      <c r="I91" t="s">
        <v>2005</v>
      </c>
      <c r="J91" t="s">
        <v>1987</v>
      </c>
      <c r="K91" t="s">
        <v>74</v>
      </c>
      <c r="L91" t="s">
        <v>74</v>
      </c>
      <c r="M91" t="s">
        <v>78</v>
      </c>
      <c r="N91" t="s">
        <v>79</v>
      </c>
      <c r="O91" t="s">
        <v>74</v>
      </c>
      <c r="P91" t="s">
        <v>74</v>
      </c>
      <c r="Q91" t="s">
        <v>74</v>
      </c>
      <c r="R91" t="s">
        <v>74</v>
      </c>
      <c r="S91" t="s">
        <v>74</v>
      </c>
      <c r="T91" t="s">
        <v>2006</v>
      </c>
      <c r="U91" t="s">
        <v>2007</v>
      </c>
      <c r="V91" t="s">
        <v>2008</v>
      </c>
      <c r="W91" t="s">
        <v>2009</v>
      </c>
      <c r="X91" t="s">
        <v>2010</v>
      </c>
      <c r="Y91" t="s">
        <v>2011</v>
      </c>
      <c r="Z91" t="s">
        <v>2012</v>
      </c>
      <c r="AA91" t="s">
        <v>1995</v>
      </c>
      <c r="AB91" t="s">
        <v>2013</v>
      </c>
      <c r="AC91" t="s">
        <v>74</v>
      </c>
      <c r="AD91" t="s">
        <v>74</v>
      </c>
      <c r="AE91" t="s">
        <v>74</v>
      </c>
      <c r="AF91" t="s">
        <v>74</v>
      </c>
      <c r="AG91">
        <v>107</v>
      </c>
      <c r="AH91">
        <v>149</v>
      </c>
      <c r="AI91">
        <v>153</v>
      </c>
      <c r="AJ91">
        <v>6</v>
      </c>
      <c r="AK91">
        <v>59</v>
      </c>
      <c r="AL91" t="s">
        <v>397</v>
      </c>
      <c r="AM91" t="s">
        <v>398</v>
      </c>
      <c r="AN91" t="s">
        <v>399</v>
      </c>
      <c r="AO91" t="s">
        <v>1996</v>
      </c>
      <c r="AP91" t="s">
        <v>1997</v>
      </c>
      <c r="AQ91" t="s">
        <v>74</v>
      </c>
      <c r="AR91" t="s">
        <v>1998</v>
      </c>
      <c r="AS91" t="s">
        <v>1999</v>
      </c>
      <c r="AT91" t="s">
        <v>1980</v>
      </c>
      <c r="AU91">
        <v>2015</v>
      </c>
      <c r="AV91">
        <v>383</v>
      </c>
      <c r="AW91" t="s">
        <v>74</v>
      </c>
      <c r="AX91" t="s">
        <v>74</v>
      </c>
      <c r="AY91" t="s">
        <v>74</v>
      </c>
      <c r="AZ91" t="s">
        <v>74</v>
      </c>
      <c r="BA91" t="s">
        <v>74</v>
      </c>
      <c r="BB91">
        <v>174</v>
      </c>
      <c r="BC91">
        <v>185</v>
      </c>
      <c r="BD91" t="s">
        <v>74</v>
      </c>
      <c r="BE91" t="s">
        <v>2014</v>
      </c>
      <c r="BF91" t="str">
        <f>HYPERLINK("http://dx.doi.org/10.1016/j.quaint.2014.06.006","http://dx.doi.org/10.1016/j.quaint.2014.06.006")</f>
        <v>http://dx.doi.org/10.1016/j.quaint.2014.06.006</v>
      </c>
      <c r="BG91" t="s">
        <v>74</v>
      </c>
      <c r="BH91" t="s">
        <v>74</v>
      </c>
      <c r="BI91">
        <v>12</v>
      </c>
      <c r="BJ91" t="s">
        <v>1778</v>
      </c>
      <c r="BK91" t="s">
        <v>101</v>
      </c>
      <c r="BL91" t="s">
        <v>1779</v>
      </c>
      <c r="BM91" t="s">
        <v>2001</v>
      </c>
      <c r="BN91" t="s">
        <v>74</v>
      </c>
      <c r="BO91" t="s">
        <v>559</v>
      </c>
      <c r="BP91" t="s">
        <v>74</v>
      </c>
      <c r="BQ91" t="s">
        <v>74</v>
      </c>
      <c r="BR91" t="s">
        <v>103</v>
      </c>
      <c r="BS91" t="s">
        <v>2015</v>
      </c>
      <c r="BT91" t="str">
        <f>HYPERLINK("https%3A%2F%2Fwww.webofscience.com%2Fwos%2Fwoscc%2Ffull-record%2FWOS:000363125500012","View Full Record in Web of Science")</f>
        <v>View Full Record in Web of Science</v>
      </c>
    </row>
    <row r="92" spans="1:72" x14ac:dyDescent="0.15">
      <c r="A92" t="s">
        <v>72</v>
      </c>
      <c r="B92" t="s">
        <v>2016</v>
      </c>
      <c r="C92" t="s">
        <v>74</v>
      </c>
      <c r="D92" t="s">
        <v>74</v>
      </c>
      <c r="E92" t="s">
        <v>74</v>
      </c>
      <c r="F92" t="s">
        <v>2017</v>
      </c>
      <c r="G92" t="s">
        <v>74</v>
      </c>
      <c r="H92" t="s">
        <v>74</v>
      </c>
      <c r="I92" t="s">
        <v>2018</v>
      </c>
      <c r="J92" t="s">
        <v>2019</v>
      </c>
      <c r="K92" t="s">
        <v>74</v>
      </c>
      <c r="L92" t="s">
        <v>74</v>
      </c>
      <c r="M92" t="s">
        <v>78</v>
      </c>
      <c r="N92" t="s">
        <v>79</v>
      </c>
      <c r="O92" t="s">
        <v>74</v>
      </c>
      <c r="P92" t="s">
        <v>74</v>
      </c>
      <c r="Q92" t="s">
        <v>74</v>
      </c>
      <c r="R92" t="s">
        <v>74</v>
      </c>
      <c r="S92" t="s">
        <v>74</v>
      </c>
      <c r="T92" t="s">
        <v>2020</v>
      </c>
      <c r="U92" t="s">
        <v>2021</v>
      </c>
      <c r="V92" t="s">
        <v>2022</v>
      </c>
      <c r="W92" t="s">
        <v>2023</v>
      </c>
      <c r="X92" t="s">
        <v>2024</v>
      </c>
      <c r="Y92" t="s">
        <v>2025</v>
      </c>
      <c r="Z92" t="s">
        <v>2026</v>
      </c>
      <c r="AA92" t="s">
        <v>2027</v>
      </c>
      <c r="AB92" t="s">
        <v>2028</v>
      </c>
      <c r="AC92" t="s">
        <v>2029</v>
      </c>
      <c r="AD92" t="s">
        <v>2030</v>
      </c>
      <c r="AE92" t="s">
        <v>2031</v>
      </c>
      <c r="AF92" t="s">
        <v>74</v>
      </c>
      <c r="AG92">
        <v>34</v>
      </c>
      <c r="AH92">
        <v>38</v>
      </c>
      <c r="AI92">
        <v>39</v>
      </c>
      <c r="AJ92">
        <v>1</v>
      </c>
      <c r="AK92">
        <v>77</v>
      </c>
      <c r="AL92" t="s">
        <v>496</v>
      </c>
      <c r="AM92" t="s">
        <v>398</v>
      </c>
      <c r="AN92" t="s">
        <v>497</v>
      </c>
      <c r="AO92" t="s">
        <v>2032</v>
      </c>
      <c r="AP92" t="s">
        <v>2033</v>
      </c>
      <c r="AQ92" t="s">
        <v>74</v>
      </c>
      <c r="AR92" t="s">
        <v>2034</v>
      </c>
      <c r="AS92" t="s">
        <v>2035</v>
      </c>
      <c r="AT92" t="s">
        <v>1980</v>
      </c>
      <c r="AU92">
        <v>2015</v>
      </c>
      <c r="AV92">
        <v>130</v>
      </c>
      <c r="AW92" t="s">
        <v>74</v>
      </c>
      <c r="AX92" t="s">
        <v>74</v>
      </c>
      <c r="AY92" t="s">
        <v>74</v>
      </c>
      <c r="AZ92" t="s">
        <v>74</v>
      </c>
      <c r="BA92" t="s">
        <v>74</v>
      </c>
      <c r="BB92">
        <v>97</v>
      </c>
      <c r="BC92">
        <v>103</v>
      </c>
      <c r="BD92" t="s">
        <v>74</v>
      </c>
      <c r="BE92" t="s">
        <v>2036</v>
      </c>
      <c r="BF92" t="str">
        <f>HYPERLINK("http://dx.doi.org/10.1016/j.carbpol.2015.04.070","http://dx.doi.org/10.1016/j.carbpol.2015.04.070")</f>
        <v>http://dx.doi.org/10.1016/j.carbpol.2015.04.070</v>
      </c>
      <c r="BG92" t="s">
        <v>74</v>
      </c>
      <c r="BH92" t="s">
        <v>74</v>
      </c>
      <c r="BI92">
        <v>7</v>
      </c>
      <c r="BJ92" t="s">
        <v>2037</v>
      </c>
      <c r="BK92" t="s">
        <v>101</v>
      </c>
      <c r="BL92" t="s">
        <v>2038</v>
      </c>
      <c r="BM92" t="s">
        <v>2039</v>
      </c>
      <c r="BN92">
        <v>26076605</v>
      </c>
      <c r="BO92" t="s">
        <v>74</v>
      </c>
      <c r="BP92" t="s">
        <v>74</v>
      </c>
      <c r="BQ92" t="s">
        <v>74</v>
      </c>
      <c r="BR92" t="s">
        <v>103</v>
      </c>
      <c r="BS92" t="s">
        <v>2040</v>
      </c>
      <c r="BT92" t="str">
        <f>HYPERLINK("https%3A%2F%2Fwww.webofscience.com%2Fwos%2Fwoscc%2Ffull-record%2FWOS:000357244900012","View Full Record in Web of Science")</f>
        <v>View Full Record in Web of Science</v>
      </c>
    </row>
    <row r="93" spans="1:72" x14ac:dyDescent="0.15">
      <c r="A93" t="s">
        <v>72</v>
      </c>
      <c r="B93" t="s">
        <v>2041</v>
      </c>
      <c r="C93" t="s">
        <v>74</v>
      </c>
      <c r="D93" t="s">
        <v>74</v>
      </c>
      <c r="E93" t="s">
        <v>74</v>
      </c>
      <c r="F93" t="s">
        <v>2042</v>
      </c>
      <c r="G93" t="s">
        <v>74</v>
      </c>
      <c r="H93" t="s">
        <v>74</v>
      </c>
      <c r="I93" t="s">
        <v>2043</v>
      </c>
      <c r="J93" t="s">
        <v>2044</v>
      </c>
      <c r="K93" t="s">
        <v>74</v>
      </c>
      <c r="L93" t="s">
        <v>74</v>
      </c>
      <c r="M93" t="s">
        <v>78</v>
      </c>
      <c r="N93" t="s">
        <v>79</v>
      </c>
      <c r="O93" t="s">
        <v>74</v>
      </c>
      <c r="P93" t="s">
        <v>74</v>
      </c>
      <c r="Q93" t="s">
        <v>74</v>
      </c>
      <c r="R93" t="s">
        <v>74</v>
      </c>
      <c r="S93" t="s">
        <v>74</v>
      </c>
      <c r="T93" t="s">
        <v>2045</v>
      </c>
      <c r="U93" t="s">
        <v>2046</v>
      </c>
      <c r="V93" t="s">
        <v>2047</v>
      </c>
      <c r="W93" t="s">
        <v>2048</v>
      </c>
      <c r="X93" t="s">
        <v>2049</v>
      </c>
      <c r="Y93" t="s">
        <v>2050</v>
      </c>
      <c r="Z93" t="s">
        <v>2051</v>
      </c>
      <c r="AA93" t="s">
        <v>74</v>
      </c>
      <c r="AB93" t="s">
        <v>2052</v>
      </c>
      <c r="AC93" t="s">
        <v>2053</v>
      </c>
      <c r="AD93" t="s">
        <v>2054</v>
      </c>
      <c r="AE93" t="s">
        <v>2055</v>
      </c>
      <c r="AF93" t="s">
        <v>74</v>
      </c>
      <c r="AG93">
        <v>56</v>
      </c>
      <c r="AH93">
        <v>2</v>
      </c>
      <c r="AI93">
        <v>2</v>
      </c>
      <c r="AJ93">
        <v>0</v>
      </c>
      <c r="AK93">
        <v>39</v>
      </c>
      <c r="AL93" t="s">
        <v>2056</v>
      </c>
      <c r="AM93" t="s">
        <v>2057</v>
      </c>
      <c r="AN93" t="s">
        <v>2058</v>
      </c>
      <c r="AO93" t="s">
        <v>2059</v>
      </c>
      <c r="AP93" t="s">
        <v>2060</v>
      </c>
      <c r="AQ93" t="s">
        <v>74</v>
      </c>
      <c r="AR93" t="s">
        <v>2061</v>
      </c>
      <c r="AS93" t="s">
        <v>2062</v>
      </c>
      <c r="AT93" t="s">
        <v>2063</v>
      </c>
      <c r="AU93">
        <v>2015</v>
      </c>
      <c r="AV93">
        <v>41</v>
      </c>
      <c r="AW93">
        <v>7</v>
      </c>
      <c r="AX93" t="s">
        <v>74</v>
      </c>
      <c r="AY93" t="s">
        <v>74</v>
      </c>
      <c r="AZ93" t="s">
        <v>74</v>
      </c>
      <c r="BA93" t="s">
        <v>74</v>
      </c>
      <c r="BB93">
        <v>574</v>
      </c>
      <c r="BC93">
        <v>583</v>
      </c>
      <c r="BD93" t="s">
        <v>74</v>
      </c>
      <c r="BE93" t="s">
        <v>2064</v>
      </c>
      <c r="BF93" t="str">
        <f>HYPERLINK("http://dx.doi.org/10.1080/01647954.2015.1084044","http://dx.doi.org/10.1080/01647954.2015.1084044")</f>
        <v>http://dx.doi.org/10.1080/01647954.2015.1084044</v>
      </c>
      <c r="BG93" t="s">
        <v>74</v>
      </c>
      <c r="BH93" t="s">
        <v>74</v>
      </c>
      <c r="BI93">
        <v>10</v>
      </c>
      <c r="BJ93" t="s">
        <v>2065</v>
      </c>
      <c r="BK93" t="s">
        <v>101</v>
      </c>
      <c r="BL93" t="s">
        <v>2065</v>
      </c>
      <c r="BM93" t="s">
        <v>2066</v>
      </c>
      <c r="BN93" t="s">
        <v>74</v>
      </c>
      <c r="BO93" t="s">
        <v>74</v>
      </c>
      <c r="BP93" t="s">
        <v>74</v>
      </c>
      <c r="BQ93" t="s">
        <v>74</v>
      </c>
      <c r="BR93" t="s">
        <v>103</v>
      </c>
      <c r="BS93" t="s">
        <v>2067</v>
      </c>
      <c r="BT93" t="str">
        <f>HYPERLINK("https%3A%2F%2Fwww.webofscience.com%2Fwos%2Fwoscc%2Ffull-record%2FWOS:000361374700004","View Full Record in Web of Science")</f>
        <v>View Full Record in Web of Science</v>
      </c>
    </row>
    <row r="94" spans="1:72" x14ac:dyDescent="0.15">
      <c r="A94" t="s">
        <v>72</v>
      </c>
      <c r="B94" t="s">
        <v>2068</v>
      </c>
      <c r="C94" t="s">
        <v>74</v>
      </c>
      <c r="D94" t="s">
        <v>74</v>
      </c>
      <c r="E94" t="s">
        <v>74</v>
      </c>
      <c r="F94" t="s">
        <v>2069</v>
      </c>
      <c r="G94" t="s">
        <v>74</v>
      </c>
      <c r="H94" t="s">
        <v>74</v>
      </c>
      <c r="I94" t="s">
        <v>2070</v>
      </c>
      <c r="J94" t="s">
        <v>2071</v>
      </c>
      <c r="K94" t="s">
        <v>74</v>
      </c>
      <c r="L94" t="s">
        <v>74</v>
      </c>
      <c r="M94" t="s">
        <v>78</v>
      </c>
      <c r="N94" t="s">
        <v>79</v>
      </c>
      <c r="O94" t="s">
        <v>74</v>
      </c>
      <c r="P94" t="s">
        <v>74</v>
      </c>
      <c r="Q94" t="s">
        <v>74</v>
      </c>
      <c r="R94" t="s">
        <v>74</v>
      </c>
      <c r="S94" t="s">
        <v>74</v>
      </c>
      <c r="T94" t="s">
        <v>2072</v>
      </c>
      <c r="U94" t="s">
        <v>2073</v>
      </c>
      <c r="V94" t="s">
        <v>2074</v>
      </c>
      <c r="W94" t="s">
        <v>2075</v>
      </c>
      <c r="X94" t="s">
        <v>2076</v>
      </c>
      <c r="Y94" t="s">
        <v>2077</v>
      </c>
      <c r="Z94" t="s">
        <v>2078</v>
      </c>
      <c r="AA94" t="s">
        <v>74</v>
      </c>
      <c r="AB94" t="s">
        <v>74</v>
      </c>
      <c r="AC94" t="s">
        <v>2079</v>
      </c>
      <c r="AD94" t="s">
        <v>2080</v>
      </c>
      <c r="AE94" t="s">
        <v>2081</v>
      </c>
      <c r="AF94" t="s">
        <v>74</v>
      </c>
      <c r="AG94">
        <v>58</v>
      </c>
      <c r="AH94">
        <v>55</v>
      </c>
      <c r="AI94">
        <v>63</v>
      </c>
      <c r="AJ94">
        <v>4</v>
      </c>
      <c r="AK94">
        <v>51</v>
      </c>
      <c r="AL94" t="s">
        <v>1474</v>
      </c>
      <c r="AM94" t="s">
        <v>1475</v>
      </c>
      <c r="AN94" t="s">
        <v>1476</v>
      </c>
      <c r="AO94" t="s">
        <v>2082</v>
      </c>
      <c r="AP94" t="s">
        <v>2083</v>
      </c>
      <c r="AQ94" t="s">
        <v>74</v>
      </c>
      <c r="AR94" t="s">
        <v>2084</v>
      </c>
      <c r="AS94" t="s">
        <v>2085</v>
      </c>
      <c r="AT94" t="s">
        <v>2086</v>
      </c>
      <c r="AU94">
        <v>2015</v>
      </c>
      <c r="AV94">
        <v>8</v>
      </c>
      <c r="AW94">
        <v>4</v>
      </c>
      <c r="AX94" t="s">
        <v>74</v>
      </c>
      <c r="AY94" t="s">
        <v>74</v>
      </c>
      <c r="AZ94" t="s">
        <v>74</v>
      </c>
      <c r="BA94" t="s">
        <v>74</v>
      </c>
      <c r="BB94">
        <v>348</v>
      </c>
      <c r="BC94">
        <v>357</v>
      </c>
      <c r="BD94" t="s">
        <v>74</v>
      </c>
      <c r="BE94" t="s">
        <v>2087</v>
      </c>
      <c r="BF94" t="str">
        <f>HYPERLINK("http://dx.doi.org/10.1080/21553769.2015.1044130","http://dx.doi.org/10.1080/21553769.2015.1044130")</f>
        <v>http://dx.doi.org/10.1080/21553769.2015.1044130</v>
      </c>
      <c r="BG94" t="s">
        <v>74</v>
      </c>
      <c r="BH94" t="s">
        <v>74</v>
      </c>
      <c r="BI94">
        <v>10</v>
      </c>
      <c r="BJ94" t="s">
        <v>530</v>
      </c>
      <c r="BK94" t="s">
        <v>101</v>
      </c>
      <c r="BL94" t="s">
        <v>531</v>
      </c>
      <c r="BM94" t="s">
        <v>2088</v>
      </c>
      <c r="BN94" t="s">
        <v>74</v>
      </c>
      <c r="BO94" t="s">
        <v>162</v>
      </c>
      <c r="BP94" t="s">
        <v>74</v>
      </c>
      <c r="BQ94" t="s">
        <v>74</v>
      </c>
      <c r="BR94" t="s">
        <v>103</v>
      </c>
      <c r="BS94" t="s">
        <v>2089</v>
      </c>
      <c r="BT94" t="str">
        <f>HYPERLINK("https%3A%2F%2Fwww.webofscience.com%2Fwos%2Fwoscc%2Ffull-record%2FWOS:000367797900005","View Full Record in Web of Science")</f>
        <v>View Full Record in Web of Science</v>
      </c>
    </row>
    <row r="95" spans="1:72" x14ac:dyDescent="0.15">
      <c r="A95" t="s">
        <v>72</v>
      </c>
      <c r="B95" t="s">
        <v>2090</v>
      </c>
      <c r="C95" t="s">
        <v>74</v>
      </c>
      <c r="D95" t="s">
        <v>74</v>
      </c>
      <c r="E95" t="s">
        <v>74</v>
      </c>
      <c r="F95" t="s">
        <v>2091</v>
      </c>
      <c r="G95" t="s">
        <v>74</v>
      </c>
      <c r="H95" t="s">
        <v>74</v>
      </c>
      <c r="I95" t="s">
        <v>2092</v>
      </c>
      <c r="J95" t="s">
        <v>2093</v>
      </c>
      <c r="K95" t="s">
        <v>74</v>
      </c>
      <c r="L95" t="s">
        <v>74</v>
      </c>
      <c r="M95" t="s">
        <v>78</v>
      </c>
      <c r="N95" t="s">
        <v>79</v>
      </c>
      <c r="O95" t="s">
        <v>74</v>
      </c>
      <c r="P95" t="s">
        <v>74</v>
      </c>
      <c r="Q95" t="s">
        <v>74</v>
      </c>
      <c r="R95" t="s">
        <v>74</v>
      </c>
      <c r="S95" t="s">
        <v>74</v>
      </c>
      <c r="T95" t="s">
        <v>2094</v>
      </c>
      <c r="U95" t="s">
        <v>2095</v>
      </c>
      <c r="V95" t="s">
        <v>2096</v>
      </c>
      <c r="W95" t="s">
        <v>2097</v>
      </c>
      <c r="X95" t="s">
        <v>2098</v>
      </c>
      <c r="Y95" t="s">
        <v>2099</v>
      </c>
      <c r="Z95" t="s">
        <v>2100</v>
      </c>
      <c r="AA95" t="s">
        <v>2101</v>
      </c>
      <c r="AB95" t="s">
        <v>2102</v>
      </c>
      <c r="AC95" t="s">
        <v>2103</v>
      </c>
      <c r="AD95" t="s">
        <v>2104</v>
      </c>
      <c r="AE95" t="s">
        <v>2105</v>
      </c>
      <c r="AF95" t="s">
        <v>74</v>
      </c>
      <c r="AG95">
        <v>26</v>
      </c>
      <c r="AH95">
        <v>2</v>
      </c>
      <c r="AI95">
        <v>2</v>
      </c>
      <c r="AJ95">
        <v>0</v>
      </c>
      <c r="AK95">
        <v>7</v>
      </c>
      <c r="AL95" t="s">
        <v>1474</v>
      </c>
      <c r="AM95" t="s">
        <v>1475</v>
      </c>
      <c r="AN95" t="s">
        <v>2106</v>
      </c>
      <c r="AO95" t="s">
        <v>2107</v>
      </c>
      <c r="AP95" t="s">
        <v>2108</v>
      </c>
      <c r="AQ95" t="s">
        <v>74</v>
      </c>
      <c r="AR95" t="s">
        <v>2109</v>
      </c>
      <c r="AS95" t="s">
        <v>2110</v>
      </c>
      <c r="AT95" t="s">
        <v>2086</v>
      </c>
      <c r="AU95">
        <v>2015</v>
      </c>
      <c r="AV95">
        <v>53</v>
      </c>
      <c r="AW95">
        <v>4</v>
      </c>
      <c r="AX95" t="s">
        <v>74</v>
      </c>
      <c r="AY95" t="s">
        <v>74</v>
      </c>
      <c r="AZ95" t="s">
        <v>74</v>
      </c>
      <c r="BA95" t="s">
        <v>74</v>
      </c>
      <c r="BB95">
        <v>216</v>
      </c>
      <c r="BC95">
        <v>223</v>
      </c>
      <c r="BD95" t="s">
        <v>74</v>
      </c>
      <c r="BE95" t="s">
        <v>2111</v>
      </c>
      <c r="BF95" t="str">
        <f>HYPERLINK("http://dx.doi.org/10.1080/0028825X.2015.1057185","http://dx.doi.org/10.1080/0028825X.2015.1057185")</f>
        <v>http://dx.doi.org/10.1080/0028825X.2015.1057185</v>
      </c>
      <c r="BG95" t="s">
        <v>74</v>
      </c>
      <c r="BH95" t="s">
        <v>74</v>
      </c>
      <c r="BI95">
        <v>8</v>
      </c>
      <c r="BJ95" t="s">
        <v>429</v>
      </c>
      <c r="BK95" t="s">
        <v>101</v>
      </c>
      <c r="BL95" t="s">
        <v>429</v>
      </c>
      <c r="BM95" t="s">
        <v>2112</v>
      </c>
      <c r="BN95" t="s">
        <v>74</v>
      </c>
      <c r="BO95" t="s">
        <v>908</v>
      </c>
      <c r="BP95" t="s">
        <v>74</v>
      </c>
      <c r="BQ95" t="s">
        <v>74</v>
      </c>
      <c r="BR95" t="s">
        <v>103</v>
      </c>
      <c r="BS95" t="s">
        <v>2113</v>
      </c>
      <c r="BT95" t="str">
        <f>HYPERLINK("https%3A%2F%2Fwww.webofscience.com%2Fwos%2Fwoscc%2Ffull-record%2FWOS:000366811000005","View Full Record in Web of Science")</f>
        <v>View Full Record in Web of Science</v>
      </c>
    </row>
    <row r="96" spans="1:72" x14ac:dyDescent="0.15">
      <c r="A96" t="s">
        <v>72</v>
      </c>
      <c r="B96" t="s">
        <v>2114</v>
      </c>
      <c r="C96" t="s">
        <v>74</v>
      </c>
      <c r="D96" t="s">
        <v>74</v>
      </c>
      <c r="E96" t="s">
        <v>74</v>
      </c>
      <c r="F96" t="s">
        <v>2115</v>
      </c>
      <c r="G96" t="s">
        <v>74</v>
      </c>
      <c r="H96" t="s">
        <v>74</v>
      </c>
      <c r="I96" t="s">
        <v>2116</v>
      </c>
      <c r="J96" t="s">
        <v>2117</v>
      </c>
      <c r="K96" t="s">
        <v>74</v>
      </c>
      <c r="L96" t="s">
        <v>74</v>
      </c>
      <c r="M96" t="s">
        <v>78</v>
      </c>
      <c r="N96" t="s">
        <v>79</v>
      </c>
      <c r="O96" t="s">
        <v>74</v>
      </c>
      <c r="P96" t="s">
        <v>74</v>
      </c>
      <c r="Q96" t="s">
        <v>74</v>
      </c>
      <c r="R96" t="s">
        <v>74</v>
      </c>
      <c r="S96" t="s">
        <v>74</v>
      </c>
      <c r="T96" t="s">
        <v>2118</v>
      </c>
      <c r="U96" t="s">
        <v>74</v>
      </c>
      <c r="V96" t="s">
        <v>2119</v>
      </c>
      <c r="W96" t="s">
        <v>2120</v>
      </c>
      <c r="X96" t="s">
        <v>74</v>
      </c>
      <c r="Y96" t="s">
        <v>2121</v>
      </c>
      <c r="Z96" t="s">
        <v>2122</v>
      </c>
      <c r="AA96" t="s">
        <v>74</v>
      </c>
      <c r="AB96" t="s">
        <v>74</v>
      </c>
      <c r="AC96" t="s">
        <v>74</v>
      </c>
      <c r="AD96" t="s">
        <v>74</v>
      </c>
      <c r="AE96" t="s">
        <v>74</v>
      </c>
      <c r="AF96" t="s">
        <v>74</v>
      </c>
      <c r="AG96">
        <v>54</v>
      </c>
      <c r="AH96">
        <v>6</v>
      </c>
      <c r="AI96">
        <v>7</v>
      </c>
      <c r="AJ96">
        <v>4</v>
      </c>
      <c r="AK96">
        <v>18</v>
      </c>
      <c r="AL96" t="s">
        <v>1474</v>
      </c>
      <c r="AM96" t="s">
        <v>1475</v>
      </c>
      <c r="AN96" t="s">
        <v>2106</v>
      </c>
      <c r="AO96" t="s">
        <v>2123</v>
      </c>
      <c r="AP96" t="s">
        <v>2124</v>
      </c>
      <c r="AQ96" t="s">
        <v>74</v>
      </c>
      <c r="AR96" t="s">
        <v>2125</v>
      </c>
      <c r="AS96" t="s">
        <v>2126</v>
      </c>
      <c r="AT96" t="s">
        <v>2086</v>
      </c>
      <c r="AU96">
        <v>2015</v>
      </c>
      <c r="AV96">
        <v>49</v>
      </c>
      <c r="AW96">
        <v>4</v>
      </c>
      <c r="AX96" t="s">
        <v>74</v>
      </c>
      <c r="AY96" t="s">
        <v>74</v>
      </c>
      <c r="AZ96" t="s">
        <v>74</v>
      </c>
      <c r="BA96" t="s">
        <v>74</v>
      </c>
      <c r="BB96">
        <v>448</v>
      </c>
      <c r="BC96">
        <v>461</v>
      </c>
      <c r="BD96" t="s">
        <v>74</v>
      </c>
      <c r="BE96" t="s">
        <v>2127</v>
      </c>
      <c r="BF96" t="str">
        <f>HYPERLINK("http://dx.doi.org/10.1080/00288330.2015.1080173","http://dx.doi.org/10.1080/00288330.2015.1080173")</f>
        <v>http://dx.doi.org/10.1080/00288330.2015.1080173</v>
      </c>
      <c r="BG96" t="s">
        <v>74</v>
      </c>
      <c r="BH96" t="s">
        <v>74</v>
      </c>
      <c r="BI96">
        <v>14</v>
      </c>
      <c r="BJ96" t="s">
        <v>2128</v>
      </c>
      <c r="BK96" t="s">
        <v>101</v>
      </c>
      <c r="BL96" t="s">
        <v>2128</v>
      </c>
      <c r="BM96" t="s">
        <v>2129</v>
      </c>
      <c r="BN96" t="s">
        <v>74</v>
      </c>
      <c r="BO96" t="s">
        <v>162</v>
      </c>
      <c r="BP96" t="s">
        <v>74</v>
      </c>
      <c r="BQ96" t="s">
        <v>74</v>
      </c>
      <c r="BR96" t="s">
        <v>103</v>
      </c>
      <c r="BS96" t="s">
        <v>2130</v>
      </c>
      <c r="BT96" t="str">
        <f>HYPERLINK("https%3A%2F%2Fwww.webofscience.com%2Fwos%2Fwoscc%2Ffull-record%2FWOS:000366612700004","View Full Record in Web of Science")</f>
        <v>View Full Record in Web of Science</v>
      </c>
    </row>
    <row r="97" spans="1:72" x14ac:dyDescent="0.15">
      <c r="A97" t="s">
        <v>72</v>
      </c>
      <c r="B97" t="s">
        <v>2131</v>
      </c>
      <c r="C97" t="s">
        <v>74</v>
      </c>
      <c r="D97" t="s">
        <v>74</v>
      </c>
      <c r="E97" t="s">
        <v>74</v>
      </c>
      <c r="F97" t="s">
        <v>2132</v>
      </c>
      <c r="G97" t="s">
        <v>74</v>
      </c>
      <c r="H97" t="s">
        <v>74</v>
      </c>
      <c r="I97" t="s">
        <v>2133</v>
      </c>
      <c r="J97" t="s">
        <v>2134</v>
      </c>
      <c r="K97" t="s">
        <v>74</v>
      </c>
      <c r="L97" t="s">
        <v>74</v>
      </c>
      <c r="M97" t="s">
        <v>78</v>
      </c>
      <c r="N97" t="s">
        <v>79</v>
      </c>
      <c r="O97" t="s">
        <v>74</v>
      </c>
      <c r="P97" t="s">
        <v>74</v>
      </c>
      <c r="Q97" t="s">
        <v>74</v>
      </c>
      <c r="R97" t="s">
        <v>74</v>
      </c>
      <c r="S97" t="s">
        <v>74</v>
      </c>
      <c r="T97" t="s">
        <v>2135</v>
      </c>
      <c r="U97" t="s">
        <v>2136</v>
      </c>
      <c r="V97" t="s">
        <v>2137</v>
      </c>
      <c r="W97" t="s">
        <v>2138</v>
      </c>
      <c r="X97" t="s">
        <v>2139</v>
      </c>
      <c r="Y97" t="s">
        <v>2140</v>
      </c>
      <c r="Z97" t="s">
        <v>2141</v>
      </c>
      <c r="AA97" t="s">
        <v>74</v>
      </c>
      <c r="AB97" t="s">
        <v>2142</v>
      </c>
      <c r="AC97" t="s">
        <v>2143</v>
      </c>
      <c r="AD97" t="s">
        <v>2143</v>
      </c>
      <c r="AE97" t="s">
        <v>2144</v>
      </c>
      <c r="AF97" t="s">
        <v>74</v>
      </c>
      <c r="AG97">
        <v>65</v>
      </c>
      <c r="AH97">
        <v>3</v>
      </c>
      <c r="AI97">
        <v>3</v>
      </c>
      <c r="AJ97">
        <v>0</v>
      </c>
      <c r="AK97">
        <v>8</v>
      </c>
      <c r="AL97" t="s">
        <v>1474</v>
      </c>
      <c r="AM97" t="s">
        <v>1475</v>
      </c>
      <c r="AN97" t="s">
        <v>1476</v>
      </c>
      <c r="AO97" t="s">
        <v>2145</v>
      </c>
      <c r="AP97" t="s">
        <v>2146</v>
      </c>
      <c r="AQ97" t="s">
        <v>74</v>
      </c>
      <c r="AR97" t="s">
        <v>2134</v>
      </c>
      <c r="AS97" t="s">
        <v>2147</v>
      </c>
      <c r="AT97" t="s">
        <v>2086</v>
      </c>
      <c r="AU97">
        <v>2015</v>
      </c>
      <c r="AV97">
        <v>39</v>
      </c>
      <c r="AW97">
        <v>4</v>
      </c>
      <c r="AX97" t="s">
        <v>74</v>
      </c>
      <c r="AY97" t="s">
        <v>74</v>
      </c>
      <c r="AZ97" t="s">
        <v>74</v>
      </c>
      <c r="BA97" t="s">
        <v>74</v>
      </c>
      <c r="BB97">
        <v>465</v>
      </c>
      <c r="BC97">
        <v>476</v>
      </c>
      <c r="BD97" t="s">
        <v>74</v>
      </c>
      <c r="BE97" t="s">
        <v>2148</v>
      </c>
      <c r="BF97" t="str">
        <f>HYPERLINK("http://dx.doi.org/10.1080/03115518.2015.1029734","http://dx.doi.org/10.1080/03115518.2015.1029734")</f>
        <v>http://dx.doi.org/10.1080/03115518.2015.1029734</v>
      </c>
      <c r="BG97" t="s">
        <v>74</v>
      </c>
      <c r="BH97" t="s">
        <v>74</v>
      </c>
      <c r="BI97">
        <v>12</v>
      </c>
      <c r="BJ97" t="s">
        <v>2149</v>
      </c>
      <c r="BK97" t="s">
        <v>101</v>
      </c>
      <c r="BL97" t="s">
        <v>2149</v>
      </c>
      <c r="BM97" t="s">
        <v>2150</v>
      </c>
      <c r="BN97" t="s">
        <v>74</v>
      </c>
      <c r="BO97" t="s">
        <v>74</v>
      </c>
      <c r="BP97" t="s">
        <v>74</v>
      </c>
      <c r="BQ97" t="s">
        <v>74</v>
      </c>
      <c r="BR97" t="s">
        <v>103</v>
      </c>
      <c r="BS97" t="s">
        <v>2151</v>
      </c>
      <c r="BT97" t="str">
        <f>HYPERLINK("https%3A%2F%2Fwww.webofscience.com%2Fwos%2Fwoscc%2Ffull-record%2FWOS:000362718200004","View Full Record in Web of Science")</f>
        <v>View Full Record in Web of Science</v>
      </c>
    </row>
    <row r="98" spans="1:72" x14ac:dyDescent="0.15">
      <c r="A98" t="s">
        <v>72</v>
      </c>
      <c r="B98" t="s">
        <v>2152</v>
      </c>
      <c r="C98" t="s">
        <v>74</v>
      </c>
      <c r="D98" t="s">
        <v>74</v>
      </c>
      <c r="E98" t="s">
        <v>74</v>
      </c>
      <c r="F98" t="s">
        <v>2153</v>
      </c>
      <c r="G98" t="s">
        <v>74</v>
      </c>
      <c r="H98" t="s">
        <v>74</v>
      </c>
      <c r="I98" t="s">
        <v>2154</v>
      </c>
      <c r="J98" t="s">
        <v>2155</v>
      </c>
      <c r="K98" t="s">
        <v>74</v>
      </c>
      <c r="L98" t="s">
        <v>74</v>
      </c>
      <c r="M98" t="s">
        <v>78</v>
      </c>
      <c r="N98" t="s">
        <v>79</v>
      </c>
      <c r="O98" t="s">
        <v>74</v>
      </c>
      <c r="P98" t="s">
        <v>74</v>
      </c>
      <c r="Q98" t="s">
        <v>74</v>
      </c>
      <c r="R98" t="s">
        <v>74</v>
      </c>
      <c r="S98" t="s">
        <v>74</v>
      </c>
      <c r="T98" t="s">
        <v>2156</v>
      </c>
      <c r="U98" t="s">
        <v>2157</v>
      </c>
      <c r="V98" t="s">
        <v>2158</v>
      </c>
      <c r="W98" t="s">
        <v>2159</v>
      </c>
      <c r="X98" t="s">
        <v>2160</v>
      </c>
      <c r="Y98" t="s">
        <v>2161</v>
      </c>
      <c r="Z98" t="s">
        <v>2162</v>
      </c>
      <c r="AA98" t="s">
        <v>74</v>
      </c>
      <c r="AB98" t="s">
        <v>74</v>
      </c>
      <c r="AC98" t="s">
        <v>74</v>
      </c>
      <c r="AD98" t="s">
        <v>74</v>
      </c>
      <c r="AE98" t="s">
        <v>74</v>
      </c>
      <c r="AF98" t="s">
        <v>74</v>
      </c>
      <c r="AG98">
        <v>25</v>
      </c>
      <c r="AH98">
        <v>0</v>
      </c>
      <c r="AI98">
        <v>0</v>
      </c>
      <c r="AJ98">
        <v>0</v>
      </c>
      <c r="AK98">
        <v>1</v>
      </c>
      <c r="AL98" t="s">
        <v>2163</v>
      </c>
      <c r="AM98" t="s">
        <v>2164</v>
      </c>
      <c r="AN98" t="s">
        <v>2165</v>
      </c>
      <c r="AO98" t="s">
        <v>2166</v>
      </c>
      <c r="AP98" t="s">
        <v>2167</v>
      </c>
      <c r="AQ98" t="s">
        <v>74</v>
      </c>
      <c r="AR98" t="s">
        <v>2168</v>
      </c>
      <c r="AS98" t="s">
        <v>2169</v>
      </c>
      <c r="AT98" t="s">
        <v>2170</v>
      </c>
      <c r="AU98">
        <v>2015</v>
      </c>
      <c r="AV98">
        <v>44</v>
      </c>
      <c r="AW98">
        <v>10</v>
      </c>
      <c r="AX98" t="s">
        <v>74</v>
      </c>
      <c r="AY98" t="s">
        <v>74</v>
      </c>
      <c r="AZ98" t="s">
        <v>74</v>
      </c>
      <c r="BA98" t="s">
        <v>74</v>
      </c>
      <c r="BB98">
        <v>1608</v>
      </c>
      <c r="BC98">
        <v>1612</v>
      </c>
      <c r="BD98" t="s">
        <v>74</v>
      </c>
      <c r="BE98" t="s">
        <v>74</v>
      </c>
      <c r="BF98" t="s">
        <v>74</v>
      </c>
      <c r="BG98" t="s">
        <v>74</v>
      </c>
      <c r="BH98" t="s">
        <v>74</v>
      </c>
      <c r="BI98">
        <v>5</v>
      </c>
      <c r="BJ98" t="s">
        <v>339</v>
      </c>
      <c r="BK98" t="s">
        <v>101</v>
      </c>
      <c r="BL98" t="s">
        <v>339</v>
      </c>
      <c r="BM98" t="s">
        <v>2171</v>
      </c>
      <c r="BN98" t="s">
        <v>74</v>
      </c>
      <c r="BO98" t="s">
        <v>74</v>
      </c>
      <c r="BP98" t="s">
        <v>74</v>
      </c>
      <c r="BQ98" t="s">
        <v>74</v>
      </c>
      <c r="BR98" t="s">
        <v>103</v>
      </c>
      <c r="BS98" t="s">
        <v>2172</v>
      </c>
      <c r="BT98" t="str">
        <f>HYPERLINK("https%3A%2F%2Fwww.webofscience.com%2Fwos%2Fwoscc%2Ffull-record%2FWOS:000379451200018","View Full Record in Web of Science")</f>
        <v>View Full Record in Web of Science</v>
      </c>
    </row>
    <row r="99" spans="1:72" x14ac:dyDescent="0.15">
      <c r="A99" t="s">
        <v>72</v>
      </c>
      <c r="B99" t="s">
        <v>2173</v>
      </c>
      <c r="C99" t="s">
        <v>74</v>
      </c>
      <c r="D99" t="s">
        <v>74</v>
      </c>
      <c r="E99" t="s">
        <v>74</v>
      </c>
      <c r="F99" t="s">
        <v>2174</v>
      </c>
      <c r="G99" t="s">
        <v>74</v>
      </c>
      <c r="H99" t="s">
        <v>74</v>
      </c>
      <c r="I99" t="s">
        <v>2175</v>
      </c>
      <c r="J99" t="s">
        <v>2176</v>
      </c>
      <c r="K99" t="s">
        <v>74</v>
      </c>
      <c r="L99" t="s">
        <v>74</v>
      </c>
      <c r="M99" t="s">
        <v>78</v>
      </c>
      <c r="N99" t="s">
        <v>79</v>
      </c>
      <c r="O99" t="s">
        <v>74</v>
      </c>
      <c r="P99" t="s">
        <v>74</v>
      </c>
      <c r="Q99" t="s">
        <v>74</v>
      </c>
      <c r="R99" t="s">
        <v>74</v>
      </c>
      <c r="S99" t="s">
        <v>74</v>
      </c>
      <c r="T99" t="s">
        <v>2177</v>
      </c>
      <c r="U99" t="s">
        <v>2178</v>
      </c>
      <c r="V99" t="s">
        <v>2179</v>
      </c>
      <c r="W99" t="s">
        <v>2180</v>
      </c>
      <c r="X99" t="s">
        <v>2181</v>
      </c>
      <c r="Y99" t="s">
        <v>2182</v>
      </c>
      <c r="Z99" t="s">
        <v>2183</v>
      </c>
      <c r="AA99" t="s">
        <v>2184</v>
      </c>
      <c r="AB99" t="s">
        <v>2185</v>
      </c>
      <c r="AC99" t="s">
        <v>2186</v>
      </c>
      <c r="AD99" t="s">
        <v>2187</v>
      </c>
      <c r="AE99" t="s">
        <v>2188</v>
      </c>
      <c r="AF99" t="s">
        <v>74</v>
      </c>
      <c r="AG99">
        <v>56</v>
      </c>
      <c r="AH99">
        <v>18</v>
      </c>
      <c r="AI99">
        <v>26</v>
      </c>
      <c r="AJ99">
        <v>0</v>
      </c>
      <c r="AK99">
        <v>6</v>
      </c>
      <c r="AL99" t="s">
        <v>2189</v>
      </c>
      <c r="AM99" t="s">
        <v>2190</v>
      </c>
      <c r="AN99" t="s">
        <v>2191</v>
      </c>
      <c r="AO99" t="s">
        <v>2192</v>
      </c>
      <c r="AP99" t="s">
        <v>2193</v>
      </c>
      <c r="AQ99" t="s">
        <v>74</v>
      </c>
      <c r="AR99" t="s">
        <v>2194</v>
      </c>
      <c r="AS99" t="s">
        <v>2195</v>
      </c>
      <c r="AT99" t="s">
        <v>2196</v>
      </c>
      <c r="AU99">
        <v>2015</v>
      </c>
      <c r="AV99">
        <v>101</v>
      </c>
      <c r="AW99">
        <v>4</v>
      </c>
      <c r="AX99" t="s">
        <v>74</v>
      </c>
      <c r="AY99" t="s">
        <v>74</v>
      </c>
      <c r="AZ99" t="s">
        <v>74</v>
      </c>
      <c r="BA99" t="s">
        <v>74</v>
      </c>
      <c r="BB99">
        <v>315</v>
      </c>
      <c r="BC99">
        <v>324</v>
      </c>
      <c r="BD99" t="s">
        <v>74</v>
      </c>
      <c r="BE99" t="s">
        <v>2197</v>
      </c>
      <c r="BF99" t="str">
        <f>HYPERLINK("http://dx.doi.org/10.1016/j.annpal.2015.10.002","http://dx.doi.org/10.1016/j.annpal.2015.10.002")</f>
        <v>http://dx.doi.org/10.1016/j.annpal.2015.10.002</v>
      </c>
      <c r="BG99" t="s">
        <v>74</v>
      </c>
      <c r="BH99" t="s">
        <v>74</v>
      </c>
      <c r="BI99">
        <v>10</v>
      </c>
      <c r="BJ99" t="s">
        <v>2149</v>
      </c>
      <c r="BK99" t="s">
        <v>101</v>
      </c>
      <c r="BL99" t="s">
        <v>2149</v>
      </c>
      <c r="BM99" t="s">
        <v>2198</v>
      </c>
      <c r="BN99" t="s">
        <v>74</v>
      </c>
      <c r="BO99" t="s">
        <v>1213</v>
      </c>
      <c r="BP99" t="s">
        <v>74</v>
      </c>
      <c r="BQ99" t="s">
        <v>74</v>
      </c>
      <c r="BR99" t="s">
        <v>103</v>
      </c>
      <c r="BS99" t="s">
        <v>2199</v>
      </c>
      <c r="BT99" t="str">
        <f>HYPERLINK("https%3A%2F%2Fwww.webofscience.com%2Fwos%2Fwoscc%2Ffull-record%2FWOS:000375731500005","View Full Record in Web of Science")</f>
        <v>View Full Record in Web of Science</v>
      </c>
    </row>
    <row r="100" spans="1:72" x14ac:dyDescent="0.15">
      <c r="A100" t="s">
        <v>72</v>
      </c>
      <c r="B100" t="s">
        <v>2200</v>
      </c>
      <c r="C100" t="s">
        <v>74</v>
      </c>
      <c r="D100" t="s">
        <v>74</v>
      </c>
      <c r="E100" t="s">
        <v>74</v>
      </c>
      <c r="F100" t="s">
        <v>2201</v>
      </c>
      <c r="G100" t="s">
        <v>74</v>
      </c>
      <c r="H100" t="s">
        <v>74</v>
      </c>
      <c r="I100" t="s">
        <v>2202</v>
      </c>
      <c r="J100" t="s">
        <v>2203</v>
      </c>
      <c r="K100" t="s">
        <v>74</v>
      </c>
      <c r="L100" t="s">
        <v>74</v>
      </c>
      <c r="M100" t="s">
        <v>2204</v>
      </c>
      <c r="N100" t="s">
        <v>79</v>
      </c>
      <c r="O100" t="s">
        <v>74</v>
      </c>
      <c r="P100" t="s">
        <v>74</v>
      </c>
      <c r="Q100" t="s">
        <v>74</v>
      </c>
      <c r="R100" t="s">
        <v>74</v>
      </c>
      <c r="S100" t="s">
        <v>74</v>
      </c>
      <c r="T100" t="s">
        <v>2205</v>
      </c>
      <c r="U100" t="s">
        <v>74</v>
      </c>
      <c r="V100" t="s">
        <v>2206</v>
      </c>
      <c r="W100" t="s">
        <v>2207</v>
      </c>
      <c r="X100" t="s">
        <v>2208</v>
      </c>
      <c r="Y100" t="s">
        <v>2209</v>
      </c>
      <c r="Z100" t="s">
        <v>2210</v>
      </c>
      <c r="AA100" t="s">
        <v>74</v>
      </c>
      <c r="AB100" t="s">
        <v>74</v>
      </c>
      <c r="AC100" t="s">
        <v>74</v>
      </c>
      <c r="AD100" t="s">
        <v>74</v>
      </c>
      <c r="AE100" t="s">
        <v>74</v>
      </c>
      <c r="AF100" t="s">
        <v>74</v>
      </c>
      <c r="AG100">
        <v>19</v>
      </c>
      <c r="AH100">
        <v>0</v>
      </c>
      <c r="AI100">
        <v>0</v>
      </c>
      <c r="AJ100">
        <v>0</v>
      </c>
      <c r="AK100">
        <v>0</v>
      </c>
      <c r="AL100" t="s">
        <v>2211</v>
      </c>
      <c r="AM100" t="s">
        <v>2212</v>
      </c>
      <c r="AN100" t="s">
        <v>2213</v>
      </c>
      <c r="AO100" t="s">
        <v>2214</v>
      </c>
      <c r="AP100" t="s">
        <v>74</v>
      </c>
      <c r="AQ100" t="s">
        <v>74</v>
      </c>
      <c r="AR100" t="s">
        <v>2215</v>
      </c>
      <c r="AS100" t="s">
        <v>2216</v>
      </c>
      <c r="AT100" t="s">
        <v>2196</v>
      </c>
      <c r="AU100">
        <v>2015</v>
      </c>
      <c r="AV100">
        <v>6</v>
      </c>
      <c r="AW100">
        <v>4</v>
      </c>
      <c r="AX100" t="s">
        <v>74</v>
      </c>
      <c r="AY100" t="s">
        <v>74</v>
      </c>
      <c r="AZ100" t="s">
        <v>74</v>
      </c>
      <c r="BA100" t="s">
        <v>74</v>
      </c>
      <c r="BB100">
        <v>188</v>
      </c>
      <c r="BC100">
        <v>202</v>
      </c>
      <c r="BD100" t="s">
        <v>74</v>
      </c>
      <c r="BE100" t="s">
        <v>74</v>
      </c>
      <c r="BF100" t="s">
        <v>74</v>
      </c>
      <c r="BG100" t="s">
        <v>74</v>
      </c>
      <c r="BH100" t="s">
        <v>74</v>
      </c>
      <c r="BI100">
        <v>15</v>
      </c>
      <c r="BJ100" t="s">
        <v>2217</v>
      </c>
      <c r="BK100" t="s">
        <v>831</v>
      </c>
      <c r="BL100" t="s">
        <v>2217</v>
      </c>
      <c r="BM100" t="s">
        <v>2218</v>
      </c>
      <c r="BN100" t="s">
        <v>74</v>
      </c>
      <c r="BO100" t="s">
        <v>74</v>
      </c>
      <c r="BP100" t="s">
        <v>74</v>
      </c>
      <c r="BQ100" t="s">
        <v>74</v>
      </c>
      <c r="BR100" t="s">
        <v>103</v>
      </c>
      <c r="BS100" t="s">
        <v>2219</v>
      </c>
      <c r="BT100" t="str">
        <f>HYPERLINK("https%3A%2F%2Fwww.webofscience.com%2Fwos%2Fwoscc%2Ffull-record%2FWOS:000372443200001","View Full Record in Web of Science")</f>
        <v>View Full Record in Web of Science</v>
      </c>
    </row>
    <row r="101" spans="1:72" x14ac:dyDescent="0.15">
      <c r="A101" t="s">
        <v>72</v>
      </c>
      <c r="B101" t="s">
        <v>2220</v>
      </c>
      <c r="C101" t="s">
        <v>74</v>
      </c>
      <c r="D101" t="s">
        <v>74</v>
      </c>
      <c r="E101" t="s">
        <v>74</v>
      </c>
      <c r="F101" t="s">
        <v>2221</v>
      </c>
      <c r="G101" t="s">
        <v>74</v>
      </c>
      <c r="H101" t="s">
        <v>74</v>
      </c>
      <c r="I101" t="s">
        <v>2222</v>
      </c>
      <c r="J101" t="s">
        <v>2223</v>
      </c>
      <c r="K101" t="s">
        <v>74</v>
      </c>
      <c r="L101" t="s">
        <v>74</v>
      </c>
      <c r="M101" t="s">
        <v>78</v>
      </c>
      <c r="N101" t="s">
        <v>581</v>
      </c>
      <c r="O101" t="s">
        <v>74</v>
      </c>
      <c r="P101" t="s">
        <v>74</v>
      </c>
      <c r="Q101" t="s">
        <v>74</v>
      </c>
      <c r="R101" t="s">
        <v>74</v>
      </c>
      <c r="S101" t="s">
        <v>74</v>
      </c>
      <c r="T101" t="s">
        <v>2224</v>
      </c>
      <c r="U101" t="s">
        <v>2225</v>
      </c>
      <c r="V101" t="s">
        <v>2226</v>
      </c>
      <c r="W101" t="s">
        <v>2227</v>
      </c>
      <c r="X101" t="s">
        <v>2228</v>
      </c>
      <c r="Y101" t="s">
        <v>2229</v>
      </c>
      <c r="Z101" t="s">
        <v>2230</v>
      </c>
      <c r="AA101" t="s">
        <v>2231</v>
      </c>
      <c r="AB101" t="s">
        <v>2232</v>
      </c>
      <c r="AC101" t="s">
        <v>2233</v>
      </c>
      <c r="AD101" t="s">
        <v>2234</v>
      </c>
      <c r="AE101" t="s">
        <v>2235</v>
      </c>
      <c r="AF101" t="s">
        <v>74</v>
      </c>
      <c r="AG101">
        <v>113</v>
      </c>
      <c r="AH101">
        <v>47</v>
      </c>
      <c r="AI101">
        <v>55</v>
      </c>
      <c r="AJ101">
        <v>6</v>
      </c>
      <c r="AK101">
        <v>55</v>
      </c>
      <c r="AL101" t="s">
        <v>208</v>
      </c>
      <c r="AM101" t="s">
        <v>209</v>
      </c>
      <c r="AN101" t="s">
        <v>210</v>
      </c>
      <c r="AO101" t="s">
        <v>2236</v>
      </c>
      <c r="AP101" t="s">
        <v>2237</v>
      </c>
      <c r="AQ101" t="s">
        <v>74</v>
      </c>
      <c r="AR101" t="s">
        <v>2238</v>
      </c>
      <c r="AS101" t="s">
        <v>2239</v>
      </c>
      <c r="AT101" t="s">
        <v>2170</v>
      </c>
      <c r="AU101">
        <v>2015</v>
      </c>
      <c r="AV101">
        <v>45</v>
      </c>
      <c r="AW101">
        <v>4</v>
      </c>
      <c r="AX101" t="s">
        <v>74</v>
      </c>
      <c r="AY101" t="s">
        <v>74</v>
      </c>
      <c r="AZ101" t="s">
        <v>74</v>
      </c>
      <c r="BA101" t="s">
        <v>74</v>
      </c>
      <c r="BB101">
        <v>197</v>
      </c>
      <c r="BC101">
        <v>214</v>
      </c>
      <c r="BD101" t="s">
        <v>74</v>
      </c>
      <c r="BE101" t="s">
        <v>2240</v>
      </c>
      <c r="BF101" t="str">
        <f>HYPERLINK("http://dx.doi.org/10.1111/mam.12048","http://dx.doi.org/10.1111/mam.12048")</f>
        <v>http://dx.doi.org/10.1111/mam.12048</v>
      </c>
      <c r="BG101" t="s">
        <v>74</v>
      </c>
      <c r="BH101" t="s">
        <v>74</v>
      </c>
      <c r="BI101">
        <v>18</v>
      </c>
      <c r="BJ101" t="s">
        <v>216</v>
      </c>
      <c r="BK101" t="s">
        <v>101</v>
      </c>
      <c r="BL101" t="s">
        <v>217</v>
      </c>
      <c r="BM101" t="s">
        <v>2241</v>
      </c>
      <c r="BN101" t="s">
        <v>74</v>
      </c>
      <c r="BO101" t="s">
        <v>74</v>
      </c>
      <c r="BP101" t="s">
        <v>74</v>
      </c>
      <c r="BQ101" t="s">
        <v>74</v>
      </c>
      <c r="BR101" t="s">
        <v>103</v>
      </c>
      <c r="BS101" t="s">
        <v>2242</v>
      </c>
      <c r="BT101" t="str">
        <f>HYPERLINK("https%3A%2F%2Fwww.webofscience.com%2Fwos%2Fwoscc%2Ffull-record%2FWOS:000368509700001","View Full Record in Web of Science")</f>
        <v>View Full Record in Web of Science</v>
      </c>
    </row>
    <row r="102" spans="1:72" x14ac:dyDescent="0.15">
      <c r="A102" t="s">
        <v>72</v>
      </c>
      <c r="B102" t="s">
        <v>2243</v>
      </c>
      <c r="C102" t="s">
        <v>74</v>
      </c>
      <c r="D102" t="s">
        <v>74</v>
      </c>
      <c r="E102" t="s">
        <v>74</v>
      </c>
      <c r="F102" t="s">
        <v>2244</v>
      </c>
      <c r="G102" t="s">
        <v>74</v>
      </c>
      <c r="H102" t="s">
        <v>74</v>
      </c>
      <c r="I102" t="s">
        <v>2245</v>
      </c>
      <c r="J102" t="s">
        <v>2246</v>
      </c>
      <c r="K102" t="s">
        <v>74</v>
      </c>
      <c r="L102" t="s">
        <v>74</v>
      </c>
      <c r="M102" t="s">
        <v>78</v>
      </c>
      <c r="N102" t="s">
        <v>79</v>
      </c>
      <c r="O102" t="s">
        <v>74</v>
      </c>
      <c r="P102" t="s">
        <v>74</v>
      </c>
      <c r="Q102" t="s">
        <v>74</v>
      </c>
      <c r="R102" t="s">
        <v>74</v>
      </c>
      <c r="S102" t="s">
        <v>74</v>
      </c>
      <c r="T102" t="s">
        <v>2247</v>
      </c>
      <c r="U102" t="s">
        <v>2248</v>
      </c>
      <c r="V102" t="s">
        <v>2249</v>
      </c>
      <c r="W102" t="s">
        <v>2250</v>
      </c>
      <c r="X102" t="s">
        <v>2251</v>
      </c>
      <c r="Y102" t="s">
        <v>2252</v>
      </c>
      <c r="Z102" t="s">
        <v>2253</v>
      </c>
      <c r="AA102" t="s">
        <v>74</v>
      </c>
      <c r="AB102" t="s">
        <v>74</v>
      </c>
      <c r="AC102" t="s">
        <v>2254</v>
      </c>
      <c r="AD102" t="s">
        <v>2255</v>
      </c>
      <c r="AE102" t="s">
        <v>2256</v>
      </c>
      <c r="AF102" t="s">
        <v>74</v>
      </c>
      <c r="AG102">
        <v>71</v>
      </c>
      <c r="AH102">
        <v>18</v>
      </c>
      <c r="AI102">
        <v>18</v>
      </c>
      <c r="AJ102">
        <v>1</v>
      </c>
      <c r="AK102">
        <v>16</v>
      </c>
      <c r="AL102" t="s">
        <v>2257</v>
      </c>
      <c r="AM102" t="s">
        <v>2258</v>
      </c>
      <c r="AN102" t="s">
        <v>2259</v>
      </c>
      <c r="AO102" t="s">
        <v>2260</v>
      </c>
      <c r="AP102" t="s">
        <v>74</v>
      </c>
      <c r="AQ102" t="s">
        <v>74</v>
      </c>
      <c r="AR102" t="s">
        <v>2246</v>
      </c>
      <c r="AS102" t="s">
        <v>2261</v>
      </c>
      <c r="AT102" t="s">
        <v>2196</v>
      </c>
      <c r="AU102">
        <v>2015</v>
      </c>
      <c r="AV102">
        <v>69</v>
      </c>
      <c r="AW102">
        <v>4</v>
      </c>
      <c r="AX102" t="s">
        <v>74</v>
      </c>
      <c r="AY102" t="s">
        <v>74</v>
      </c>
      <c r="AZ102" t="s">
        <v>74</v>
      </c>
      <c r="BA102" t="s">
        <v>74</v>
      </c>
      <c r="BB102">
        <v>341</v>
      </c>
      <c r="BC102">
        <v>363</v>
      </c>
      <c r="BD102" t="s">
        <v>74</v>
      </c>
      <c r="BE102" t="s">
        <v>2262</v>
      </c>
      <c r="BF102" t="str">
        <f>HYPERLINK("http://dx.doi.org/10.3112/erdkunde.2015.04.04","http://dx.doi.org/10.3112/erdkunde.2015.04.04")</f>
        <v>http://dx.doi.org/10.3112/erdkunde.2015.04.04</v>
      </c>
      <c r="BG102" t="s">
        <v>74</v>
      </c>
      <c r="BH102" t="s">
        <v>74</v>
      </c>
      <c r="BI102">
        <v>23</v>
      </c>
      <c r="BJ102" t="s">
        <v>1481</v>
      </c>
      <c r="BK102" t="s">
        <v>1482</v>
      </c>
      <c r="BL102" t="s">
        <v>1483</v>
      </c>
      <c r="BM102" t="s">
        <v>2263</v>
      </c>
      <c r="BN102" t="s">
        <v>74</v>
      </c>
      <c r="BO102" t="s">
        <v>74</v>
      </c>
      <c r="BP102" t="s">
        <v>74</v>
      </c>
      <c r="BQ102" t="s">
        <v>74</v>
      </c>
      <c r="BR102" t="s">
        <v>103</v>
      </c>
      <c r="BS102" t="s">
        <v>2264</v>
      </c>
      <c r="BT102" t="str">
        <f>HYPERLINK("https%3A%2F%2Fwww.webofscience.com%2Fwos%2Fwoscc%2Ffull-record%2FWOS:000367471000004","View Full Record in Web of Science")</f>
        <v>View Full Record in Web of Science</v>
      </c>
    </row>
    <row r="103" spans="1:72" x14ac:dyDescent="0.15">
      <c r="A103" t="s">
        <v>72</v>
      </c>
      <c r="B103" t="s">
        <v>2265</v>
      </c>
      <c r="C103" t="s">
        <v>74</v>
      </c>
      <c r="D103" t="s">
        <v>74</v>
      </c>
      <c r="E103" t="s">
        <v>74</v>
      </c>
      <c r="F103" t="s">
        <v>2266</v>
      </c>
      <c r="G103" t="s">
        <v>74</v>
      </c>
      <c r="H103" t="s">
        <v>74</v>
      </c>
      <c r="I103" t="s">
        <v>2267</v>
      </c>
      <c r="J103" t="s">
        <v>2268</v>
      </c>
      <c r="K103" t="s">
        <v>74</v>
      </c>
      <c r="L103" t="s">
        <v>74</v>
      </c>
      <c r="M103" t="s">
        <v>78</v>
      </c>
      <c r="N103" t="s">
        <v>79</v>
      </c>
      <c r="O103" t="s">
        <v>74</v>
      </c>
      <c r="P103" t="s">
        <v>74</v>
      </c>
      <c r="Q103" t="s">
        <v>74</v>
      </c>
      <c r="R103" t="s">
        <v>74</v>
      </c>
      <c r="S103" t="s">
        <v>74</v>
      </c>
      <c r="T103" t="s">
        <v>2269</v>
      </c>
      <c r="U103" t="s">
        <v>2270</v>
      </c>
      <c r="V103" t="s">
        <v>2271</v>
      </c>
      <c r="W103" t="s">
        <v>2272</v>
      </c>
      <c r="X103" t="s">
        <v>2273</v>
      </c>
      <c r="Y103" t="s">
        <v>2274</v>
      </c>
      <c r="Z103" t="s">
        <v>2275</v>
      </c>
      <c r="AA103" t="s">
        <v>74</v>
      </c>
      <c r="AB103" t="s">
        <v>2276</v>
      </c>
      <c r="AC103" t="s">
        <v>2277</v>
      </c>
      <c r="AD103" t="s">
        <v>2277</v>
      </c>
      <c r="AE103" t="s">
        <v>2278</v>
      </c>
      <c r="AF103" t="s">
        <v>74</v>
      </c>
      <c r="AG103">
        <v>68</v>
      </c>
      <c r="AH103">
        <v>9</v>
      </c>
      <c r="AI103">
        <v>9</v>
      </c>
      <c r="AJ103">
        <v>0</v>
      </c>
      <c r="AK103">
        <v>28</v>
      </c>
      <c r="AL103" t="s">
        <v>2279</v>
      </c>
      <c r="AM103" t="s">
        <v>398</v>
      </c>
      <c r="AN103" t="s">
        <v>2280</v>
      </c>
      <c r="AO103" t="s">
        <v>2281</v>
      </c>
      <c r="AP103" t="s">
        <v>2282</v>
      </c>
      <c r="AQ103" t="s">
        <v>74</v>
      </c>
      <c r="AR103" t="s">
        <v>2283</v>
      </c>
      <c r="AS103" t="s">
        <v>2284</v>
      </c>
      <c r="AT103" t="s">
        <v>2170</v>
      </c>
      <c r="AU103">
        <v>2015</v>
      </c>
      <c r="AV103">
        <v>91</v>
      </c>
      <c r="AW103">
        <v>10</v>
      </c>
      <c r="AX103" t="s">
        <v>74</v>
      </c>
      <c r="AY103" t="s">
        <v>74</v>
      </c>
      <c r="AZ103" t="s">
        <v>74</v>
      </c>
      <c r="BA103" t="s">
        <v>74</v>
      </c>
      <c r="BB103" t="s">
        <v>74</v>
      </c>
      <c r="BC103" t="s">
        <v>74</v>
      </c>
      <c r="BD103" t="s">
        <v>2285</v>
      </c>
      <c r="BE103" t="s">
        <v>2286</v>
      </c>
      <c r="BF103" t="str">
        <f>HYPERLINK("http://dx.doi.org/10.1093/femsec/fiv102","http://dx.doi.org/10.1093/femsec/fiv102")</f>
        <v>http://dx.doi.org/10.1093/femsec/fiv102</v>
      </c>
      <c r="BG103" t="s">
        <v>74</v>
      </c>
      <c r="BH103" t="s">
        <v>74</v>
      </c>
      <c r="BI103">
        <v>11</v>
      </c>
      <c r="BJ103" t="s">
        <v>160</v>
      </c>
      <c r="BK103" t="s">
        <v>101</v>
      </c>
      <c r="BL103" t="s">
        <v>160</v>
      </c>
      <c r="BM103" t="s">
        <v>2287</v>
      </c>
      <c r="BN103">
        <v>26310455</v>
      </c>
      <c r="BO103" t="s">
        <v>162</v>
      </c>
      <c r="BP103" t="s">
        <v>74</v>
      </c>
      <c r="BQ103" t="s">
        <v>74</v>
      </c>
      <c r="BR103" t="s">
        <v>103</v>
      </c>
      <c r="BS103" t="s">
        <v>2288</v>
      </c>
      <c r="BT103" t="str">
        <f>HYPERLINK("https%3A%2F%2Fwww.webofscience.com%2Fwos%2Fwoscc%2Ffull-record%2FWOS:000366598300002","View Full Record in Web of Science")</f>
        <v>View Full Record in Web of Science</v>
      </c>
    </row>
    <row r="104" spans="1:72" x14ac:dyDescent="0.15">
      <c r="A104" t="s">
        <v>72</v>
      </c>
      <c r="B104" t="s">
        <v>2289</v>
      </c>
      <c r="C104" t="s">
        <v>74</v>
      </c>
      <c r="D104" t="s">
        <v>74</v>
      </c>
      <c r="E104" t="s">
        <v>74</v>
      </c>
      <c r="F104" t="s">
        <v>2290</v>
      </c>
      <c r="G104" t="s">
        <v>74</v>
      </c>
      <c r="H104" t="s">
        <v>74</v>
      </c>
      <c r="I104" t="s">
        <v>2291</v>
      </c>
      <c r="J104" t="s">
        <v>2292</v>
      </c>
      <c r="K104" t="s">
        <v>74</v>
      </c>
      <c r="L104" t="s">
        <v>74</v>
      </c>
      <c r="M104" t="s">
        <v>78</v>
      </c>
      <c r="N104" t="s">
        <v>79</v>
      </c>
      <c r="O104" t="s">
        <v>74</v>
      </c>
      <c r="P104" t="s">
        <v>74</v>
      </c>
      <c r="Q104" t="s">
        <v>74</v>
      </c>
      <c r="R104" t="s">
        <v>74</v>
      </c>
      <c r="S104" t="s">
        <v>74</v>
      </c>
      <c r="T104" t="s">
        <v>2293</v>
      </c>
      <c r="U104" t="s">
        <v>2294</v>
      </c>
      <c r="V104" t="s">
        <v>2295</v>
      </c>
      <c r="W104" t="s">
        <v>2296</v>
      </c>
      <c r="X104" t="s">
        <v>2297</v>
      </c>
      <c r="Y104" t="s">
        <v>2298</v>
      </c>
      <c r="Z104" t="s">
        <v>2299</v>
      </c>
      <c r="AA104" t="s">
        <v>74</v>
      </c>
      <c r="AB104" t="s">
        <v>2300</v>
      </c>
      <c r="AC104" t="s">
        <v>74</v>
      </c>
      <c r="AD104" t="s">
        <v>74</v>
      </c>
      <c r="AE104" t="s">
        <v>74</v>
      </c>
      <c r="AF104" t="s">
        <v>74</v>
      </c>
      <c r="AG104">
        <v>42</v>
      </c>
      <c r="AH104">
        <v>34</v>
      </c>
      <c r="AI104">
        <v>37</v>
      </c>
      <c r="AJ104">
        <v>6</v>
      </c>
      <c r="AK104">
        <v>49</v>
      </c>
      <c r="AL104" t="s">
        <v>2301</v>
      </c>
      <c r="AM104" t="s">
        <v>2302</v>
      </c>
      <c r="AN104" t="s">
        <v>2303</v>
      </c>
      <c r="AO104" t="s">
        <v>2304</v>
      </c>
      <c r="AP104" t="s">
        <v>2305</v>
      </c>
      <c r="AQ104" t="s">
        <v>74</v>
      </c>
      <c r="AR104" t="s">
        <v>2306</v>
      </c>
      <c r="AS104" t="s">
        <v>2307</v>
      </c>
      <c r="AT104" t="s">
        <v>2196</v>
      </c>
      <c r="AU104">
        <v>2015</v>
      </c>
      <c r="AV104">
        <v>14</v>
      </c>
      <c r="AW104">
        <v>4</v>
      </c>
      <c r="AX104" t="s">
        <v>74</v>
      </c>
      <c r="AY104" t="s">
        <v>74</v>
      </c>
      <c r="AZ104" t="s">
        <v>74</v>
      </c>
      <c r="BA104" t="s">
        <v>74</v>
      </c>
      <c r="BB104">
        <v>283</v>
      </c>
      <c r="BC104">
        <v>292</v>
      </c>
      <c r="BD104" t="s">
        <v>74</v>
      </c>
      <c r="BE104" t="s">
        <v>2308</v>
      </c>
      <c r="BF104" t="str">
        <f>HYPERLINK("http://dx.doi.org/10.17306/J.AFS.2015.4.29","http://dx.doi.org/10.17306/J.AFS.2015.4.29")</f>
        <v>http://dx.doi.org/10.17306/J.AFS.2015.4.29</v>
      </c>
      <c r="BG104" t="s">
        <v>74</v>
      </c>
      <c r="BH104" t="s">
        <v>74</v>
      </c>
      <c r="BI104">
        <v>10</v>
      </c>
      <c r="BJ104" t="s">
        <v>2309</v>
      </c>
      <c r="BK104" t="s">
        <v>831</v>
      </c>
      <c r="BL104" t="s">
        <v>2309</v>
      </c>
      <c r="BM104" t="s">
        <v>2310</v>
      </c>
      <c r="BN104">
        <v>28068035</v>
      </c>
      <c r="BO104" t="s">
        <v>2311</v>
      </c>
      <c r="BP104" t="s">
        <v>74</v>
      </c>
      <c r="BQ104" t="s">
        <v>74</v>
      </c>
      <c r="BR104" t="s">
        <v>103</v>
      </c>
      <c r="BS104" t="s">
        <v>2312</v>
      </c>
      <c r="BT104" t="str">
        <f>HYPERLINK("https%3A%2F%2Fwww.webofscience.com%2Fwos%2Fwoscc%2Ffull-record%2FWOS:000366206100001","View Full Record in Web of Science")</f>
        <v>View Full Record in Web of Science</v>
      </c>
    </row>
    <row r="105" spans="1:72" x14ac:dyDescent="0.15">
      <c r="A105" t="s">
        <v>72</v>
      </c>
      <c r="B105" t="s">
        <v>2313</v>
      </c>
      <c r="C105" t="s">
        <v>74</v>
      </c>
      <c r="D105" t="s">
        <v>74</v>
      </c>
      <c r="E105" t="s">
        <v>74</v>
      </c>
      <c r="F105" t="s">
        <v>2314</v>
      </c>
      <c r="G105" t="s">
        <v>74</v>
      </c>
      <c r="H105" t="s">
        <v>74</v>
      </c>
      <c r="I105" t="s">
        <v>2315</v>
      </c>
      <c r="J105" t="s">
        <v>2316</v>
      </c>
      <c r="K105" t="s">
        <v>74</v>
      </c>
      <c r="L105" t="s">
        <v>74</v>
      </c>
      <c r="M105" t="s">
        <v>78</v>
      </c>
      <c r="N105" t="s">
        <v>2317</v>
      </c>
      <c r="O105" t="s">
        <v>74</v>
      </c>
      <c r="P105" t="s">
        <v>74</v>
      </c>
      <c r="Q105" t="s">
        <v>74</v>
      </c>
      <c r="R105" t="s">
        <v>74</v>
      </c>
      <c r="S105" t="s">
        <v>74</v>
      </c>
      <c r="T105" t="s">
        <v>74</v>
      </c>
      <c r="U105" t="s">
        <v>74</v>
      </c>
      <c r="V105" t="s">
        <v>74</v>
      </c>
      <c r="W105" t="s">
        <v>2318</v>
      </c>
      <c r="X105" t="s">
        <v>2319</v>
      </c>
      <c r="Y105" t="s">
        <v>2320</v>
      </c>
      <c r="Z105" t="s">
        <v>74</v>
      </c>
      <c r="AA105" t="s">
        <v>74</v>
      </c>
      <c r="AB105" t="s">
        <v>74</v>
      </c>
      <c r="AC105" t="s">
        <v>74</v>
      </c>
      <c r="AD105" t="s">
        <v>74</v>
      </c>
      <c r="AE105" t="s">
        <v>74</v>
      </c>
      <c r="AF105" t="s">
        <v>74</v>
      </c>
      <c r="AG105">
        <v>1</v>
      </c>
      <c r="AH105">
        <v>1</v>
      </c>
      <c r="AI105">
        <v>1</v>
      </c>
      <c r="AJ105">
        <v>0</v>
      </c>
      <c r="AK105">
        <v>2</v>
      </c>
      <c r="AL105" t="s">
        <v>2279</v>
      </c>
      <c r="AM105" t="s">
        <v>398</v>
      </c>
      <c r="AN105" t="s">
        <v>2280</v>
      </c>
      <c r="AO105" t="s">
        <v>2321</v>
      </c>
      <c r="AP105" t="s">
        <v>2322</v>
      </c>
      <c r="AQ105" t="s">
        <v>74</v>
      </c>
      <c r="AR105" t="s">
        <v>2323</v>
      </c>
      <c r="AS105" t="s">
        <v>2324</v>
      </c>
      <c r="AT105" t="s">
        <v>2170</v>
      </c>
      <c r="AU105">
        <v>2015</v>
      </c>
      <c r="AV105">
        <v>120</v>
      </c>
      <c r="AW105">
        <v>4</v>
      </c>
      <c r="AX105" t="s">
        <v>74</v>
      </c>
      <c r="AY105" t="s">
        <v>74</v>
      </c>
      <c r="AZ105" t="s">
        <v>74</v>
      </c>
      <c r="BA105" t="s">
        <v>74</v>
      </c>
      <c r="BB105">
        <v>1447</v>
      </c>
      <c r="BC105">
        <v>1448</v>
      </c>
      <c r="BD105" t="s">
        <v>74</v>
      </c>
      <c r="BE105" t="s">
        <v>2325</v>
      </c>
      <c r="BF105" t="str">
        <f>HYPERLINK("http://dx.doi.org/10.1093/ahr/120.4.1447","http://dx.doi.org/10.1093/ahr/120.4.1447")</f>
        <v>http://dx.doi.org/10.1093/ahr/120.4.1447</v>
      </c>
      <c r="BG105" t="s">
        <v>74</v>
      </c>
      <c r="BH105" t="s">
        <v>74</v>
      </c>
      <c r="BI105">
        <v>3</v>
      </c>
      <c r="BJ105" t="s">
        <v>2326</v>
      </c>
      <c r="BK105" t="s">
        <v>2327</v>
      </c>
      <c r="BL105" t="s">
        <v>2326</v>
      </c>
      <c r="BM105" t="s">
        <v>2328</v>
      </c>
      <c r="BN105" t="s">
        <v>74</v>
      </c>
      <c r="BO105" t="s">
        <v>74</v>
      </c>
      <c r="BP105" t="s">
        <v>74</v>
      </c>
      <c r="BQ105" t="s">
        <v>74</v>
      </c>
      <c r="BR105" t="s">
        <v>103</v>
      </c>
      <c r="BS105" t="s">
        <v>2329</v>
      </c>
      <c r="BT105" t="str">
        <f>HYPERLINK("https%3A%2F%2Fwww.webofscience.com%2Fwos%2Fwoscc%2Ffull-record%2FWOS:000365809700029","View Full Record in Web of Science")</f>
        <v>View Full Record in Web of Science</v>
      </c>
    </row>
    <row r="106" spans="1:72" x14ac:dyDescent="0.15">
      <c r="A106" t="s">
        <v>72</v>
      </c>
      <c r="B106" t="s">
        <v>2330</v>
      </c>
      <c r="C106" t="s">
        <v>74</v>
      </c>
      <c r="D106" t="s">
        <v>74</v>
      </c>
      <c r="E106" t="s">
        <v>74</v>
      </c>
      <c r="F106" t="s">
        <v>2331</v>
      </c>
      <c r="G106" t="s">
        <v>74</v>
      </c>
      <c r="H106" t="s">
        <v>74</v>
      </c>
      <c r="I106" t="s">
        <v>2332</v>
      </c>
      <c r="J106" t="s">
        <v>2333</v>
      </c>
      <c r="K106" t="s">
        <v>74</v>
      </c>
      <c r="L106" t="s">
        <v>74</v>
      </c>
      <c r="M106" t="s">
        <v>78</v>
      </c>
      <c r="N106" t="s">
        <v>79</v>
      </c>
      <c r="O106" t="s">
        <v>74</v>
      </c>
      <c r="P106" t="s">
        <v>74</v>
      </c>
      <c r="Q106" t="s">
        <v>74</v>
      </c>
      <c r="R106" t="s">
        <v>74</v>
      </c>
      <c r="S106" t="s">
        <v>74</v>
      </c>
      <c r="T106" t="s">
        <v>2334</v>
      </c>
      <c r="U106" t="s">
        <v>2335</v>
      </c>
      <c r="V106" t="s">
        <v>2336</v>
      </c>
      <c r="W106" t="s">
        <v>2337</v>
      </c>
      <c r="X106" t="s">
        <v>2338</v>
      </c>
      <c r="Y106" t="s">
        <v>2339</v>
      </c>
      <c r="Z106" t="s">
        <v>2340</v>
      </c>
      <c r="AA106" t="s">
        <v>2341</v>
      </c>
      <c r="AB106" t="s">
        <v>2342</v>
      </c>
      <c r="AC106" t="s">
        <v>2343</v>
      </c>
      <c r="AD106" t="s">
        <v>2344</v>
      </c>
      <c r="AE106" t="s">
        <v>2345</v>
      </c>
      <c r="AF106" t="s">
        <v>74</v>
      </c>
      <c r="AG106">
        <v>92</v>
      </c>
      <c r="AH106">
        <v>8</v>
      </c>
      <c r="AI106">
        <v>9</v>
      </c>
      <c r="AJ106">
        <v>0</v>
      </c>
      <c r="AK106">
        <v>4</v>
      </c>
      <c r="AL106" t="s">
        <v>496</v>
      </c>
      <c r="AM106" t="s">
        <v>398</v>
      </c>
      <c r="AN106" t="s">
        <v>497</v>
      </c>
      <c r="AO106" t="s">
        <v>2346</v>
      </c>
      <c r="AP106" t="s">
        <v>2347</v>
      </c>
      <c r="AQ106" t="s">
        <v>74</v>
      </c>
      <c r="AR106" t="s">
        <v>2348</v>
      </c>
      <c r="AS106" t="s">
        <v>2349</v>
      </c>
      <c r="AT106" t="s">
        <v>2170</v>
      </c>
      <c r="AU106">
        <v>2015</v>
      </c>
      <c r="AV106">
        <v>64</v>
      </c>
      <c r="AW106" t="s">
        <v>74</v>
      </c>
      <c r="AX106" t="s">
        <v>74</v>
      </c>
      <c r="AY106" t="s">
        <v>74</v>
      </c>
      <c r="AZ106" t="s">
        <v>74</v>
      </c>
      <c r="BA106" t="s">
        <v>74</v>
      </c>
      <c r="BB106">
        <v>132</v>
      </c>
      <c r="BC106">
        <v>152</v>
      </c>
      <c r="BD106" t="s">
        <v>74</v>
      </c>
      <c r="BE106" t="s">
        <v>2350</v>
      </c>
      <c r="BF106" t="str">
        <f>HYPERLINK("http://dx.doi.org/10.1016/j.apgeog.2015.09.007","http://dx.doi.org/10.1016/j.apgeog.2015.09.007")</f>
        <v>http://dx.doi.org/10.1016/j.apgeog.2015.09.007</v>
      </c>
      <c r="BG106" t="s">
        <v>74</v>
      </c>
      <c r="BH106" t="s">
        <v>74</v>
      </c>
      <c r="BI106">
        <v>21</v>
      </c>
      <c r="BJ106" t="s">
        <v>2351</v>
      </c>
      <c r="BK106" t="s">
        <v>504</v>
      </c>
      <c r="BL106" t="s">
        <v>2351</v>
      </c>
      <c r="BM106" t="s">
        <v>2352</v>
      </c>
      <c r="BN106" t="s">
        <v>74</v>
      </c>
      <c r="BO106" t="s">
        <v>74</v>
      </c>
      <c r="BP106" t="s">
        <v>74</v>
      </c>
      <c r="BQ106" t="s">
        <v>74</v>
      </c>
      <c r="BR106" t="s">
        <v>103</v>
      </c>
      <c r="BS106" t="s">
        <v>2353</v>
      </c>
      <c r="BT106" t="str">
        <f>HYPERLINK("https%3A%2F%2Fwww.webofscience.com%2Fwos%2Fwoscc%2Ffull-record%2FWOS:000366225000013","View Full Record in Web of Science")</f>
        <v>View Full Record in Web of Science</v>
      </c>
    </row>
    <row r="107" spans="1:72" x14ac:dyDescent="0.15">
      <c r="A107" t="s">
        <v>72</v>
      </c>
      <c r="B107" t="s">
        <v>2354</v>
      </c>
      <c r="C107" t="s">
        <v>74</v>
      </c>
      <c r="D107" t="s">
        <v>74</v>
      </c>
      <c r="E107" t="s">
        <v>74</v>
      </c>
      <c r="F107" t="s">
        <v>2355</v>
      </c>
      <c r="G107" t="s">
        <v>74</v>
      </c>
      <c r="H107" t="s">
        <v>74</v>
      </c>
      <c r="I107" t="s">
        <v>2356</v>
      </c>
      <c r="J107" t="s">
        <v>361</v>
      </c>
      <c r="K107" t="s">
        <v>74</v>
      </c>
      <c r="L107" t="s">
        <v>74</v>
      </c>
      <c r="M107" t="s">
        <v>78</v>
      </c>
      <c r="N107" t="s">
        <v>79</v>
      </c>
      <c r="O107" t="s">
        <v>74</v>
      </c>
      <c r="P107" t="s">
        <v>74</v>
      </c>
      <c r="Q107" t="s">
        <v>74</v>
      </c>
      <c r="R107" t="s">
        <v>74</v>
      </c>
      <c r="S107" t="s">
        <v>74</v>
      </c>
      <c r="T107" t="s">
        <v>2357</v>
      </c>
      <c r="U107" t="s">
        <v>2358</v>
      </c>
      <c r="V107" t="s">
        <v>2359</v>
      </c>
      <c r="W107" t="s">
        <v>2360</v>
      </c>
      <c r="X107" t="s">
        <v>2361</v>
      </c>
      <c r="Y107" t="s">
        <v>2362</v>
      </c>
      <c r="Z107" t="s">
        <v>2363</v>
      </c>
      <c r="AA107" t="s">
        <v>2364</v>
      </c>
      <c r="AB107" t="s">
        <v>74</v>
      </c>
      <c r="AC107" t="s">
        <v>2365</v>
      </c>
      <c r="AD107" t="s">
        <v>2365</v>
      </c>
      <c r="AE107" t="s">
        <v>2366</v>
      </c>
      <c r="AF107" t="s">
        <v>74</v>
      </c>
      <c r="AG107">
        <v>38</v>
      </c>
      <c r="AH107">
        <v>8</v>
      </c>
      <c r="AI107">
        <v>8</v>
      </c>
      <c r="AJ107">
        <v>1</v>
      </c>
      <c r="AK107">
        <v>4</v>
      </c>
      <c r="AL107" t="s">
        <v>306</v>
      </c>
      <c r="AM107" t="s">
        <v>307</v>
      </c>
      <c r="AN107" t="s">
        <v>308</v>
      </c>
      <c r="AO107" t="s">
        <v>373</v>
      </c>
      <c r="AP107" t="s">
        <v>374</v>
      </c>
      <c r="AQ107" t="s">
        <v>74</v>
      </c>
      <c r="AR107" t="s">
        <v>375</v>
      </c>
      <c r="AS107" t="s">
        <v>376</v>
      </c>
      <c r="AT107" t="s">
        <v>2170</v>
      </c>
      <c r="AU107">
        <v>2015</v>
      </c>
      <c r="AV107">
        <v>120</v>
      </c>
      <c r="AW107">
        <v>10</v>
      </c>
      <c r="AX107" t="s">
        <v>74</v>
      </c>
      <c r="AY107" t="s">
        <v>74</v>
      </c>
      <c r="AZ107" t="s">
        <v>74</v>
      </c>
      <c r="BA107" t="s">
        <v>74</v>
      </c>
      <c r="BB107">
        <v>8872</v>
      </c>
      <c r="BC107">
        <v>8883</v>
      </c>
      <c r="BD107" t="s">
        <v>74</v>
      </c>
      <c r="BE107" t="s">
        <v>2367</v>
      </c>
      <c r="BF107" t="str">
        <f>HYPERLINK("http://dx.doi.org/10.1002/2015JA021400","http://dx.doi.org/10.1002/2015JA021400")</f>
        <v>http://dx.doi.org/10.1002/2015JA021400</v>
      </c>
      <c r="BG107" t="s">
        <v>74</v>
      </c>
      <c r="BH107" t="s">
        <v>74</v>
      </c>
      <c r="BI107">
        <v>12</v>
      </c>
      <c r="BJ107" t="s">
        <v>378</v>
      </c>
      <c r="BK107" t="s">
        <v>101</v>
      </c>
      <c r="BL107" t="s">
        <v>378</v>
      </c>
      <c r="BM107" t="s">
        <v>2368</v>
      </c>
      <c r="BN107" t="s">
        <v>74</v>
      </c>
      <c r="BO107" t="s">
        <v>162</v>
      </c>
      <c r="BP107" t="s">
        <v>74</v>
      </c>
      <c r="BQ107" t="s">
        <v>74</v>
      </c>
      <c r="BR107" t="s">
        <v>103</v>
      </c>
      <c r="BS107" t="s">
        <v>2369</v>
      </c>
      <c r="BT107" t="str">
        <f>HYPERLINK("https%3A%2F%2Fwww.webofscience.com%2Fwos%2Fwoscc%2Ffull-record%2FWOS:000366135200051","View Full Record in Web of Science")</f>
        <v>View Full Record in Web of Science</v>
      </c>
    </row>
    <row r="108" spans="1:72" x14ac:dyDescent="0.15">
      <c r="A108" t="s">
        <v>72</v>
      </c>
      <c r="B108" t="s">
        <v>2370</v>
      </c>
      <c r="C108" t="s">
        <v>74</v>
      </c>
      <c r="D108" t="s">
        <v>74</v>
      </c>
      <c r="E108" t="s">
        <v>74</v>
      </c>
      <c r="F108" t="s">
        <v>2371</v>
      </c>
      <c r="G108" t="s">
        <v>74</v>
      </c>
      <c r="H108" t="s">
        <v>74</v>
      </c>
      <c r="I108" t="s">
        <v>2372</v>
      </c>
      <c r="J108" t="s">
        <v>361</v>
      </c>
      <c r="K108" t="s">
        <v>74</v>
      </c>
      <c r="L108" t="s">
        <v>74</v>
      </c>
      <c r="M108" t="s">
        <v>78</v>
      </c>
      <c r="N108" t="s">
        <v>79</v>
      </c>
      <c r="O108" t="s">
        <v>74</v>
      </c>
      <c r="P108" t="s">
        <v>74</v>
      </c>
      <c r="Q108" t="s">
        <v>74</v>
      </c>
      <c r="R108" t="s">
        <v>74</v>
      </c>
      <c r="S108" t="s">
        <v>74</v>
      </c>
      <c r="T108" t="s">
        <v>2373</v>
      </c>
      <c r="U108" t="s">
        <v>2374</v>
      </c>
      <c r="V108" t="s">
        <v>2375</v>
      </c>
      <c r="W108" t="s">
        <v>2376</v>
      </c>
      <c r="X108" t="s">
        <v>2377</v>
      </c>
      <c r="Y108" t="s">
        <v>2378</v>
      </c>
      <c r="Z108" t="s">
        <v>2379</v>
      </c>
      <c r="AA108" t="s">
        <v>74</v>
      </c>
      <c r="AB108" t="s">
        <v>2380</v>
      </c>
      <c r="AC108" t="s">
        <v>2381</v>
      </c>
      <c r="AD108" t="s">
        <v>2382</v>
      </c>
      <c r="AE108" t="s">
        <v>2383</v>
      </c>
      <c r="AF108" t="s">
        <v>74</v>
      </c>
      <c r="AG108">
        <v>46</v>
      </c>
      <c r="AH108">
        <v>9</v>
      </c>
      <c r="AI108">
        <v>11</v>
      </c>
      <c r="AJ108">
        <v>0</v>
      </c>
      <c r="AK108">
        <v>2</v>
      </c>
      <c r="AL108" t="s">
        <v>306</v>
      </c>
      <c r="AM108" t="s">
        <v>307</v>
      </c>
      <c r="AN108" t="s">
        <v>308</v>
      </c>
      <c r="AO108" t="s">
        <v>373</v>
      </c>
      <c r="AP108" t="s">
        <v>374</v>
      </c>
      <c r="AQ108" t="s">
        <v>74</v>
      </c>
      <c r="AR108" t="s">
        <v>375</v>
      </c>
      <c r="AS108" t="s">
        <v>376</v>
      </c>
      <c r="AT108" t="s">
        <v>2170</v>
      </c>
      <c r="AU108">
        <v>2015</v>
      </c>
      <c r="AV108">
        <v>120</v>
      </c>
      <c r="AW108">
        <v>10</v>
      </c>
      <c r="AX108" t="s">
        <v>74</v>
      </c>
      <c r="AY108" t="s">
        <v>74</v>
      </c>
      <c r="AZ108" t="s">
        <v>74</v>
      </c>
      <c r="BA108" t="s">
        <v>74</v>
      </c>
      <c r="BB108">
        <v>9132</v>
      </c>
      <c r="BC108">
        <v>9147</v>
      </c>
      <c r="BD108" t="s">
        <v>74</v>
      </c>
      <c r="BE108" t="s">
        <v>2384</v>
      </c>
      <c r="BF108" t="str">
        <f>HYPERLINK("http://dx.doi.org/10.1002/2015JA021664","http://dx.doi.org/10.1002/2015JA021664")</f>
        <v>http://dx.doi.org/10.1002/2015JA021664</v>
      </c>
      <c r="BG108" t="s">
        <v>74</v>
      </c>
      <c r="BH108" t="s">
        <v>74</v>
      </c>
      <c r="BI108">
        <v>16</v>
      </c>
      <c r="BJ108" t="s">
        <v>378</v>
      </c>
      <c r="BK108" t="s">
        <v>101</v>
      </c>
      <c r="BL108" t="s">
        <v>378</v>
      </c>
      <c r="BM108" t="s">
        <v>2368</v>
      </c>
      <c r="BN108" t="s">
        <v>74</v>
      </c>
      <c r="BO108" t="s">
        <v>162</v>
      </c>
      <c r="BP108" t="s">
        <v>74</v>
      </c>
      <c r="BQ108" t="s">
        <v>74</v>
      </c>
      <c r="BR108" t="s">
        <v>103</v>
      </c>
      <c r="BS108" t="s">
        <v>2385</v>
      </c>
      <c r="BT108" t="str">
        <f>HYPERLINK("https%3A%2F%2Fwww.webofscience.com%2Fwos%2Fwoscc%2Ffull-record%2FWOS:000366135200070","View Full Record in Web of Science")</f>
        <v>View Full Record in Web of Science</v>
      </c>
    </row>
    <row r="109" spans="1:72" x14ac:dyDescent="0.15">
      <c r="A109" t="s">
        <v>72</v>
      </c>
      <c r="B109" t="s">
        <v>2386</v>
      </c>
      <c r="C109" t="s">
        <v>74</v>
      </c>
      <c r="D109" t="s">
        <v>74</v>
      </c>
      <c r="E109" t="s">
        <v>74</v>
      </c>
      <c r="F109" t="s">
        <v>2387</v>
      </c>
      <c r="G109" t="s">
        <v>74</v>
      </c>
      <c r="H109" t="s">
        <v>74</v>
      </c>
      <c r="I109" t="s">
        <v>2388</v>
      </c>
      <c r="J109" t="s">
        <v>650</v>
      </c>
      <c r="K109" t="s">
        <v>74</v>
      </c>
      <c r="L109" t="s">
        <v>74</v>
      </c>
      <c r="M109" t="s">
        <v>78</v>
      </c>
      <c r="N109" t="s">
        <v>79</v>
      </c>
      <c r="O109" t="s">
        <v>74</v>
      </c>
      <c r="P109" t="s">
        <v>74</v>
      </c>
      <c r="Q109" t="s">
        <v>74</v>
      </c>
      <c r="R109" t="s">
        <v>74</v>
      </c>
      <c r="S109" t="s">
        <v>74</v>
      </c>
      <c r="T109" t="s">
        <v>2389</v>
      </c>
      <c r="U109" t="s">
        <v>2390</v>
      </c>
      <c r="V109" t="s">
        <v>2391</v>
      </c>
      <c r="W109" t="s">
        <v>2392</v>
      </c>
      <c r="X109" t="s">
        <v>2393</v>
      </c>
      <c r="Y109" t="s">
        <v>2394</v>
      </c>
      <c r="Z109" t="s">
        <v>2395</v>
      </c>
      <c r="AA109" t="s">
        <v>2396</v>
      </c>
      <c r="AB109" t="s">
        <v>2397</v>
      </c>
      <c r="AC109" t="s">
        <v>2398</v>
      </c>
      <c r="AD109" t="s">
        <v>2398</v>
      </c>
      <c r="AE109" t="s">
        <v>2399</v>
      </c>
      <c r="AF109" t="s">
        <v>74</v>
      </c>
      <c r="AG109">
        <v>76</v>
      </c>
      <c r="AH109">
        <v>21</v>
      </c>
      <c r="AI109">
        <v>25</v>
      </c>
      <c r="AJ109">
        <v>4</v>
      </c>
      <c r="AK109">
        <v>27</v>
      </c>
      <c r="AL109" t="s">
        <v>306</v>
      </c>
      <c r="AM109" t="s">
        <v>307</v>
      </c>
      <c r="AN109" t="s">
        <v>308</v>
      </c>
      <c r="AO109" t="s">
        <v>661</v>
      </c>
      <c r="AP109" t="s">
        <v>662</v>
      </c>
      <c r="AQ109" t="s">
        <v>74</v>
      </c>
      <c r="AR109" t="s">
        <v>650</v>
      </c>
      <c r="AS109" t="s">
        <v>663</v>
      </c>
      <c r="AT109" t="s">
        <v>2170</v>
      </c>
      <c r="AU109">
        <v>2015</v>
      </c>
      <c r="AV109">
        <v>30</v>
      </c>
      <c r="AW109">
        <v>10</v>
      </c>
      <c r="AX109" t="s">
        <v>74</v>
      </c>
      <c r="AY109" t="s">
        <v>74</v>
      </c>
      <c r="AZ109" t="s">
        <v>74</v>
      </c>
      <c r="BA109" t="s">
        <v>74</v>
      </c>
      <c r="BB109">
        <v>1245</v>
      </c>
      <c r="BC109">
        <v>1260</v>
      </c>
      <c r="BD109" t="s">
        <v>74</v>
      </c>
      <c r="BE109" t="s">
        <v>2400</v>
      </c>
      <c r="BF109" t="str">
        <f>HYPERLINK("http://dx.doi.org/10.1002/2014PA002680","http://dx.doi.org/10.1002/2014PA002680")</f>
        <v>http://dx.doi.org/10.1002/2014PA002680</v>
      </c>
      <c r="BG109" t="s">
        <v>74</v>
      </c>
      <c r="BH109" t="s">
        <v>74</v>
      </c>
      <c r="BI109">
        <v>16</v>
      </c>
      <c r="BJ109" t="s">
        <v>665</v>
      </c>
      <c r="BK109" t="s">
        <v>101</v>
      </c>
      <c r="BL109" t="s">
        <v>666</v>
      </c>
      <c r="BM109" t="s">
        <v>2401</v>
      </c>
      <c r="BN109" t="s">
        <v>74</v>
      </c>
      <c r="BO109" t="s">
        <v>162</v>
      </c>
      <c r="BP109" t="s">
        <v>74</v>
      </c>
      <c r="BQ109" t="s">
        <v>74</v>
      </c>
      <c r="BR109" t="s">
        <v>103</v>
      </c>
      <c r="BS109" t="s">
        <v>2402</v>
      </c>
      <c r="BT109" t="str">
        <f>HYPERLINK("https%3A%2F%2Fwww.webofscience.com%2Fwos%2Fwoscc%2Ffull-record%2FWOS:000366061400002","View Full Record in Web of Science")</f>
        <v>View Full Record in Web of Science</v>
      </c>
    </row>
    <row r="110" spans="1:72" x14ac:dyDescent="0.15">
      <c r="A110" t="s">
        <v>72</v>
      </c>
      <c r="B110" t="s">
        <v>2403</v>
      </c>
      <c r="C110" t="s">
        <v>74</v>
      </c>
      <c r="D110" t="s">
        <v>74</v>
      </c>
      <c r="E110" t="s">
        <v>74</v>
      </c>
      <c r="F110" t="s">
        <v>2404</v>
      </c>
      <c r="G110" t="s">
        <v>74</v>
      </c>
      <c r="H110" t="s">
        <v>74</v>
      </c>
      <c r="I110" t="s">
        <v>2405</v>
      </c>
      <c r="J110" t="s">
        <v>650</v>
      </c>
      <c r="K110" t="s">
        <v>74</v>
      </c>
      <c r="L110" t="s">
        <v>74</v>
      </c>
      <c r="M110" t="s">
        <v>78</v>
      </c>
      <c r="N110" t="s">
        <v>79</v>
      </c>
      <c r="O110" t="s">
        <v>74</v>
      </c>
      <c r="P110" t="s">
        <v>74</v>
      </c>
      <c r="Q110" t="s">
        <v>74</v>
      </c>
      <c r="R110" t="s">
        <v>74</v>
      </c>
      <c r="S110" t="s">
        <v>74</v>
      </c>
      <c r="T110" t="s">
        <v>2406</v>
      </c>
      <c r="U110" t="s">
        <v>2407</v>
      </c>
      <c r="V110" t="s">
        <v>2408</v>
      </c>
      <c r="W110" t="s">
        <v>2409</v>
      </c>
      <c r="X110" t="s">
        <v>2410</v>
      </c>
      <c r="Y110" t="s">
        <v>2411</v>
      </c>
      <c r="Z110" t="s">
        <v>2412</v>
      </c>
      <c r="AA110" t="s">
        <v>74</v>
      </c>
      <c r="AB110" t="s">
        <v>2413</v>
      </c>
      <c r="AC110" t="s">
        <v>2414</v>
      </c>
      <c r="AD110" t="s">
        <v>2414</v>
      </c>
      <c r="AE110" t="s">
        <v>2415</v>
      </c>
      <c r="AF110" t="s">
        <v>74</v>
      </c>
      <c r="AG110">
        <v>84</v>
      </c>
      <c r="AH110">
        <v>36</v>
      </c>
      <c r="AI110">
        <v>43</v>
      </c>
      <c r="AJ110">
        <v>2</v>
      </c>
      <c r="AK110">
        <v>47</v>
      </c>
      <c r="AL110" t="s">
        <v>306</v>
      </c>
      <c r="AM110" t="s">
        <v>307</v>
      </c>
      <c r="AN110" t="s">
        <v>308</v>
      </c>
      <c r="AO110" t="s">
        <v>661</v>
      </c>
      <c r="AP110" t="s">
        <v>662</v>
      </c>
      <c r="AQ110" t="s">
        <v>74</v>
      </c>
      <c r="AR110" t="s">
        <v>650</v>
      </c>
      <c r="AS110" t="s">
        <v>663</v>
      </c>
      <c r="AT110" t="s">
        <v>2170</v>
      </c>
      <c r="AU110">
        <v>2015</v>
      </c>
      <c r="AV110">
        <v>30</v>
      </c>
      <c r="AW110">
        <v>10</v>
      </c>
      <c r="AX110" t="s">
        <v>74</v>
      </c>
      <c r="AY110" t="s">
        <v>74</v>
      </c>
      <c r="AZ110" t="s">
        <v>74</v>
      </c>
      <c r="BA110" t="s">
        <v>74</v>
      </c>
      <c r="BB110">
        <v>1305</v>
      </c>
      <c r="BC110">
        <v>1317</v>
      </c>
      <c r="BD110" t="s">
        <v>74</v>
      </c>
      <c r="BE110" t="s">
        <v>2416</v>
      </c>
      <c r="BF110" t="str">
        <f>HYPERLINK("http://dx.doi.org/10.1002/2014PA002769","http://dx.doi.org/10.1002/2014PA002769")</f>
        <v>http://dx.doi.org/10.1002/2014PA002769</v>
      </c>
      <c r="BG110" t="s">
        <v>74</v>
      </c>
      <c r="BH110" t="s">
        <v>74</v>
      </c>
      <c r="BI110">
        <v>13</v>
      </c>
      <c r="BJ110" t="s">
        <v>665</v>
      </c>
      <c r="BK110" t="s">
        <v>101</v>
      </c>
      <c r="BL110" t="s">
        <v>666</v>
      </c>
      <c r="BM110" t="s">
        <v>2401</v>
      </c>
      <c r="BN110" t="s">
        <v>74</v>
      </c>
      <c r="BO110" t="s">
        <v>162</v>
      </c>
      <c r="BP110" t="s">
        <v>74</v>
      </c>
      <c r="BQ110" t="s">
        <v>74</v>
      </c>
      <c r="BR110" t="s">
        <v>103</v>
      </c>
      <c r="BS110" t="s">
        <v>2417</v>
      </c>
      <c r="BT110" t="str">
        <f>HYPERLINK("https%3A%2F%2Fwww.webofscience.com%2Fwos%2Fwoscc%2Ffull-record%2FWOS:000366061400005","View Full Record in Web of Science")</f>
        <v>View Full Record in Web of Science</v>
      </c>
    </row>
    <row r="111" spans="1:72" x14ac:dyDescent="0.15">
      <c r="A111" t="s">
        <v>72</v>
      </c>
      <c r="B111" t="s">
        <v>2418</v>
      </c>
      <c r="C111" t="s">
        <v>74</v>
      </c>
      <c r="D111" t="s">
        <v>74</v>
      </c>
      <c r="E111" t="s">
        <v>74</v>
      </c>
      <c r="F111" t="s">
        <v>2419</v>
      </c>
      <c r="G111" t="s">
        <v>74</v>
      </c>
      <c r="H111" t="s">
        <v>74</v>
      </c>
      <c r="I111" t="s">
        <v>2420</v>
      </c>
      <c r="J111" t="s">
        <v>2421</v>
      </c>
      <c r="K111" t="s">
        <v>74</v>
      </c>
      <c r="L111" t="s">
        <v>74</v>
      </c>
      <c r="M111" t="s">
        <v>2422</v>
      </c>
      <c r="N111" t="s">
        <v>79</v>
      </c>
      <c r="O111" t="s">
        <v>74</v>
      </c>
      <c r="P111" t="s">
        <v>74</v>
      </c>
      <c r="Q111" t="s">
        <v>74</v>
      </c>
      <c r="R111" t="s">
        <v>74</v>
      </c>
      <c r="S111" t="s">
        <v>74</v>
      </c>
      <c r="T111" t="s">
        <v>2423</v>
      </c>
      <c r="U111" t="s">
        <v>74</v>
      </c>
      <c r="V111" t="s">
        <v>2424</v>
      </c>
      <c r="W111" t="s">
        <v>2425</v>
      </c>
      <c r="X111" t="s">
        <v>2426</v>
      </c>
      <c r="Y111" t="s">
        <v>2427</v>
      </c>
      <c r="Z111" t="s">
        <v>2428</v>
      </c>
      <c r="AA111" t="s">
        <v>2429</v>
      </c>
      <c r="AB111" t="s">
        <v>2430</v>
      </c>
      <c r="AC111" t="s">
        <v>2431</v>
      </c>
      <c r="AD111" t="s">
        <v>2432</v>
      </c>
      <c r="AE111" t="s">
        <v>2433</v>
      </c>
      <c r="AF111" t="s">
        <v>74</v>
      </c>
      <c r="AG111">
        <v>19</v>
      </c>
      <c r="AH111">
        <v>1</v>
      </c>
      <c r="AI111">
        <v>1</v>
      </c>
      <c r="AJ111">
        <v>1</v>
      </c>
      <c r="AK111">
        <v>8</v>
      </c>
      <c r="AL111" t="s">
        <v>2434</v>
      </c>
      <c r="AM111" t="s">
        <v>2435</v>
      </c>
      <c r="AN111" t="s">
        <v>2436</v>
      </c>
      <c r="AO111" t="s">
        <v>2437</v>
      </c>
      <c r="AP111" t="s">
        <v>74</v>
      </c>
      <c r="AQ111" t="s">
        <v>74</v>
      </c>
      <c r="AR111" t="s">
        <v>2438</v>
      </c>
      <c r="AS111" t="s">
        <v>2439</v>
      </c>
      <c r="AT111" t="s">
        <v>2170</v>
      </c>
      <c r="AU111">
        <v>2015</v>
      </c>
      <c r="AV111">
        <v>35</v>
      </c>
      <c r="AW111">
        <v>10</v>
      </c>
      <c r="AX111" t="s">
        <v>74</v>
      </c>
      <c r="AY111" t="s">
        <v>74</v>
      </c>
      <c r="AZ111" t="s">
        <v>74</v>
      </c>
      <c r="BA111" t="s">
        <v>74</v>
      </c>
      <c r="BB111">
        <v>2157</v>
      </c>
      <c r="BC111">
        <v>2161</v>
      </c>
      <c r="BD111" t="s">
        <v>74</v>
      </c>
      <c r="BE111" t="s">
        <v>2440</v>
      </c>
      <c r="BF111" t="str">
        <f>HYPERLINK("http://dx.doi.org/10.6023/cjoc201505001","http://dx.doi.org/10.6023/cjoc201505001")</f>
        <v>http://dx.doi.org/10.6023/cjoc201505001</v>
      </c>
      <c r="BG111" t="s">
        <v>74</v>
      </c>
      <c r="BH111" t="s">
        <v>74</v>
      </c>
      <c r="BI111">
        <v>5</v>
      </c>
      <c r="BJ111" t="s">
        <v>2441</v>
      </c>
      <c r="BK111" t="s">
        <v>101</v>
      </c>
      <c r="BL111" t="s">
        <v>2442</v>
      </c>
      <c r="BM111" t="s">
        <v>2443</v>
      </c>
      <c r="BN111" t="s">
        <v>74</v>
      </c>
      <c r="BO111" t="s">
        <v>162</v>
      </c>
      <c r="BP111" t="s">
        <v>74</v>
      </c>
      <c r="BQ111" t="s">
        <v>74</v>
      </c>
      <c r="BR111" t="s">
        <v>103</v>
      </c>
      <c r="BS111" t="s">
        <v>2444</v>
      </c>
      <c r="BT111" t="str">
        <f>HYPERLINK("https%3A%2F%2Fwww.webofscience.com%2Fwos%2Fwoscc%2Ffull-record%2FWOS:000365833100016","View Full Record in Web of Science")</f>
        <v>View Full Record in Web of Science</v>
      </c>
    </row>
    <row r="112" spans="1:72" x14ac:dyDescent="0.15">
      <c r="A112" t="s">
        <v>72</v>
      </c>
      <c r="B112" t="s">
        <v>2445</v>
      </c>
      <c r="C112" t="s">
        <v>74</v>
      </c>
      <c r="D112" t="s">
        <v>74</v>
      </c>
      <c r="E112" t="s">
        <v>74</v>
      </c>
      <c r="F112" t="s">
        <v>2446</v>
      </c>
      <c r="G112" t="s">
        <v>74</v>
      </c>
      <c r="H112" t="s">
        <v>74</v>
      </c>
      <c r="I112" t="s">
        <v>2447</v>
      </c>
      <c r="J112" t="s">
        <v>2448</v>
      </c>
      <c r="K112" t="s">
        <v>74</v>
      </c>
      <c r="L112" t="s">
        <v>74</v>
      </c>
      <c r="M112" t="s">
        <v>78</v>
      </c>
      <c r="N112" t="s">
        <v>79</v>
      </c>
      <c r="O112" t="s">
        <v>74</v>
      </c>
      <c r="P112" t="s">
        <v>74</v>
      </c>
      <c r="Q112" t="s">
        <v>74</v>
      </c>
      <c r="R112" t="s">
        <v>74</v>
      </c>
      <c r="S112" t="s">
        <v>74</v>
      </c>
      <c r="T112" t="s">
        <v>2449</v>
      </c>
      <c r="U112" t="s">
        <v>2450</v>
      </c>
      <c r="V112" t="s">
        <v>2451</v>
      </c>
      <c r="W112" t="s">
        <v>2452</v>
      </c>
      <c r="X112" t="s">
        <v>2453</v>
      </c>
      <c r="Y112" t="s">
        <v>2454</v>
      </c>
      <c r="Z112" t="s">
        <v>2455</v>
      </c>
      <c r="AA112" t="s">
        <v>2456</v>
      </c>
      <c r="AB112" t="s">
        <v>2457</v>
      </c>
      <c r="AC112" t="s">
        <v>2458</v>
      </c>
      <c r="AD112" t="s">
        <v>2459</v>
      </c>
      <c r="AE112" t="s">
        <v>2460</v>
      </c>
      <c r="AF112" t="s">
        <v>74</v>
      </c>
      <c r="AG112">
        <v>48</v>
      </c>
      <c r="AH112">
        <v>45</v>
      </c>
      <c r="AI112">
        <v>50</v>
      </c>
      <c r="AJ112">
        <v>0</v>
      </c>
      <c r="AK112">
        <v>43</v>
      </c>
      <c r="AL112" t="s">
        <v>306</v>
      </c>
      <c r="AM112" t="s">
        <v>307</v>
      </c>
      <c r="AN112" t="s">
        <v>308</v>
      </c>
      <c r="AO112" t="s">
        <v>74</v>
      </c>
      <c r="AP112" t="s">
        <v>2461</v>
      </c>
      <c r="AQ112" t="s">
        <v>74</v>
      </c>
      <c r="AR112" t="s">
        <v>2448</v>
      </c>
      <c r="AS112" t="s">
        <v>2462</v>
      </c>
      <c r="AT112" t="s">
        <v>2170</v>
      </c>
      <c r="AU112">
        <v>2015</v>
      </c>
      <c r="AV112">
        <v>3</v>
      </c>
      <c r="AW112">
        <v>10</v>
      </c>
      <c r="AX112" t="s">
        <v>74</v>
      </c>
      <c r="AY112" t="s">
        <v>74</v>
      </c>
      <c r="AZ112" t="s">
        <v>74</v>
      </c>
      <c r="BA112" t="s">
        <v>74</v>
      </c>
      <c r="BB112">
        <v>317</v>
      </c>
      <c r="BC112">
        <v>329</v>
      </c>
      <c r="BD112" t="s">
        <v>74</v>
      </c>
      <c r="BE112" t="s">
        <v>2463</v>
      </c>
      <c r="BF112" t="str">
        <f>HYPERLINK("http://dx.doi.org/10.1002/2015EF000306","http://dx.doi.org/10.1002/2015EF000306")</f>
        <v>http://dx.doi.org/10.1002/2015EF000306</v>
      </c>
      <c r="BG112" t="s">
        <v>74</v>
      </c>
      <c r="BH112" t="s">
        <v>74</v>
      </c>
      <c r="BI112">
        <v>13</v>
      </c>
      <c r="BJ112" t="s">
        <v>2464</v>
      </c>
      <c r="BK112" t="s">
        <v>101</v>
      </c>
      <c r="BL112" t="s">
        <v>2465</v>
      </c>
      <c r="BM112" t="s">
        <v>2466</v>
      </c>
      <c r="BN112" t="s">
        <v>74</v>
      </c>
      <c r="BO112" t="s">
        <v>1150</v>
      </c>
      <c r="BP112" t="s">
        <v>74</v>
      </c>
      <c r="BQ112" t="s">
        <v>74</v>
      </c>
      <c r="BR112" t="s">
        <v>103</v>
      </c>
      <c r="BS112" t="s">
        <v>2467</v>
      </c>
      <c r="BT112" t="str">
        <f>HYPERLINK("https%3A%2F%2Fwww.webofscience.com%2Fwos%2Fwoscc%2Ffull-record%2FWOS:000365754400001","View Full Record in Web of Science")</f>
        <v>View Full Record in Web of Science</v>
      </c>
    </row>
    <row r="113" spans="1:72" x14ac:dyDescent="0.15">
      <c r="A113" t="s">
        <v>72</v>
      </c>
      <c r="B113" t="s">
        <v>2468</v>
      </c>
      <c r="C113" t="s">
        <v>74</v>
      </c>
      <c r="D113" t="s">
        <v>74</v>
      </c>
      <c r="E113" t="s">
        <v>74</v>
      </c>
      <c r="F113" t="s">
        <v>2469</v>
      </c>
      <c r="G113" t="s">
        <v>74</v>
      </c>
      <c r="H113" t="s">
        <v>74</v>
      </c>
      <c r="I113" t="s">
        <v>2470</v>
      </c>
      <c r="J113" t="s">
        <v>322</v>
      </c>
      <c r="K113" t="s">
        <v>74</v>
      </c>
      <c r="L113" t="s">
        <v>74</v>
      </c>
      <c r="M113" t="s">
        <v>78</v>
      </c>
      <c r="N113" t="s">
        <v>79</v>
      </c>
      <c r="O113" t="s">
        <v>74</v>
      </c>
      <c r="P113" t="s">
        <v>74</v>
      </c>
      <c r="Q113" t="s">
        <v>74</v>
      </c>
      <c r="R113" t="s">
        <v>74</v>
      </c>
      <c r="S113" t="s">
        <v>74</v>
      </c>
      <c r="T113" t="s">
        <v>74</v>
      </c>
      <c r="U113" t="s">
        <v>2471</v>
      </c>
      <c r="V113" t="s">
        <v>2472</v>
      </c>
      <c r="W113" t="s">
        <v>2473</v>
      </c>
      <c r="X113" t="s">
        <v>2474</v>
      </c>
      <c r="Y113" t="s">
        <v>2475</v>
      </c>
      <c r="Z113" t="s">
        <v>2476</v>
      </c>
      <c r="AA113" t="s">
        <v>2477</v>
      </c>
      <c r="AB113" t="s">
        <v>2478</v>
      </c>
      <c r="AC113" t="s">
        <v>2479</v>
      </c>
      <c r="AD113" t="s">
        <v>2480</v>
      </c>
      <c r="AE113" t="s">
        <v>2481</v>
      </c>
      <c r="AF113" t="s">
        <v>74</v>
      </c>
      <c r="AG113">
        <v>45</v>
      </c>
      <c r="AH113">
        <v>19</v>
      </c>
      <c r="AI113">
        <v>21</v>
      </c>
      <c r="AJ113">
        <v>0</v>
      </c>
      <c r="AK113">
        <v>11</v>
      </c>
      <c r="AL113" t="s">
        <v>306</v>
      </c>
      <c r="AM113" t="s">
        <v>307</v>
      </c>
      <c r="AN113" t="s">
        <v>308</v>
      </c>
      <c r="AO113" t="s">
        <v>334</v>
      </c>
      <c r="AP113" t="s">
        <v>335</v>
      </c>
      <c r="AQ113" t="s">
        <v>74</v>
      </c>
      <c r="AR113" t="s">
        <v>336</v>
      </c>
      <c r="AS113" t="s">
        <v>337</v>
      </c>
      <c r="AT113" t="s">
        <v>2170</v>
      </c>
      <c r="AU113">
        <v>2015</v>
      </c>
      <c r="AV113">
        <v>120</v>
      </c>
      <c r="AW113">
        <v>10</v>
      </c>
      <c r="AX113" t="s">
        <v>74</v>
      </c>
      <c r="AY113" t="s">
        <v>74</v>
      </c>
      <c r="AZ113" t="s">
        <v>74</v>
      </c>
      <c r="BA113" t="s">
        <v>74</v>
      </c>
      <c r="BB113">
        <v>6769</v>
      </c>
      <c r="BC113">
        <v>6781</v>
      </c>
      <c r="BD113" t="s">
        <v>74</v>
      </c>
      <c r="BE113" t="s">
        <v>2482</v>
      </c>
      <c r="BF113" t="str">
        <f>HYPERLINK("http://dx.doi.org/10.1002/2015JC010972","http://dx.doi.org/10.1002/2015JC010972")</f>
        <v>http://dx.doi.org/10.1002/2015JC010972</v>
      </c>
      <c r="BG113" t="s">
        <v>74</v>
      </c>
      <c r="BH113" t="s">
        <v>74</v>
      </c>
      <c r="BI113">
        <v>13</v>
      </c>
      <c r="BJ113" t="s">
        <v>339</v>
      </c>
      <c r="BK113" t="s">
        <v>101</v>
      </c>
      <c r="BL113" t="s">
        <v>339</v>
      </c>
      <c r="BM113" t="s">
        <v>2483</v>
      </c>
      <c r="BN113" t="s">
        <v>74</v>
      </c>
      <c r="BO113" t="s">
        <v>1073</v>
      </c>
      <c r="BP113" t="s">
        <v>74</v>
      </c>
      <c r="BQ113" t="s">
        <v>74</v>
      </c>
      <c r="BR113" t="s">
        <v>103</v>
      </c>
      <c r="BS113" t="s">
        <v>2484</v>
      </c>
      <c r="BT113" t="str">
        <f>HYPERLINK("https%3A%2F%2Fwww.webofscience.com%2Fwos%2Fwoscc%2Ffull-record%2FWOS:000365539700010","View Full Record in Web of Science")</f>
        <v>View Full Record in Web of Science</v>
      </c>
    </row>
    <row r="114" spans="1:72" x14ac:dyDescent="0.15">
      <c r="A114" t="s">
        <v>72</v>
      </c>
      <c r="B114" t="s">
        <v>2485</v>
      </c>
      <c r="C114" t="s">
        <v>74</v>
      </c>
      <c r="D114" t="s">
        <v>74</v>
      </c>
      <c r="E114" t="s">
        <v>74</v>
      </c>
      <c r="F114" t="s">
        <v>2486</v>
      </c>
      <c r="G114" t="s">
        <v>74</v>
      </c>
      <c r="H114" t="s">
        <v>74</v>
      </c>
      <c r="I114" t="s">
        <v>2487</v>
      </c>
      <c r="J114" t="s">
        <v>2488</v>
      </c>
      <c r="K114" t="s">
        <v>74</v>
      </c>
      <c r="L114" t="s">
        <v>74</v>
      </c>
      <c r="M114" t="s">
        <v>78</v>
      </c>
      <c r="N114" t="s">
        <v>79</v>
      </c>
      <c r="O114" t="s">
        <v>74</v>
      </c>
      <c r="P114" t="s">
        <v>74</v>
      </c>
      <c r="Q114" t="s">
        <v>74</v>
      </c>
      <c r="R114" t="s">
        <v>74</v>
      </c>
      <c r="S114" t="s">
        <v>74</v>
      </c>
      <c r="T114" t="s">
        <v>74</v>
      </c>
      <c r="U114" t="s">
        <v>2489</v>
      </c>
      <c r="V114" t="s">
        <v>2490</v>
      </c>
      <c r="W114" t="s">
        <v>2491</v>
      </c>
      <c r="X114" t="s">
        <v>2492</v>
      </c>
      <c r="Y114" t="s">
        <v>2493</v>
      </c>
      <c r="Z114" t="s">
        <v>2494</v>
      </c>
      <c r="AA114" t="s">
        <v>2495</v>
      </c>
      <c r="AB114" t="s">
        <v>2496</v>
      </c>
      <c r="AC114" t="s">
        <v>1275</v>
      </c>
      <c r="AD114" t="s">
        <v>1276</v>
      </c>
      <c r="AE114" t="s">
        <v>2497</v>
      </c>
      <c r="AF114" t="s">
        <v>74</v>
      </c>
      <c r="AG114">
        <v>36</v>
      </c>
      <c r="AH114">
        <v>2</v>
      </c>
      <c r="AI114">
        <v>2</v>
      </c>
      <c r="AJ114">
        <v>0</v>
      </c>
      <c r="AK114">
        <v>12</v>
      </c>
      <c r="AL114" t="s">
        <v>2498</v>
      </c>
      <c r="AM114" t="s">
        <v>2499</v>
      </c>
      <c r="AN114" t="s">
        <v>2500</v>
      </c>
      <c r="AO114" t="s">
        <v>2501</v>
      </c>
      <c r="AP114" t="s">
        <v>2502</v>
      </c>
      <c r="AQ114" t="s">
        <v>74</v>
      </c>
      <c r="AR114" t="s">
        <v>2503</v>
      </c>
      <c r="AS114" t="s">
        <v>2504</v>
      </c>
      <c r="AT114" t="s">
        <v>2170</v>
      </c>
      <c r="AU114">
        <v>2015</v>
      </c>
      <c r="AV114">
        <v>91</v>
      </c>
      <c r="AW114">
        <v>4</v>
      </c>
      <c r="AX114" t="s">
        <v>74</v>
      </c>
      <c r="AY114" t="s">
        <v>74</v>
      </c>
      <c r="AZ114" t="s">
        <v>74</v>
      </c>
      <c r="BA114" t="s">
        <v>74</v>
      </c>
      <c r="BB114">
        <v>469</v>
      </c>
      <c r="BC114">
        <v>476</v>
      </c>
      <c r="BD114" t="s">
        <v>74</v>
      </c>
      <c r="BE114" t="s">
        <v>2505</v>
      </c>
      <c r="BF114" t="str">
        <f>HYPERLINK("http://dx.doi.org/10.5343/bms.2015.1006","http://dx.doi.org/10.5343/bms.2015.1006")</f>
        <v>http://dx.doi.org/10.5343/bms.2015.1006</v>
      </c>
      <c r="BG114" t="s">
        <v>74</v>
      </c>
      <c r="BH114" t="s">
        <v>74</v>
      </c>
      <c r="BI114">
        <v>8</v>
      </c>
      <c r="BJ114" t="s">
        <v>478</v>
      </c>
      <c r="BK114" t="s">
        <v>101</v>
      </c>
      <c r="BL114" t="s">
        <v>478</v>
      </c>
      <c r="BM114" t="s">
        <v>2506</v>
      </c>
      <c r="BN114" t="s">
        <v>74</v>
      </c>
      <c r="BO114" t="s">
        <v>245</v>
      </c>
      <c r="BP114" t="s">
        <v>74</v>
      </c>
      <c r="BQ114" t="s">
        <v>74</v>
      </c>
      <c r="BR114" t="s">
        <v>103</v>
      </c>
      <c r="BS114" t="s">
        <v>2507</v>
      </c>
      <c r="BT114" t="str">
        <f>HYPERLINK("https%3A%2F%2Fwww.webofscience.com%2Fwos%2Fwoscc%2Ffull-record%2FWOS:000364822000006","View Full Record in Web of Science")</f>
        <v>View Full Record in Web of Science</v>
      </c>
    </row>
    <row r="115" spans="1:72" x14ac:dyDescent="0.15">
      <c r="A115" t="s">
        <v>72</v>
      </c>
      <c r="B115" t="s">
        <v>2508</v>
      </c>
      <c r="C115" t="s">
        <v>74</v>
      </c>
      <c r="D115" t="s">
        <v>74</v>
      </c>
      <c r="E115" t="s">
        <v>74</v>
      </c>
      <c r="F115" t="s">
        <v>2509</v>
      </c>
      <c r="G115" t="s">
        <v>74</v>
      </c>
      <c r="H115" t="s">
        <v>74</v>
      </c>
      <c r="I115" t="s">
        <v>2510</v>
      </c>
      <c r="J115" t="s">
        <v>2511</v>
      </c>
      <c r="K115" t="s">
        <v>74</v>
      </c>
      <c r="L115" t="s">
        <v>74</v>
      </c>
      <c r="M115" t="s">
        <v>78</v>
      </c>
      <c r="N115" t="s">
        <v>79</v>
      </c>
      <c r="O115" t="s">
        <v>74</v>
      </c>
      <c r="P115" t="s">
        <v>74</v>
      </c>
      <c r="Q115" t="s">
        <v>74</v>
      </c>
      <c r="R115" t="s">
        <v>74</v>
      </c>
      <c r="S115" t="s">
        <v>74</v>
      </c>
      <c r="T115" t="s">
        <v>2512</v>
      </c>
      <c r="U115" t="s">
        <v>2513</v>
      </c>
      <c r="V115" t="s">
        <v>2514</v>
      </c>
      <c r="W115" t="s">
        <v>2515</v>
      </c>
      <c r="X115" t="s">
        <v>2516</v>
      </c>
      <c r="Y115" t="s">
        <v>2517</v>
      </c>
      <c r="Z115" t="s">
        <v>2518</v>
      </c>
      <c r="AA115" t="s">
        <v>2519</v>
      </c>
      <c r="AB115" t="s">
        <v>2520</v>
      </c>
      <c r="AC115" t="s">
        <v>2521</v>
      </c>
      <c r="AD115" t="s">
        <v>2522</v>
      </c>
      <c r="AE115" t="s">
        <v>2523</v>
      </c>
      <c r="AF115" t="s">
        <v>74</v>
      </c>
      <c r="AG115">
        <v>80</v>
      </c>
      <c r="AH115">
        <v>34</v>
      </c>
      <c r="AI115">
        <v>38</v>
      </c>
      <c r="AJ115">
        <v>0</v>
      </c>
      <c r="AK115">
        <v>28</v>
      </c>
      <c r="AL115" t="s">
        <v>925</v>
      </c>
      <c r="AM115" t="s">
        <v>884</v>
      </c>
      <c r="AN115" t="s">
        <v>926</v>
      </c>
      <c r="AO115" t="s">
        <v>2524</v>
      </c>
      <c r="AP115" t="s">
        <v>2525</v>
      </c>
      <c r="AQ115" t="s">
        <v>74</v>
      </c>
      <c r="AR115" t="s">
        <v>2526</v>
      </c>
      <c r="AS115" t="s">
        <v>2527</v>
      </c>
      <c r="AT115" t="s">
        <v>2170</v>
      </c>
      <c r="AU115">
        <v>2015</v>
      </c>
      <c r="AV115">
        <v>133</v>
      </c>
      <c r="AW115" t="s">
        <v>74</v>
      </c>
      <c r="AX115" t="s">
        <v>74</v>
      </c>
      <c r="AY115" t="s">
        <v>74</v>
      </c>
      <c r="AZ115" t="s">
        <v>74</v>
      </c>
      <c r="BA115" t="s">
        <v>74</v>
      </c>
      <c r="BB115">
        <v>109</v>
      </c>
      <c r="BC115">
        <v>119</v>
      </c>
      <c r="BD115" t="s">
        <v>74</v>
      </c>
      <c r="BE115" t="s">
        <v>2528</v>
      </c>
      <c r="BF115" t="str">
        <f>HYPERLINK("http://dx.doi.org/10.1016/j.gloplacha.2015.08.009","http://dx.doi.org/10.1016/j.gloplacha.2015.08.009")</f>
        <v>http://dx.doi.org/10.1016/j.gloplacha.2015.08.009</v>
      </c>
      <c r="BG115" t="s">
        <v>74</v>
      </c>
      <c r="BH115" t="s">
        <v>74</v>
      </c>
      <c r="BI115">
        <v>11</v>
      </c>
      <c r="BJ115" t="s">
        <v>1778</v>
      </c>
      <c r="BK115" t="s">
        <v>101</v>
      </c>
      <c r="BL115" t="s">
        <v>1779</v>
      </c>
      <c r="BM115" t="s">
        <v>2529</v>
      </c>
      <c r="BN115" t="s">
        <v>74</v>
      </c>
      <c r="BO115" t="s">
        <v>74</v>
      </c>
      <c r="BP115" t="s">
        <v>74</v>
      </c>
      <c r="BQ115" t="s">
        <v>74</v>
      </c>
      <c r="BR115" t="s">
        <v>103</v>
      </c>
      <c r="BS115" t="s">
        <v>2530</v>
      </c>
      <c r="BT115" t="str">
        <f>HYPERLINK("https%3A%2F%2Fwww.webofscience.com%2Fwos%2Fwoscc%2Ffull-record%2FWOS:000365053700011","View Full Record in Web of Science")</f>
        <v>View Full Record in Web of Science</v>
      </c>
    </row>
    <row r="116" spans="1:72" x14ac:dyDescent="0.15">
      <c r="A116" t="s">
        <v>72</v>
      </c>
      <c r="B116" t="s">
        <v>2531</v>
      </c>
      <c r="C116" t="s">
        <v>74</v>
      </c>
      <c r="D116" t="s">
        <v>74</v>
      </c>
      <c r="E116" t="s">
        <v>74</v>
      </c>
      <c r="F116" t="s">
        <v>2532</v>
      </c>
      <c r="G116" t="s">
        <v>74</v>
      </c>
      <c r="H116" t="s">
        <v>74</v>
      </c>
      <c r="I116" t="s">
        <v>2533</v>
      </c>
      <c r="J116" t="s">
        <v>2511</v>
      </c>
      <c r="K116" t="s">
        <v>74</v>
      </c>
      <c r="L116" t="s">
        <v>74</v>
      </c>
      <c r="M116" t="s">
        <v>78</v>
      </c>
      <c r="N116" t="s">
        <v>79</v>
      </c>
      <c r="O116" t="s">
        <v>74</v>
      </c>
      <c r="P116" t="s">
        <v>74</v>
      </c>
      <c r="Q116" t="s">
        <v>74</v>
      </c>
      <c r="R116" t="s">
        <v>74</v>
      </c>
      <c r="S116" t="s">
        <v>74</v>
      </c>
      <c r="T116" t="s">
        <v>2534</v>
      </c>
      <c r="U116" t="s">
        <v>2535</v>
      </c>
      <c r="V116" t="s">
        <v>2536</v>
      </c>
      <c r="W116" t="s">
        <v>2537</v>
      </c>
      <c r="X116" t="s">
        <v>2538</v>
      </c>
      <c r="Y116" t="s">
        <v>2539</v>
      </c>
      <c r="Z116" t="s">
        <v>2540</v>
      </c>
      <c r="AA116" t="s">
        <v>2541</v>
      </c>
      <c r="AB116" t="s">
        <v>2542</v>
      </c>
      <c r="AC116" t="s">
        <v>2543</v>
      </c>
      <c r="AD116" t="s">
        <v>2544</v>
      </c>
      <c r="AE116" t="s">
        <v>2545</v>
      </c>
      <c r="AF116" t="s">
        <v>74</v>
      </c>
      <c r="AG116">
        <v>125</v>
      </c>
      <c r="AH116">
        <v>31</v>
      </c>
      <c r="AI116">
        <v>37</v>
      </c>
      <c r="AJ116">
        <v>0</v>
      </c>
      <c r="AK116">
        <v>16</v>
      </c>
      <c r="AL116" t="s">
        <v>883</v>
      </c>
      <c r="AM116" t="s">
        <v>884</v>
      </c>
      <c r="AN116" t="s">
        <v>885</v>
      </c>
      <c r="AO116" t="s">
        <v>2524</v>
      </c>
      <c r="AP116" t="s">
        <v>2525</v>
      </c>
      <c r="AQ116" t="s">
        <v>74</v>
      </c>
      <c r="AR116" t="s">
        <v>2526</v>
      </c>
      <c r="AS116" t="s">
        <v>2527</v>
      </c>
      <c r="AT116" t="s">
        <v>2170</v>
      </c>
      <c r="AU116">
        <v>2015</v>
      </c>
      <c r="AV116">
        <v>133</v>
      </c>
      <c r="AW116" t="s">
        <v>74</v>
      </c>
      <c r="AX116" t="s">
        <v>74</v>
      </c>
      <c r="AY116" t="s">
        <v>74</v>
      </c>
      <c r="AZ116" t="s">
        <v>74</v>
      </c>
      <c r="BA116" t="s">
        <v>74</v>
      </c>
      <c r="BB116">
        <v>125</v>
      </c>
      <c r="BC116">
        <v>140</v>
      </c>
      <c r="BD116" t="s">
        <v>74</v>
      </c>
      <c r="BE116" t="s">
        <v>2546</v>
      </c>
      <c r="BF116" t="str">
        <f>HYPERLINK("http://dx.doi.org/10.1016/j.gloplacha.2015.08.005","http://dx.doi.org/10.1016/j.gloplacha.2015.08.005")</f>
        <v>http://dx.doi.org/10.1016/j.gloplacha.2015.08.005</v>
      </c>
      <c r="BG116" t="s">
        <v>74</v>
      </c>
      <c r="BH116" t="s">
        <v>74</v>
      </c>
      <c r="BI116">
        <v>16</v>
      </c>
      <c r="BJ116" t="s">
        <v>1778</v>
      </c>
      <c r="BK116" t="s">
        <v>101</v>
      </c>
      <c r="BL116" t="s">
        <v>1779</v>
      </c>
      <c r="BM116" t="s">
        <v>2529</v>
      </c>
      <c r="BN116" t="s">
        <v>74</v>
      </c>
      <c r="BO116" t="s">
        <v>74</v>
      </c>
      <c r="BP116" t="s">
        <v>74</v>
      </c>
      <c r="BQ116" t="s">
        <v>74</v>
      </c>
      <c r="BR116" t="s">
        <v>103</v>
      </c>
      <c r="BS116" t="s">
        <v>2547</v>
      </c>
      <c r="BT116" t="str">
        <f>HYPERLINK("https%3A%2F%2Fwww.webofscience.com%2Fwos%2Fwoscc%2Ffull-record%2FWOS:000365053700013","View Full Record in Web of Science")</f>
        <v>View Full Record in Web of Science</v>
      </c>
    </row>
    <row r="117" spans="1:72" x14ac:dyDescent="0.15">
      <c r="A117" t="s">
        <v>72</v>
      </c>
      <c r="B117" t="s">
        <v>2548</v>
      </c>
      <c r="C117" t="s">
        <v>74</v>
      </c>
      <c r="D117" t="s">
        <v>74</v>
      </c>
      <c r="E117" t="s">
        <v>74</v>
      </c>
      <c r="F117" t="s">
        <v>2549</v>
      </c>
      <c r="G117" t="s">
        <v>74</v>
      </c>
      <c r="H117" t="s">
        <v>74</v>
      </c>
      <c r="I117" t="s">
        <v>2550</v>
      </c>
      <c r="J117" t="s">
        <v>2511</v>
      </c>
      <c r="K117" t="s">
        <v>74</v>
      </c>
      <c r="L117" t="s">
        <v>74</v>
      </c>
      <c r="M117" t="s">
        <v>78</v>
      </c>
      <c r="N117" t="s">
        <v>2551</v>
      </c>
      <c r="O117" t="s">
        <v>74</v>
      </c>
      <c r="P117" t="s">
        <v>74</v>
      </c>
      <c r="Q117" t="s">
        <v>74</v>
      </c>
      <c r="R117" t="s">
        <v>74</v>
      </c>
      <c r="S117" t="s">
        <v>74</v>
      </c>
      <c r="T117" t="s">
        <v>74</v>
      </c>
      <c r="U117" t="s">
        <v>74</v>
      </c>
      <c r="V117" t="s">
        <v>74</v>
      </c>
      <c r="W117" t="s">
        <v>2552</v>
      </c>
      <c r="X117" t="s">
        <v>2553</v>
      </c>
      <c r="Y117" t="s">
        <v>2554</v>
      </c>
      <c r="Z117" t="s">
        <v>2555</v>
      </c>
      <c r="AA117" t="s">
        <v>2556</v>
      </c>
      <c r="AB117" t="s">
        <v>2557</v>
      </c>
      <c r="AC117" t="s">
        <v>74</v>
      </c>
      <c r="AD117" t="s">
        <v>74</v>
      </c>
      <c r="AE117" t="s">
        <v>74</v>
      </c>
      <c r="AF117" t="s">
        <v>74</v>
      </c>
      <c r="AG117">
        <v>1</v>
      </c>
      <c r="AH117">
        <v>0</v>
      </c>
      <c r="AI117">
        <v>0</v>
      </c>
      <c r="AJ117">
        <v>0</v>
      </c>
      <c r="AK117">
        <v>5</v>
      </c>
      <c r="AL117" t="s">
        <v>925</v>
      </c>
      <c r="AM117" t="s">
        <v>884</v>
      </c>
      <c r="AN117" t="s">
        <v>926</v>
      </c>
      <c r="AO117" t="s">
        <v>2524</v>
      </c>
      <c r="AP117" t="s">
        <v>2525</v>
      </c>
      <c r="AQ117" t="s">
        <v>74</v>
      </c>
      <c r="AR117" t="s">
        <v>2526</v>
      </c>
      <c r="AS117" t="s">
        <v>2527</v>
      </c>
      <c r="AT117" t="s">
        <v>2170</v>
      </c>
      <c r="AU117">
        <v>2015</v>
      </c>
      <c r="AV117">
        <v>133</v>
      </c>
      <c r="AW117" t="s">
        <v>74</v>
      </c>
      <c r="AX117" t="s">
        <v>74</v>
      </c>
      <c r="AY117" t="s">
        <v>74</v>
      </c>
      <c r="AZ117" t="s">
        <v>74</v>
      </c>
      <c r="BA117" t="s">
        <v>74</v>
      </c>
      <c r="BB117">
        <v>378</v>
      </c>
      <c r="BC117">
        <v>378</v>
      </c>
      <c r="BD117" t="s">
        <v>74</v>
      </c>
      <c r="BE117" t="s">
        <v>2558</v>
      </c>
      <c r="BF117" t="str">
        <f>HYPERLINK("http://dx.doi.org/10.1016/j.gloplacha.2014.12.006","http://dx.doi.org/10.1016/j.gloplacha.2014.12.006")</f>
        <v>http://dx.doi.org/10.1016/j.gloplacha.2014.12.006</v>
      </c>
      <c r="BG117" t="s">
        <v>74</v>
      </c>
      <c r="BH117" t="s">
        <v>74</v>
      </c>
      <c r="BI117">
        <v>1</v>
      </c>
      <c r="BJ117" t="s">
        <v>1778</v>
      </c>
      <c r="BK117" t="s">
        <v>101</v>
      </c>
      <c r="BL117" t="s">
        <v>1779</v>
      </c>
      <c r="BM117" t="s">
        <v>2529</v>
      </c>
      <c r="BN117" t="s">
        <v>74</v>
      </c>
      <c r="BO117" t="s">
        <v>74</v>
      </c>
      <c r="BP117" t="s">
        <v>74</v>
      </c>
      <c r="BQ117" t="s">
        <v>74</v>
      </c>
      <c r="BR117" t="s">
        <v>103</v>
      </c>
      <c r="BS117" t="s">
        <v>2559</v>
      </c>
      <c r="BT117" t="str">
        <f>HYPERLINK("https%3A%2F%2Fwww.webofscience.com%2Fwos%2Fwoscc%2Ffull-record%2FWOS:000365053700033","View Full Record in Web of Science")</f>
        <v>View Full Record in Web of Science</v>
      </c>
    </row>
    <row r="118" spans="1:72" x14ac:dyDescent="0.15">
      <c r="A118" t="s">
        <v>72</v>
      </c>
      <c r="B118" t="s">
        <v>2560</v>
      </c>
      <c r="C118" t="s">
        <v>74</v>
      </c>
      <c r="D118" t="s">
        <v>74</v>
      </c>
      <c r="E118" t="s">
        <v>74</v>
      </c>
      <c r="F118" t="s">
        <v>2561</v>
      </c>
      <c r="G118" t="s">
        <v>74</v>
      </c>
      <c r="H118" t="s">
        <v>74</v>
      </c>
      <c r="I118" t="s">
        <v>2562</v>
      </c>
      <c r="J118" t="s">
        <v>2563</v>
      </c>
      <c r="K118" t="s">
        <v>74</v>
      </c>
      <c r="L118" t="s">
        <v>74</v>
      </c>
      <c r="M118" t="s">
        <v>78</v>
      </c>
      <c r="N118" t="s">
        <v>79</v>
      </c>
      <c r="O118" t="s">
        <v>74</v>
      </c>
      <c r="P118" t="s">
        <v>74</v>
      </c>
      <c r="Q118" t="s">
        <v>74</v>
      </c>
      <c r="R118" t="s">
        <v>74</v>
      </c>
      <c r="S118" t="s">
        <v>74</v>
      </c>
      <c r="T118" t="s">
        <v>74</v>
      </c>
      <c r="U118" t="s">
        <v>74</v>
      </c>
      <c r="V118" t="s">
        <v>2564</v>
      </c>
      <c r="W118" t="s">
        <v>2565</v>
      </c>
      <c r="X118" t="s">
        <v>2566</v>
      </c>
      <c r="Y118" t="s">
        <v>2567</v>
      </c>
      <c r="Z118" t="s">
        <v>2568</v>
      </c>
      <c r="AA118" t="s">
        <v>74</v>
      </c>
      <c r="AB118" t="s">
        <v>2569</v>
      </c>
      <c r="AC118" t="s">
        <v>2570</v>
      </c>
      <c r="AD118" t="s">
        <v>2571</v>
      </c>
      <c r="AE118" t="s">
        <v>2572</v>
      </c>
      <c r="AF118" t="s">
        <v>74</v>
      </c>
      <c r="AG118">
        <v>16</v>
      </c>
      <c r="AH118">
        <v>10</v>
      </c>
      <c r="AI118">
        <v>12</v>
      </c>
      <c r="AJ118">
        <v>0</v>
      </c>
      <c r="AK118">
        <v>24</v>
      </c>
      <c r="AL118" t="s">
        <v>2573</v>
      </c>
      <c r="AM118" t="s">
        <v>2574</v>
      </c>
      <c r="AN118" t="s">
        <v>2575</v>
      </c>
      <c r="AO118" t="s">
        <v>2576</v>
      </c>
      <c r="AP118" t="s">
        <v>2577</v>
      </c>
      <c r="AQ118" t="s">
        <v>74</v>
      </c>
      <c r="AR118" t="s">
        <v>2578</v>
      </c>
      <c r="AS118" t="s">
        <v>2579</v>
      </c>
      <c r="AT118" t="s">
        <v>2170</v>
      </c>
      <c r="AU118">
        <v>2015</v>
      </c>
      <c r="AV118">
        <v>69</v>
      </c>
      <c r="AW118">
        <v>4</v>
      </c>
      <c r="AX118" t="s">
        <v>74</v>
      </c>
      <c r="AY118" t="s">
        <v>74</v>
      </c>
      <c r="AZ118" t="s">
        <v>74</v>
      </c>
      <c r="BA118" t="s">
        <v>74</v>
      </c>
      <c r="BB118">
        <v>477</v>
      </c>
      <c r="BC118">
        <v>485</v>
      </c>
      <c r="BD118" t="s">
        <v>74</v>
      </c>
      <c r="BE118" t="s">
        <v>2580</v>
      </c>
      <c r="BF118" t="str">
        <f>HYPERLINK("http://dx.doi.org/10.2984/69.4.4","http://dx.doi.org/10.2984/69.4.4")</f>
        <v>http://dx.doi.org/10.2984/69.4.4</v>
      </c>
      <c r="BG118" t="s">
        <v>74</v>
      </c>
      <c r="BH118" t="s">
        <v>74</v>
      </c>
      <c r="BI118">
        <v>9</v>
      </c>
      <c r="BJ118" t="s">
        <v>2581</v>
      </c>
      <c r="BK118" t="s">
        <v>101</v>
      </c>
      <c r="BL118" t="s">
        <v>2581</v>
      </c>
      <c r="BM118" t="s">
        <v>2582</v>
      </c>
      <c r="BN118" t="s">
        <v>74</v>
      </c>
      <c r="BO118" t="s">
        <v>74</v>
      </c>
      <c r="BP118" t="s">
        <v>74</v>
      </c>
      <c r="BQ118" t="s">
        <v>74</v>
      </c>
      <c r="BR118" t="s">
        <v>103</v>
      </c>
      <c r="BS118" t="s">
        <v>2583</v>
      </c>
      <c r="BT118" t="str">
        <f>HYPERLINK("https%3A%2F%2Fwww.webofscience.com%2Fwos%2Fwoscc%2Ffull-record%2FWOS:000365235900004","View Full Record in Web of Science")</f>
        <v>View Full Record in Web of Science</v>
      </c>
    </row>
    <row r="119" spans="1:72" x14ac:dyDescent="0.15">
      <c r="A119" t="s">
        <v>72</v>
      </c>
      <c r="B119" t="s">
        <v>2584</v>
      </c>
      <c r="C119" t="s">
        <v>74</v>
      </c>
      <c r="D119" t="s">
        <v>74</v>
      </c>
      <c r="E119" t="s">
        <v>74</v>
      </c>
      <c r="F119" t="s">
        <v>2585</v>
      </c>
      <c r="G119" t="s">
        <v>74</v>
      </c>
      <c r="H119" t="s">
        <v>74</v>
      </c>
      <c r="I119" t="s">
        <v>2586</v>
      </c>
      <c r="J119" t="s">
        <v>511</v>
      </c>
      <c r="K119" t="s">
        <v>74</v>
      </c>
      <c r="L119" t="s">
        <v>74</v>
      </c>
      <c r="M119" t="s">
        <v>78</v>
      </c>
      <c r="N119" t="s">
        <v>79</v>
      </c>
      <c r="O119" t="s">
        <v>74</v>
      </c>
      <c r="P119" t="s">
        <v>74</v>
      </c>
      <c r="Q119" t="s">
        <v>74</v>
      </c>
      <c r="R119" t="s">
        <v>74</v>
      </c>
      <c r="S119" t="s">
        <v>74</v>
      </c>
      <c r="T119" t="s">
        <v>74</v>
      </c>
      <c r="U119" t="s">
        <v>2587</v>
      </c>
      <c r="V119" t="s">
        <v>2588</v>
      </c>
      <c r="W119" t="s">
        <v>2589</v>
      </c>
      <c r="X119" t="s">
        <v>2590</v>
      </c>
      <c r="Y119" t="s">
        <v>2591</v>
      </c>
      <c r="Z119" t="s">
        <v>2592</v>
      </c>
      <c r="AA119" t="s">
        <v>2593</v>
      </c>
      <c r="AB119" t="s">
        <v>2594</v>
      </c>
      <c r="AC119" t="s">
        <v>2595</v>
      </c>
      <c r="AD119" t="s">
        <v>2596</v>
      </c>
      <c r="AE119" t="s">
        <v>2597</v>
      </c>
      <c r="AF119" t="s">
        <v>74</v>
      </c>
      <c r="AG119">
        <v>49</v>
      </c>
      <c r="AH119">
        <v>48</v>
      </c>
      <c r="AI119">
        <v>52</v>
      </c>
      <c r="AJ119">
        <v>3</v>
      </c>
      <c r="AK119">
        <v>32</v>
      </c>
      <c r="AL119" t="s">
        <v>179</v>
      </c>
      <c r="AM119" t="s">
        <v>180</v>
      </c>
      <c r="AN119" t="s">
        <v>181</v>
      </c>
      <c r="AO119" t="s">
        <v>526</v>
      </c>
      <c r="AP119" t="s">
        <v>74</v>
      </c>
      <c r="AQ119" t="s">
        <v>74</v>
      </c>
      <c r="AR119" t="s">
        <v>527</v>
      </c>
      <c r="AS119" t="s">
        <v>528</v>
      </c>
      <c r="AT119" t="s">
        <v>2170</v>
      </c>
      <c r="AU119">
        <v>2015</v>
      </c>
      <c r="AV119">
        <v>6</v>
      </c>
      <c r="AW119" t="s">
        <v>74</v>
      </c>
      <c r="AX119" t="s">
        <v>74</v>
      </c>
      <c r="AY119" t="s">
        <v>74</v>
      </c>
      <c r="AZ119" t="s">
        <v>74</v>
      </c>
      <c r="BA119" t="s">
        <v>74</v>
      </c>
      <c r="BB119" t="s">
        <v>74</v>
      </c>
      <c r="BC119" t="s">
        <v>74</v>
      </c>
      <c r="BD119">
        <v>8656</v>
      </c>
      <c r="BE119" t="s">
        <v>2598</v>
      </c>
      <c r="BF119" t="str">
        <f>HYPERLINK("http://dx.doi.org/10.1038/ncomms9656","http://dx.doi.org/10.1038/ncomms9656")</f>
        <v>http://dx.doi.org/10.1038/ncomms9656</v>
      </c>
      <c r="BG119" t="s">
        <v>74</v>
      </c>
      <c r="BH119" t="s">
        <v>74</v>
      </c>
      <c r="BI119">
        <v>9</v>
      </c>
      <c r="BJ119" t="s">
        <v>530</v>
      </c>
      <c r="BK119" t="s">
        <v>101</v>
      </c>
      <c r="BL119" t="s">
        <v>531</v>
      </c>
      <c r="BM119" t="s">
        <v>2599</v>
      </c>
      <c r="BN119">
        <v>26486973</v>
      </c>
      <c r="BO119" t="s">
        <v>2600</v>
      </c>
      <c r="BP119" t="s">
        <v>74</v>
      </c>
      <c r="BQ119" t="s">
        <v>74</v>
      </c>
      <c r="BR119" t="s">
        <v>103</v>
      </c>
      <c r="BS119" t="s">
        <v>2601</v>
      </c>
      <c r="BT119" t="str">
        <f>HYPERLINK("https%3A%2F%2Fwww.webofscience.com%2Fwos%2Fwoscc%2Ffull-record%2FWOS:000364935700003","View Full Record in Web of Science")</f>
        <v>View Full Record in Web of Science</v>
      </c>
    </row>
    <row r="120" spans="1:72" x14ac:dyDescent="0.15">
      <c r="A120" t="s">
        <v>72</v>
      </c>
      <c r="B120" t="s">
        <v>2602</v>
      </c>
      <c r="C120" t="s">
        <v>74</v>
      </c>
      <c r="D120" t="s">
        <v>74</v>
      </c>
      <c r="E120" t="s">
        <v>74</v>
      </c>
      <c r="F120" t="s">
        <v>2603</v>
      </c>
      <c r="G120" t="s">
        <v>74</v>
      </c>
      <c r="H120" t="s">
        <v>74</v>
      </c>
      <c r="I120" t="s">
        <v>2604</v>
      </c>
      <c r="J120" t="s">
        <v>2605</v>
      </c>
      <c r="K120" t="s">
        <v>74</v>
      </c>
      <c r="L120" t="s">
        <v>74</v>
      </c>
      <c r="M120" t="s">
        <v>78</v>
      </c>
      <c r="N120" t="s">
        <v>79</v>
      </c>
      <c r="O120" t="s">
        <v>74</v>
      </c>
      <c r="P120" t="s">
        <v>74</v>
      </c>
      <c r="Q120" t="s">
        <v>74</v>
      </c>
      <c r="R120" t="s">
        <v>74</v>
      </c>
      <c r="S120" t="s">
        <v>74</v>
      </c>
      <c r="T120" t="s">
        <v>2606</v>
      </c>
      <c r="U120" t="s">
        <v>2607</v>
      </c>
      <c r="V120" t="s">
        <v>2608</v>
      </c>
      <c r="W120" t="s">
        <v>2609</v>
      </c>
      <c r="X120" t="s">
        <v>2610</v>
      </c>
      <c r="Y120" t="s">
        <v>2611</v>
      </c>
      <c r="Z120" t="s">
        <v>2612</v>
      </c>
      <c r="AA120" t="s">
        <v>2613</v>
      </c>
      <c r="AB120" t="s">
        <v>74</v>
      </c>
      <c r="AC120" t="s">
        <v>2614</v>
      </c>
      <c r="AD120" t="s">
        <v>2615</v>
      </c>
      <c r="AE120" t="s">
        <v>2616</v>
      </c>
      <c r="AF120" t="s">
        <v>74</v>
      </c>
      <c r="AG120">
        <v>82</v>
      </c>
      <c r="AH120">
        <v>9</v>
      </c>
      <c r="AI120">
        <v>11</v>
      </c>
      <c r="AJ120">
        <v>6</v>
      </c>
      <c r="AK120">
        <v>52</v>
      </c>
      <c r="AL120" t="s">
        <v>208</v>
      </c>
      <c r="AM120" t="s">
        <v>209</v>
      </c>
      <c r="AN120" t="s">
        <v>210</v>
      </c>
      <c r="AO120" t="s">
        <v>2617</v>
      </c>
      <c r="AP120" t="s">
        <v>2618</v>
      </c>
      <c r="AQ120" t="s">
        <v>74</v>
      </c>
      <c r="AR120" t="s">
        <v>2619</v>
      </c>
      <c r="AS120" t="s">
        <v>2620</v>
      </c>
      <c r="AT120" t="s">
        <v>2170</v>
      </c>
      <c r="AU120">
        <v>2015</v>
      </c>
      <c r="AV120">
        <v>89</v>
      </c>
      <c r="AW120">
        <v>5</v>
      </c>
      <c r="AX120" t="s">
        <v>74</v>
      </c>
      <c r="AY120" t="s">
        <v>74</v>
      </c>
      <c r="AZ120" t="s">
        <v>74</v>
      </c>
      <c r="BA120" t="s">
        <v>74</v>
      </c>
      <c r="BB120">
        <v>1649</v>
      </c>
      <c r="BC120">
        <v>1663</v>
      </c>
      <c r="BD120" t="s">
        <v>74</v>
      </c>
      <c r="BE120" t="s">
        <v>74</v>
      </c>
      <c r="BF120" t="s">
        <v>74</v>
      </c>
      <c r="BG120" t="s">
        <v>74</v>
      </c>
      <c r="BH120" t="s">
        <v>74</v>
      </c>
      <c r="BI120">
        <v>15</v>
      </c>
      <c r="BJ120" t="s">
        <v>314</v>
      </c>
      <c r="BK120" t="s">
        <v>101</v>
      </c>
      <c r="BL120" t="s">
        <v>315</v>
      </c>
      <c r="BM120" t="s">
        <v>2621</v>
      </c>
      <c r="BN120" t="s">
        <v>74</v>
      </c>
      <c r="BO120" t="s">
        <v>74</v>
      </c>
      <c r="BP120" t="s">
        <v>74</v>
      </c>
      <c r="BQ120" t="s">
        <v>74</v>
      </c>
      <c r="BR120" t="s">
        <v>103</v>
      </c>
      <c r="BS120" t="s">
        <v>2622</v>
      </c>
      <c r="BT120" t="str">
        <f>HYPERLINK("https%3A%2F%2Fwww.webofscience.com%2Fwos%2Fwoscc%2Ffull-record%2FWOS:000364726900018","View Full Record in Web of Science")</f>
        <v>View Full Record in Web of Science</v>
      </c>
    </row>
    <row r="121" spans="1:72" x14ac:dyDescent="0.15">
      <c r="A121" t="s">
        <v>72</v>
      </c>
      <c r="B121" t="s">
        <v>2623</v>
      </c>
      <c r="C121" t="s">
        <v>74</v>
      </c>
      <c r="D121" t="s">
        <v>74</v>
      </c>
      <c r="E121" t="s">
        <v>74</v>
      </c>
      <c r="F121" t="s">
        <v>2624</v>
      </c>
      <c r="G121" t="s">
        <v>74</v>
      </c>
      <c r="H121" t="s">
        <v>74</v>
      </c>
      <c r="I121" t="s">
        <v>2625</v>
      </c>
      <c r="J121" t="s">
        <v>2626</v>
      </c>
      <c r="K121" t="s">
        <v>74</v>
      </c>
      <c r="L121" t="s">
        <v>74</v>
      </c>
      <c r="M121" t="s">
        <v>78</v>
      </c>
      <c r="N121" t="s">
        <v>79</v>
      </c>
      <c r="O121" t="s">
        <v>74</v>
      </c>
      <c r="P121" t="s">
        <v>74</v>
      </c>
      <c r="Q121" t="s">
        <v>74</v>
      </c>
      <c r="R121" t="s">
        <v>74</v>
      </c>
      <c r="S121" t="s">
        <v>74</v>
      </c>
      <c r="T121" t="s">
        <v>74</v>
      </c>
      <c r="U121" t="s">
        <v>2627</v>
      </c>
      <c r="V121" t="s">
        <v>2628</v>
      </c>
      <c r="W121" t="s">
        <v>2629</v>
      </c>
      <c r="X121" t="s">
        <v>2630</v>
      </c>
      <c r="Y121" t="s">
        <v>2631</v>
      </c>
      <c r="Z121" t="s">
        <v>2632</v>
      </c>
      <c r="AA121" t="s">
        <v>2633</v>
      </c>
      <c r="AB121" t="s">
        <v>2634</v>
      </c>
      <c r="AC121" t="s">
        <v>2635</v>
      </c>
      <c r="AD121" t="s">
        <v>2636</v>
      </c>
      <c r="AE121" t="s">
        <v>2637</v>
      </c>
      <c r="AF121" t="s">
        <v>74</v>
      </c>
      <c r="AG121">
        <v>10</v>
      </c>
      <c r="AH121">
        <v>1</v>
      </c>
      <c r="AI121">
        <v>1</v>
      </c>
      <c r="AJ121">
        <v>0</v>
      </c>
      <c r="AK121">
        <v>6</v>
      </c>
      <c r="AL121" t="s">
        <v>2638</v>
      </c>
      <c r="AM121" t="s">
        <v>550</v>
      </c>
      <c r="AN121" t="s">
        <v>2639</v>
      </c>
      <c r="AO121" t="s">
        <v>2640</v>
      </c>
      <c r="AP121" t="s">
        <v>2641</v>
      </c>
      <c r="AQ121" t="s">
        <v>74</v>
      </c>
      <c r="AR121" t="s">
        <v>2642</v>
      </c>
      <c r="AS121" t="s">
        <v>2643</v>
      </c>
      <c r="AT121" t="s">
        <v>2170</v>
      </c>
      <c r="AU121">
        <v>2015</v>
      </c>
      <c r="AV121">
        <v>464</v>
      </c>
      <c r="AW121">
        <v>2</v>
      </c>
      <c r="AX121" t="s">
        <v>74</v>
      </c>
      <c r="AY121" t="s">
        <v>74</v>
      </c>
      <c r="AZ121" t="s">
        <v>74</v>
      </c>
      <c r="BA121" t="s">
        <v>74</v>
      </c>
      <c r="BB121">
        <v>1033</v>
      </c>
      <c r="BC121">
        <v>1038</v>
      </c>
      <c r="BD121" t="s">
        <v>74</v>
      </c>
      <c r="BE121" t="s">
        <v>2644</v>
      </c>
      <c r="BF121" t="str">
        <f>HYPERLINK("http://dx.doi.org/10.1134/S1028334X15100074","http://dx.doi.org/10.1134/S1028334X15100074")</f>
        <v>http://dx.doi.org/10.1134/S1028334X15100074</v>
      </c>
      <c r="BG121" t="s">
        <v>74</v>
      </c>
      <c r="BH121" t="s">
        <v>74</v>
      </c>
      <c r="BI121">
        <v>6</v>
      </c>
      <c r="BJ121" t="s">
        <v>314</v>
      </c>
      <c r="BK121" t="s">
        <v>101</v>
      </c>
      <c r="BL121" t="s">
        <v>315</v>
      </c>
      <c r="BM121" t="s">
        <v>2645</v>
      </c>
      <c r="BN121" t="s">
        <v>74</v>
      </c>
      <c r="BO121" t="s">
        <v>74</v>
      </c>
      <c r="BP121" t="s">
        <v>74</v>
      </c>
      <c r="BQ121" t="s">
        <v>74</v>
      </c>
      <c r="BR121" t="s">
        <v>103</v>
      </c>
      <c r="BS121" t="s">
        <v>2646</v>
      </c>
      <c r="BT121" t="str">
        <f>HYPERLINK("https%3A%2F%2Fwww.webofscience.com%2Fwos%2Fwoscc%2Ffull-record%2FWOS:000364423700009","View Full Record in Web of Science")</f>
        <v>View Full Record in Web of Science</v>
      </c>
    </row>
    <row r="122" spans="1:72" x14ac:dyDescent="0.15">
      <c r="A122" t="s">
        <v>72</v>
      </c>
      <c r="B122" t="s">
        <v>2647</v>
      </c>
      <c r="C122" t="s">
        <v>74</v>
      </c>
      <c r="D122" t="s">
        <v>74</v>
      </c>
      <c r="E122" t="s">
        <v>74</v>
      </c>
      <c r="F122" t="s">
        <v>2648</v>
      </c>
      <c r="G122" t="s">
        <v>74</v>
      </c>
      <c r="H122" t="s">
        <v>74</v>
      </c>
      <c r="I122" t="s">
        <v>2649</v>
      </c>
      <c r="J122" t="s">
        <v>295</v>
      </c>
      <c r="K122" t="s">
        <v>74</v>
      </c>
      <c r="L122" t="s">
        <v>74</v>
      </c>
      <c r="M122" t="s">
        <v>78</v>
      </c>
      <c r="N122" t="s">
        <v>79</v>
      </c>
      <c r="O122" t="s">
        <v>74</v>
      </c>
      <c r="P122" t="s">
        <v>74</v>
      </c>
      <c r="Q122" t="s">
        <v>74</v>
      </c>
      <c r="R122" t="s">
        <v>74</v>
      </c>
      <c r="S122" t="s">
        <v>74</v>
      </c>
      <c r="T122" t="s">
        <v>74</v>
      </c>
      <c r="U122" t="s">
        <v>2650</v>
      </c>
      <c r="V122" t="s">
        <v>2651</v>
      </c>
      <c r="W122" t="s">
        <v>2652</v>
      </c>
      <c r="X122" t="s">
        <v>2653</v>
      </c>
      <c r="Y122" t="s">
        <v>2654</v>
      </c>
      <c r="Z122" t="s">
        <v>2655</v>
      </c>
      <c r="AA122" t="s">
        <v>2656</v>
      </c>
      <c r="AB122" t="s">
        <v>2657</v>
      </c>
      <c r="AC122" t="s">
        <v>2658</v>
      </c>
      <c r="AD122" t="s">
        <v>2659</v>
      </c>
      <c r="AE122" t="s">
        <v>2660</v>
      </c>
      <c r="AF122" t="s">
        <v>74</v>
      </c>
      <c r="AG122">
        <v>70</v>
      </c>
      <c r="AH122">
        <v>18</v>
      </c>
      <c r="AI122">
        <v>21</v>
      </c>
      <c r="AJ122">
        <v>0</v>
      </c>
      <c r="AK122">
        <v>14</v>
      </c>
      <c r="AL122" t="s">
        <v>306</v>
      </c>
      <c r="AM122" t="s">
        <v>307</v>
      </c>
      <c r="AN122" t="s">
        <v>308</v>
      </c>
      <c r="AO122" t="s">
        <v>309</v>
      </c>
      <c r="AP122" t="s">
        <v>310</v>
      </c>
      <c r="AQ122" t="s">
        <v>74</v>
      </c>
      <c r="AR122" t="s">
        <v>311</v>
      </c>
      <c r="AS122" t="s">
        <v>312</v>
      </c>
      <c r="AT122" t="s">
        <v>2170</v>
      </c>
      <c r="AU122">
        <v>2015</v>
      </c>
      <c r="AV122">
        <v>120</v>
      </c>
      <c r="AW122">
        <v>10</v>
      </c>
      <c r="AX122" t="s">
        <v>74</v>
      </c>
      <c r="AY122" t="s">
        <v>74</v>
      </c>
      <c r="AZ122" t="s">
        <v>74</v>
      </c>
      <c r="BA122" t="s">
        <v>74</v>
      </c>
      <c r="BB122">
        <v>2040</v>
      </c>
      <c r="BC122">
        <v>2055</v>
      </c>
      <c r="BD122" t="s">
        <v>74</v>
      </c>
      <c r="BE122" t="s">
        <v>2661</v>
      </c>
      <c r="BF122" t="str">
        <f>HYPERLINK("http://dx.doi.org/10.1002/2015JF003544","http://dx.doi.org/10.1002/2015JF003544")</f>
        <v>http://dx.doi.org/10.1002/2015JF003544</v>
      </c>
      <c r="BG122" t="s">
        <v>74</v>
      </c>
      <c r="BH122" t="s">
        <v>74</v>
      </c>
      <c r="BI122">
        <v>16</v>
      </c>
      <c r="BJ122" t="s">
        <v>314</v>
      </c>
      <c r="BK122" t="s">
        <v>101</v>
      </c>
      <c r="BL122" t="s">
        <v>315</v>
      </c>
      <c r="BM122" t="s">
        <v>2662</v>
      </c>
      <c r="BN122" t="s">
        <v>74</v>
      </c>
      <c r="BO122" t="s">
        <v>162</v>
      </c>
      <c r="BP122" t="s">
        <v>74</v>
      </c>
      <c r="BQ122" t="s">
        <v>74</v>
      </c>
      <c r="BR122" t="s">
        <v>103</v>
      </c>
      <c r="BS122" t="s">
        <v>2663</v>
      </c>
      <c r="BT122" t="str">
        <f>HYPERLINK("https%3A%2F%2Fwww.webofscience.com%2Fwos%2Fwoscc%2Ffull-record%2FWOS:000364876600005","View Full Record in Web of Science")</f>
        <v>View Full Record in Web of Science</v>
      </c>
    </row>
    <row r="123" spans="1:72" x14ac:dyDescent="0.15">
      <c r="A123" t="s">
        <v>72</v>
      </c>
      <c r="B123" t="s">
        <v>2664</v>
      </c>
      <c r="C123" t="s">
        <v>74</v>
      </c>
      <c r="D123" t="s">
        <v>74</v>
      </c>
      <c r="E123" t="s">
        <v>74</v>
      </c>
      <c r="F123" t="s">
        <v>2665</v>
      </c>
      <c r="G123" t="s">
        <v>74</v>
      </c>
      <c r="H123" t="s">
        <v>74</v>
      </c>
      <c r="I123" t="s">
        <v>2666</v>
      </c>
      <c r="J123" t="s">
        <v>2667</v>
      </c>
      <c r="K123" t="s">
        <v>74</v>
      </c>
      <c r="L123" t="s">
        <v>74</v>
      </c>
      <c r="M123" t="s">
        <v>78</v>
      </c>
      <c r="N123" t="s">
        <v>79</v>
      </c>
      <c r="O123" t="s">
        <v>74</v>
      </c>
      <c r="P123" t="s">
        <v>74</v>
      </c>
      <c r="Q123" t="s">
        <v>74</v>
      </c>
      <c r="R123" t="s">
        <v>74</v>
      </c>
      <c r="S123" t="s">
        <v>74</v>
      </c>
      <c r="T123" t="s">
        <v>2668</v>
      </c>
      <c r="U123" t="s">
        <v>2669</v>
      </c>
      <c r="V123" t="s">
        <v>2670</v>
      </c>
      <c r="W123" t="s">
        <v>2671</v>
      </c>
      <c r="X123" t="s">
        <v>2672</v>
      </c>
      <c r="Y123" t="s">
        <v>2673</v>
      </c>
      <c r="Z123" t="s">
        <v>2674</v>
      </c>
      <c r="AA123" t="s">
        <v>2675</v>
      </c>
      <c r="AB123" t="s">
        <v>2676</v>
      </c>
      <c r="AC123" t="s">
        <v>2677</v>
      </c>
      <c r="AD123" t="s">
        <v>2678</v>
      </c>
      <c r="AE123" t="s">
        <v>2679</v>
      </c>
      <c r="AF123" t="s">
        <v>74</v>
      </c>
      <c r="AG123">
        <v>72</v>
      </c>
      <c r="AH123">
        <v>46</v>
      </c>
      <c r="AI123">
        <v>48</v>
      </c>
      <c r="AJ123">
        <v>2</v>
      </c>
      <c r="AK123">
        <v>64</v>
      </c>
      <c r="AL123" t="s">
        <v>208</v>
      </c>
      <c r="AM123" t="s">
        <v>209</v>
      </c>
      <c r="AN123" t="s">
        <v>210</v>
      </c>
      <c r="AO123" t="s">
        <v>2680</v>
      </c>
      <c r="AP123" t="s">
        <v>2681</v>
      </c>
      <c r="AQ123" t="s">
        <v>74</v>
      </c>
      <c r="AR123" t="s">
        <v>2682</v>
      </c>
      <c r="AS123" t="s">
        <v>2683</v>
      </c>
      <c r="AT123" t="s">
        <v>2170</v>
      </c>
      <c r="AU123">
        <v>2015</v>
      </c>
      <c r="AV123">
        <v>208</v>
      </c>
      <c r="AW123">
        <v>2</v>
      </c>
      <c r="AX123" t="s">
        <v>74</v>
      </c>
      <c r="AY123" t="s">
        <v>74</v>
      </c>
      <c r="AZ123" t="s">
        <v>74</v>
      </c>
      <c r="BA123" t="s">
        <v>74</v>
      </c>
      <c r="BB123">
        <v>608</v>
      </c>
      <c r="BC123">
        <v>624</v>
      </c>
      <c r="BD123" t="s">
        <v>74</v>
      </c>
      <c r="BE123" t="s">
        <v>2684</v>
      </c>
      <c r="BF123" t="str">
        <f>HYPERLINK("http://dx.doi.org/10.1111/nph.13524","http://dx.doi.org/10.1111/nph.13524")</f>
        <v>http://dx.doi.org/10.1111/nph.13524</v>
      </c>
      <c r="BG123" t="s">
        <v>74</v>
      </c>
      <c r="BH123" t="s">
        <v>74</v>
      </c>
      <c r="BI123">
        <v>17</v>
      </c>
      <c r="BJ123" t="s">
        <v>429</v>
      </c>
      <c r="BK123" t="s">
        <v>101</v>
      </c>
      <c r="BL123" t="s">
        <v>429</v>
      </c>
      <c r="BM123" t="s">
        <v>2685</v>
      </c>
      <c r="BN123">
        <v>26083501</v>
      </c>
      <c r="BO123" t="s">
        <v>2686</v>
      </c>
      <c r="BP123" t="s">
        <v>74</v>
      </c>
      <c r="BQ123" t="s">
        <v>74</v>
      </c>
      <c r="BR123" t="s">
        <v>103</v>
      </c>
      <c r="BS123" t="s">
        <v>2687</v>
      </c>
      <c r="BT123" t="str">
        <f>HYPERLINK("https%3A%2F%2Fwww.webofscience.com%2Fwos%2Fwoscc%2Ffull-record%2FWOS:000364654200029","View Full Record in Web of Science")</f>
        <v>View Full Record in Web of Science</v>
      </c>
    </row>
    <row r="124" spans="1:72" x14ac:dyDescent="0.15">
      <c r="A124" t="s">
        <v>72</v>
      </c>
      <c r="B124" t="s">
        <v>2688</v>
      </c>
      <c r="C124" t="s">
        <v>74</v>
      </c>
      <c r="D124" t="s">
        <v>74</v>
      </c>
      <c r="E124" t="s">
        <v>74</v>
      </c>
      <c r="F124" t="s">
        <v>2689</v>
      </c>
      <c r="G124" t="s">
        <v>74</v>
      </c>
      <c r="H124" t="s">
        <v>74</v>
      </c>
      <c r="I124" t="s">
        <v>2690</v>
      </c>
      <c r="J124" t="s">
        <v>2691</v>
      </c>
      <c r="K124" t="s">
        <v>74</v>
      </c>
      <c r="L124" t="s">
        <v>74</v>
      </c>
      <c r="M124" t="s">
        <v>78</v>
      </c>
      <c r="N124" t="s">
        <v>79</v>
      </c>
      <c r="O124" t="s">
        <v>74</v>
      </c>
      <c r="P124" t="s">
        <v>74</v>
      </c>
      <c r="Q124" t="s">
        <v>74</v>
      </c>
      <c r="R124" t="s">
        <v>74</v>
      </c>
      <c r="S124" t="s">
        <v>74</v>
      </c>
      <c r="T124" t="s">
        <v>2692</v>
      </c>
      <c r="U124" t="s">
        <v>2693</v>
      </c>
      <c r="V124" t="s">
        <v>2694</v>
      </c>
      <c r="W124" t="s">
        <v>2695</v>
      </c>
      <c r="X124" t="s">
        <v>2696</v>
      </c>
      <c r="Y124" t="s">
        <v>2697</v>
      </c>
      <c r="Z124" t="s">
        <v>2698</v>
      </c>
      <c r="AA124" t="s">
        <v>2699</v>
      </c>
      <c r="AB124" t="s">
        <v>2700</v>
      </c>
      <c r="AC124" t="s">
        <v>2701</v>
      </c>
      <c r="AD124" t="s">
        <v>2702</v>
      </c>
      <c r="AE124" t="s">
        <v>2703</v>
      </c>
      <c r="AF124" t="s">
        <v>74</v>
      </c>
      <c r="AG124">
        <v>31</v>
      </c>
      <c r="AH124">
        <v>3</v>
      </c>
      <c r="AI124">
        <v>3</v>
      </c>
      <c r="AJ124">
        <v>0</v>
      </c>
      <c r="AK124">
        <v>8</v>
      </c>
      <c r="AL124" t="s">
        <v>741</v>
      </c>
      <c r="AM124" t="s">
        <v>550</v>
      </c>
      <c r="AN124" t="s">
        <v>742</v>
      </c>
      <c r="AO124" t="s">
        <v>2704</v>
      </c>
      <c r="AP124" t="s">
        <v>2705</v>
      </c>
      <c r="AQ124" t="s">
        <v>74</v>
      </c>
      <c r="AR124" t="s">
        <v>2706</v>
      </c>
      <c r="AS124" t="s">
        <v>2707</v>
      </c>
      <c r="AT124" t="s">
        <v>2170</v>
      </c>
      <c r="AU124">
        <v>2015</v>
      </c>
      <c r="AV124">
        <v>27</v>
      </c>
      <c r="AW124">
        <v>5</v>
      </c>
      <c r="AX124" t="s">
        <v>74</v>
      </c>
      <c r="AY124" t="s">
        <v>74</v>
      </c>
      <c r="AZ124" t="s">
        <v>74</v>
      </c>
      <c r="BA124" t="s">
        <v>74</v>
      </c>
      <c r="BB124">
        <v>421</v>
      </c>
      <c r="BC124">
        <v>428</v>
      </c>
      <c r="BD124" t="s">
        <v>74</v>
      </c>
      <c r="BE124" t="s">
        <v>2708</v>
      </c>
      <c r="BF124" t="str">
        <f>HYPERLINK("http://dx.doi.org/10.1017/S0954102015000048","http://dx.doi.org/10.1017/S0954102015000048")</f>
        <v>http://dx.doi.org/10.1017/S0954102015000048</v>
      </c>
      <c r="BG124" t="s">
        <v>74</v>
      </c>
      <c r="BH124" t="s">
        <v>74</v>
      </c>
      <c r="BI124">
        <v>8</v>
      </c>
      <c r="BJ124" t="s">
        <v>2709</v>
      </c>
      <c r="BK124" t="s">
        <v>101</v>
      </c>
      <c r="BL124" t="s">
        <v>2710</v>
      </c>
      <c r="BM124" t="s">
        <v>2711</v>
      </c>
      <c r="BN124" t="s">
        <v>74</v>
      </c>
      <c r="BO124" t="s">
        <v>74</v>
      </c>
      <c r="BP124" t="s">
        <v>74</v>
      </c>
      <c r="BQ124" t="s">
        <v>74</v>
      </c>
      <c r="BR124" t="s">
        <v>103</v>
      </c>
      <c r="BS124" t="s">
        <v>2712</v>
      </c>
      <c r="BT124" t="str">
        <f>HYPERLINK("https%3A%2F%2Fwww.webofscience.com%2Fwos%2Fwoscc%2Ffull-record%2FWOS:000363942300002","View Full Record in Web of Science")</f>
        <v>View Full Record in Web of Science</v>
      </c>
    </row>
    <row r="125" spans="1:72" x14ac:dyDescent="0.15">
      <c r="A125" t="s">
        <v>72</v>
      </c>
      <c r="B125" t="s">
        <v>2713</v>
      </c>
      <c r="C125" t="s">
        <v>74</v>
      </c>
      <c r="D125" t="s">
        <v>74</v>
      </c>
      <c r="E125" t="s">
        <v>74</v>
      </c>
      <c r="F125" t="s">
        <v>2714</v>
      </c>
      <c r="G125" t="s">
        <v>74</v>
      </c>
      <c r="H125" t="s">
        <v>74</v>
      </c>
      <c r="I125" t="s">
        <v>2715</v>
      </c>
      <c r="J125" t="s">
        <v>2691</v>
      </c>
      <c r="K125" t="s">
        <v>74</v>
      </c>
      <c r="L125" t="s">
        <v>74</v>
      </c>
      <c r="M125" t="s">
        <v>78</v>
      </c>
      <c r="N125" t="s">
        <v>79</v>
      </c>
      <c r="O125" t="s">
        <v>74</v>
      </c>
      <c r="P125" t="s">
        <v>74</v>
      </c>
      <c r="Q125" t="s">
        <v>74</v>
      </c>
      <c r="R125" t="s">
        <v>74</v>
      </c>
      <c r="S125" t="s">
        <v>74</v>
      </c>
      <c r="T125" t="s">
        <v>2716</v>
      </c>
      <c r="U125" t="s">
        <v>2717</v>
      </c>
      <c r="V125" t="s">
        <v>2718</v>
      </c>
      <c r="W125" t="s">
        <v>2719</v>
      </c>
      <c r="X125" t="s">
        <v>2720</v>
      </c>
      <c r="Y125" t="s">
        <v>2721</v>
      </c>
      <c r="Z125" t="s">
        <v>2722</v>
      </c>
      <c r="AA125" t="s">
        <v>2723</v>
      </c>
      <c r="AB125" t="s">
        <v>2724</v>
      </c>
      <c r="AC125" t="s">
        <v>2725</v>
      </c>
      <c r="AD125" t="s">
        <v>2726</v>
      </c>
      <c r="AE125" t="s">
        <v>2727</v>
      </c>
      <c r="AF125" t="s">
        <v>74</v>
      </c>
      <c r="AG125">
        <v>40</v>
      </c>
      <c r="AH125">
        <v>10</v>
      </c>
      <c r="AI125">
        <v>10</v>
      </c>
      <c r="AJ125">
        <v>0</v>
      </c>
      <c r="AK125">
        <v>21</v>
      </c>
      <c r="AL125" t="s">
        <v>741</v>
      </c>
      <c r="AM125" t="s">
        <v>550</v>
      </c>
      <c r="AN125" t="s">
        <v>742</v>
      </c>
      <c r="AO125" t="s">
        <v>2704</v>
      </c>
      <c r="AP125" t="s">
        <v>2705</v>
      </c>
      <c r="AQ125" t="s">
        <v>74</v>
      </c>
      <c r="AR125" t="s">
        <v>2706</v>
      </c>
      <c r="AS125" t="s">
        <v>2707</v>
      </c>
      <c r="AT125" t="s">
        <v>2170</v>
      </c>
      <c r="AU125">
        <v>2015</v>
      </c>
      <c r="AV125">
        <v>27</v>
      </c>
      <c r="AW125">
        <v>5</v>
      </c>
      <c r="AX125" t="s">
        <v>74</v>
      </c>
      <c r="AY125" t="s">
        <v>74</v>
      </c>
      <c r="AZ125" t="s">
        <v>74</v>
      </c>
      <c r="BA125" t="s">
        <v>74</v>
      </c>
      <c r="BB125">
        <v>429</v>
      </c>
      <c r="BC125">
        <v>438</v>
      </c>
      <c r="BD125" t="s">
        <v>74</v>
      </c>
      <c r="BE125" t="s">
        <v>2728</v>
      </c>
      <c r="BF125" t="str">
        <f>HYPERLINK("http://dx.doi.org/10.1017/S0954102015000036","http://dx.doi.org/10.1017/S0954102015000036")</f>
        <v>http://dx.doi.org/10.1017/S0954102015000036</v>
      </c>
      <c r="BG125" t="s">
        <v>74</v>
      </c>
      <c r="BH125" t="s">
        <v>74</v>
      </c>
      <c r="BI125">
        <v>10</v>
      </c>
      <c r="BJ125" t="s">
        <v>2709</v>
      </c>
      <c r="BK125" t="s">
        <v>101</v>
      </c>
      <c r="BL125" t="s">
        <v>2710</v>
      </c>
      <c r="BM125" t="s">
        <v>2711</v>
      </c>
      <c r="BN125" t="s">
        <v>74</v>
      </c>
      <c r="BO125" t="s">
        <v>74</v>
      </c>
      <c r="BP125" t="s">
        <v>74</v>
      </c>
      <c r="BQ125" t="s">
        <v>74</v>
      </c>
      <c r="BR125" t="s">
        <v>103</v>
      </c>
      <c r="BS125" t="s">
        <v>2729</v>
      </c>
      <c r="BT125" t="str">
        <f>HYPERLINK("https%3A%2F%2Fwww.webofscience.com%2Fwos%2Fwoscc%2Ffull-record%2FWOS:000363942300003","View Full Record in Web of Science")</f>
        <v>View Full Record in Web of Science</v>
      </c>
    </row>
    <row r="126" spans="1:72" x14ac:dyDescent="0.15">
      <c r="A126" t="s">
        <v>72</v>
      </c>
      <c r="B126" t="s">
        <v>2730</v>
      </c>
      <c r="C126" t="s">
        <v>74</v>
      </c>
      <c r="D126" t="s">
        <v>74</v>
      </c>
      <c r="E126" t="s">
        <v>74</v>
      </c>
      <c r="F126" t="s">
        <v>2731</v>
      </c>
      <c r="G126" t="s">
        <v>74</v>
      </c>
      <c r="H126" t="s">
        <v>74</v>
      </c>
      <c r="I126" t="s">
        <v>2732</v>
      </c>
      <c r="J126" t="s">
        <v>2691</v>
      </c>
      <c r="K126" t="s">
        <v>74</v>
      </c>
      <c r="L126" t="s">
        <v>74</v>
      </c>
      <c r="M126" t="s">
        <v>78</v>
      </c>
      <c r="N126" t="s">
        <v>79</v>
      </c>
      <c r="O126" t="s">
        <v>74</v>
      </c>
      <c r="P126" t="s">
        <v>74</v>
      </c>
      <c r="Q126" t="s">
        <v>74</v>
      </c>
      <c r="R126" t="s">
        <v>74</v>
      </c>
      <c r="S126" t="s">
        <v>74</v>
      </c>
      <c r="T126" t="s">
        <v>2733</v>
      </c>
      <c r="U126" t="s">
        <v>2734</v>
      </c>
      <c r="V126" t="s">
        <v>2735</v>
      </c>
      <c r="W126" t="s">
        <v>2736</v>
      </c>
      <c r="X126" t="s">
        <v>2737</v>
      </c>
      <c r="Y126" t="s">
        <v>2738</v>
      </c>
      <c r="Z126" t="s">
        <v>2739</v>
      </c>
      <c r="AA126" t="s">
        <v>74</v>
      </c>
      <c r="AB126" t="s">
        <v>2740</v>
      </c>
      <c r="AC126" t="s">
        <v>2741</v>
      </c>
      <c r="AD126" t="s">
        <v>2742</v>
      </c>
      <c r="AE126" t="s">
        <v>2743</v>
      </c>
      <c r="AF126" t="s">
        <v>74</v>
      </c>
      <c r="AG126">
        <v>40</v>
      </c>
      <c r="AH126">
        <v>4</v>
      </c>
      <c r="AI126">
        <v>4</v>
      </c>
      <c r="AJ126">
        <v>0</v>
      </c>
      <c r="AK126">
        <v>27</v>
      </c>
      <c r="AL126" t="s">
        <v>741</v>
      </c>
      <c r="AM126" t="s">
        <v>550</v>
      </c>
      <c r="AN126" t="s">
        <v>742</v>
      </c>
      <c r="AO126" t="s">
        <v>2704</v>
      </c>
      <c r="AP126" t="s">
        <v>2705</v>
      </c>
      <c r="AQ126" t="s">
        <v>74</v>
      </c>
      <c r="AR126" t="s">
        <v>2706</v>
      </c>
      <c r="AS126" t="s">
        <v>2707</v>
      </c>
      <c r="AT126" t="s">
        <v>2170</v>
      </c>
      <c r="AU126">
        <v>2015</v>
      </c>
      <c r="AV126">
        <v>27</v>
      </c>
      <c r="AW126">
        <v>5</v>
      </c>
      <c r="AX126" t="s">
        <v>74</v>
      </c>
      <c r="AY126" t="s">
        <v>74</v>
      </c>
      <c r="AZ126" t="s">
        <v>74</v>
      </c>
      <c r="BA126" t="s">
        <v>74</v>
      </c>
      <c r="BB126">
        <v>439</v>
      </c>
      <c r="BC126">
        <v>454</v>
      </c>
      <c r="BD126" t="s">
        <v>74</v>
      </c>
      <c r="BE126" t="s">
        <v>2744</v>
      </c>
      <c r="BF126" t="str">
        <f>HYPERLINK("http://dx.doi.org/10.1017/S0954102015000164","http://dx.doi.org/10.1017/S0954102015000164")</f>
        <v>http://dx.doi.org/10.1017/S0954102015000164</v>
      </c>
      <c r="BG126" t="s">
        <v>74</v>
      </c>
      <c r="BH126" t="s">
        <v>74</v>
      </c>
      <c r="BI126">
        <v>16</v>
      </c>
      <c r="BJ126" t="s">
        <v>2709</v>
      </c>
      <c r="BK126" t="s">
        <v>101</v>
      </c>
      <c r="BL126" t="s">
        <v>2710</v>
      </c>
      <c r="BM126" t="s">
        <v>2711</v>
      </c>
      <c r="BN126" t="s">
        <v>74</v>
      </c>
      <c r="BO126" t="s">
        <v>74</v>
      </c>
      <c r="BP126" t="s">
        <v>74</v>
      </c>
      <c r="BQ126" t="s">
        <v>74</v>
      </c>
      <c r="BR126" t="s">
        <v>103</v>
      </c>
      <c r="BS126" t="s">
        <v>2745</v>
      </c>
      <c r="BT126" t="str">
        <f>HYPERLINK("https%3A%2F%2Fwww.webofscience.com%2Fwos%2Fwoscc%2Ffull-record%2FWOS:000363942300004","View Full Record in Web of Science")</f>
        <v>View Full Record in Web of Science</v>
      </c>
    </row>
    <row r="127" spans="1:72" x14ac:dyDescent="0.15">
      <c r="A127" t="s">
        <v>72</v>
      </c>
      <c r="B127" t="s">
        <v>2746</v>
      </c>
      <c r="C127" t="s">
        <v>74</v>
      </c>
      <c r="D127" t="s">
        <v>74</v>
      </c>
      <c r="E127" t="s">
        <v>74</v>
      </c>
      <c r="F127" t="s">
        <v>2747</v>
      </c>
      <c r="G127" t="s">
        <v>74</v>
      </c>
      <c r="H127" t="s">
        <v>74</v>
      </c>
      <c r="I127" t="s">
        <v>2748</v>
      </c>
      <c r="J127" t="s">
        <v>2691</v>
      </c>
      <c r="K127" t="s">
        <v>74</v>
      </c>
      <c r="L127" t="s">
        <v>74</v>
      </c>
      <c r="M127" t="s">
        <v>78</v>
      </c>
      <c r="N127" t="s">
        <v>79</v>
      </c>
      <c r="O127" t="s">
        <v>74</v>
      </c>
      <c r="P127" t="s">
        <v>74</v>
      </c>
      <c r="Q127" t="s">
        <v>74</v>
      </c>
      <c r="R127" t="s">
        <v>74</v>
      </c>
      <c r="S127" t="s">
        <v>74</v>
      </c>
      <c r="T127" t="s">
        <v>2749</v>
      </c>
      <c r="U127" t="s">
        <v>2750</v>
      </c>
      <c r="V127" t="s">
        <v>2751</v>
      </c>
      <c r="W127" t="s">
        <v>2752</v>
      </c>
      <c r="X127" t="s">
        <v>2753</v>
      </c>
      <c r="Y127" t="s">
        <v>2754</v>
      </c>
      <c r="Z127" t="s">
        <v>2755</v>
      </c>
      <c r="AA127" t="s">
        <v>74</v>
      </c>
      <c r="AB127" t="s">
        <v>2756</v>
      </c>
      <c r="AC127" t="s">
        <v>2757</v>
      </c>
      <c r="AD127" t="s">
        <v>2757</v>
      </c>
      <c r="AE127" t="s">
        <v>2758</v>
      </c>
      <c r="AF127" t="s">
        <v>74</v>
      </c>
      <c r="AG127">
        <v>31</v>
      </c>
      <c r="AH127">
        <v>15</v>
      </c>
      <c r="AI127">
        <v>17</v>
      </c>
      <c r="AJ127">
        <v>3</v>
      </c>
      <c r="AK127">
        <v>31</v>
      </c>
      <c r="AL127" t="s">
        <v>741</v>
      </c>
      <c r="AM127" t="s">
        <v>550</v>
      </c>
      <c r="AN127" t="s">
        <v>742</v>
      </c>
      <c r="AO127" t="s">
        <v>2704</v>
      </c>
      <c r="AP127" t="s">
        <v>2705</v>
      </c>
      <c r="AQ127" t="s">
        <v>74</v>
      </c>
      <c r="AR127" t="s">
        <v>2706</v>
      </c>
      <c r="AS127" t="s">
        <v>2707</v>
      </c>
      <c r="AT127" t="s">
        <v>2170</v>
      </c>
      <c r="AU127">
        <v>2015</v>
      </c>
      <c r="AV127">
        <v>27</v>
      </c>
      <c r="AW127">
        <v>5</v>
      </c>
      <c r="AX127" t="s">
        <v>74</v>
      </c>
      <c r="AY127" t="s">
        <v>74</v>
      </c>
      <c r="AZ127" t="s">
        <v>74</v>
      </c>
      <c r="BA127" t="s">
        <v>74</v>
      </c>
      <c r="BB127">
        <v>455</v>
      </c>
      <c r="BC127">
        <v>461</v>
      </c>
      <c r="BD127" t="s">
        <v>74</v>
      </c>
      <c r="BE127" t="s">
        <v>2759</v>
      </c>
      <c r="BF127" t="str">
        <f>HYPERLINK("http://dx.doi.org/10.1017/S0954102015000152","http://dx.doi.org/10.1017/S0954102015000152")</f>
        <v>http://dx.doi.org/10.1017/S0954102015000152</v>
      </c>
      <c r="BG127" t="s">
        <v>74</v>
      </c>
      <c r="BH127" t="s">
        <v>74</v>
      </c>
      <c r="BI127">
        <v>7</v>
      </c>
      <c r="BJ127" t="s">
        <v>2709</v>
      </c>
      <c r="BK127" t="s">
        <v>101</v>
      </c>
      <c r="BL127" t="s">
        <v>2710</v>
      </c>
      <c r="BM127" t="s">
        <v>2711</v>
      </c>
      <c r="BN127" t="s">
        <v>74</v>
      </c>
      <c r="BO127" t="s">
        <v>1213</v>
      </c>
      <c r="BP127" t="s">
        <v>74</v>
      </c>
      <c r="BQ127" t="s">
        <v>74</v>
      </c>
      <c r="BR127" t="s">
        <v>103</v>
      </c>
      <c r="BS127" t="s">
        <v>2760</v>
      </c>
      <c r="BT127" t="str">
        <f>HYPERLINK("https%3A%2F%2Fwww.webofscience.com%2Fwos%2Fwoscc%2Ffull-record%2FWOS:000363942300005","View Full Record in Web of Science")</f>
        <v>View Full Record in Web of Science</v>
      </c>
    </row>
    <row r="128" spans="1:72" x14ac:dyDescent="0.15">
      <c r="A128" t="s">
        <v>72</v>
      </c>
      <c r="B128" t="s">
        <v>2761</v>
      </c>
      <c r="C128" t="s">
        <v>74</v>
      </c>
      <c r="D128" t="s">
        <v>74</v>
      </c>
      <c r="E128" t="s">
        <v>74</v>
      </c>
      <c r="F128" t="s">
        <v>2762</v>
      </c>
      <c r="G128" t="s">
        <v>74</v>
      </c>
      <c r="H128" t="s">
        <v>74</v>
      </c>
      <c r="I128" t="s">
        <v>2763</v>
      </c>
      <c r="J128" t="s">
        <v>2691</v>
      </c>
      <c r="K128" t="s">
        <v>74</v>
      </c>
      <c r="L128" t="s">
        <v>74</v>
      </c>
      <c r="M128" t="s">
        <v>78</v>
      </c>
      <c r="N128" t="s">
        <v>79</v>
      </c>
      <c r="O128" t="s">
        <v>74</v>
      </c>
      <c r="P128" t="s">
        <v>74</v>
      </c>
      <c r="Q128" t="s">
        <v>74</v>
      </c>
      <c r="R128" t="s">
        <v>74</v>
      </c>
      <c r="S128" t="s">
        <v>74</v>
      </c>
      <c r="T128" t="s">
        <v>2764</v>
      </c>
      <c r="U128" t="s">
        <v>2765</v>
      </c>
      <c r="V128" t="s">
        <v>2766</v>
      </c>
      <c r="W128" t="s">
        <v>2767</v>
      </c>
      <c r="X128" t="s">
        <v>2768</v>
      </c>
      <c r="Y128" t="s">
        <v>2769</v>
      </c>
      <c r="Z128" t="s">
        <v>2770</v>
      </c>
      <c r="AA128" t="s">
        <v>74</v>
      </c>
      <c r="AB128" t="s">
        <v>2771</v>
      </c>
      <c r="AC128" t="s">
        <v>2772</v>
      </c>
      <c r="AD128" t="s">
        <v>2772</v>
      </c>
      <c r="AE128" t="s">
        <v>2773</v>
      </c>
      <c r="AF128" t="s">
        <v>74</v>
      </c>
      <c r="AG128">
        <v>37</v>
      </c>
      <c r="AH128">
        <v>20</v>
      </c>
      <c r="AI128">
        <v>20</v>
      </c>
      <c r="AJ128">
        <v>1</v>
      </c>
      <c r="AK128">
        <v>20</v>
      </c>
      <c r="AL128" t="s">
        <v>741</v>
      </c>
      <c r="AM128" t="s">
        <v>550</v>
      </c>
      <c r="AN128" t="s">
        <v>742</v>
      </c>
      <c r="AO128" t="s">
        <v>2704</v>
      </c>
      <c r="AP128" t="s">
        <v>2705</v>
      </c>
      <c r="AQ128" t="s">
        <v>74</v>
      </c>
      <c r="AR128" t="s">
        <v>2706</v>
      </c>
      <c r="AS128" t="s">
        <v>2707</v>
      </c>
      <c r="AT128" t="s">
        <v>2170</v>
      </c>
      <c r="AU128">
        <v>2015</v>
      </c>
      <c r="AV128">
        <v>27</v>
      </c>
      <c r="AW128">
        <v>5</v>
      </c>
      <c r="AX128" t="s">
        <v>74</v>
      </c>
      <c r="AY128" t="s">
        <v>74</v>
      </c>
      <c r="AZ128" t="s">
        <v>74</v>
      </c>
      <c r="BA128" t="s">
        <v>74</v>
      </c>
      <c r="BB128">
        <v>462</v>
      </c>
      <c r="BC128">
        <v>471</v>
      </c>
      <c r="BD128" t="s">
        <v>74</v>
      </c>
      <c r="BE128" t="s">
        <v>2774</v>
      </c>
      <c r="BF128" t="str">
        <f>HYPERLINK("http://dx.doi.org/10.1017/S0954102015000127","http://dx.doi.org/10.1017/S0954102015000127")</f>
        <v>http://dx.doi.org/10.1017/S0954102015000127</v>
      </c>
      <c r="BG128" t="s">
        <v>74</v>
      </c>
      <c r="BH128" t="s">
        <v>74</v>
      </c>
      <c r="BI128">
        <v>10</v>
      </c>
      <c r="BJ128" t="s">
        <v>2709</v>
      </c>
      <c r="BK128" t="s">
        <v>101</v>
      </c>
      <c r="BL128" t="s">
        <v>2710</v>
      </c>
      <c r="BM128" t="s">
        <v>2711</v>
      </c>
      <c r="BN128" t="s">
        <v>74</v>
      </c>
      <c r="BO128" t="s">
        <v>74</v>
      </c>
      <c r="BP128" t="s">
        <v>74</v>
      </c>
      <c r="BQ128" t="s">
        <v>74</v>
      </c>
      <c r="BR128" t="s">
        <v>103</v>
      </c>
      <c r="BS128" t="s">
        <v>2775</v>
      </c>
      <c r="BT128" t="str">
        <f>HYPERLINK("https%3A%2F%2Fwww.webofscience.com%2Fwos%2Fwoscc%2Ffull-record%2FWOS:000363942300006","View Full Record in Web of Science")</f>
        <v>View Full Record in Web of Science</v>
      </c>
    </row>
    <row r="129" spans="1:72" x14ac:dyDescent="0.15">
      <c r="A129" t="s">
        <v>72</v>
      </c>
      <c r="B129" t="s">
        <v>2776</v>
      </c>
      <c r="C129" t="s">
        <v>74</v>
      </c>
      <c r="D129" t="s">
        <v>74</v>
      </c>
      <c r="E129" t="s">
        <v>74</v>
      </c>
      <c r="F129" t="s">
        <v>2777</v>
      </c>
      <c r="G129" t="s">
        <v>74</v>
      </c>
      <c r="H129" t="s">
        <v>74</v>
      </c>
      <c r="I129" t="s">
        <v>2778</v>
      </c>
      <c r="J129" t="s">
        <v>2691</v>
      </c>
      <c r="K129" t="s">
        <v>74</v>
      </c>
      <c r="L129" t="s">
        <v>74</v>
      </c>
      <c r="M129" t="s">
        <v>78</v>
      </c>
      <c r="N129" t="s">
        <v>79</v>
      </c>
      <c r="O129" t="s">
        <v>74</v>
      </c>
      <c r="P129" t="s">
        <v>74</v>
      </c>
      <c r="Q129" t="s">
        <v>74</v>
      </c>
      <c r="R129" t="s">
        <v>74</v>
      </c>
      <c r="S129" t="s">
        <v>74</v>
      </c>
      <c r="T129" t="s">
        <v>2779</v>
      </c>
      <c r="U129" t="s">
        <v>2780</v>
      </c>
      <c r="V129" t="s">
        <v>2781</v>
      </c>
      <c r="W129" t="s">
        <v>2782</v>
      </c>
      <c r="X129" t="s">
        <v>2783</v>
      </c>
      <c r="Y129" t="s">
        <v>2784</v>
      </c>
      <c r="Z129" t="s">
        <v>2785</v>
      </c>
      <c r="AA129" t="s">
        <v>74</v>
      </c>
      <c r="AB129" t="s">
        <v>74</v>
      </c>
      <c r="AC129" t="s">
        <v>2786</v>
      </c>
      <c r="AD129" t="s">
        <v>2787</v>
      </c>
      <c r="AE129" t="s">
        <v>2788</v>
      </c>
      <c r="AF129" t="s">
        <v>74</v>
      </c>
      <c r="AG129">
        <v>35</v>
      </c>
      <c r="AH129">
        <v>7</v>
      </c>
      <c r="AI129">
        <v>8</v>
      </c>
      <c r="AJ129">
        <v>0</v>
      </c>
      <c r="AK129">
        <v>16</v>
      </c>
      <c r="AL129" t="s">
        <v>741</v>
      </c>
      <c r="AM129" t="s">
        <v>550</v>
      </c>
      <c r="AN129" t="s">
        <v>742</v>
      </c>
      <c r="AO129" t="s">
        <v>2704</v>
      </c>
      <c r="AP129" t="s">
        <v>2705</v>
      </c>
      <c r="AQ129" t="s">
        <v>74</v>
      </c>
      <c r="AR129" t="s">
        <v>2706</v>
      </c>
      <c r="AS129" t="s">
        <v>2707</v>
      </c>
      <c r="AT129" t="s">
        <v>2170</v>
      </c>
      <c r="AU129">
        <v>2015</v>
      </c>
      <c r="AV129">
        <v>27</v>
      </c>
      <c r="AW129">
        <v>5</v>
      </c>
      <c r="AX129" t="s">
        <v>74</v>
      </c>
      <c r="AY129" t="s">
        <v>74</v>
      </c>
      <c r="AZ129" t="s">
        <v>74</v>
      </c>
      <c r="BA129" t="s">
        <v>74</v>
      </c>
      <c r="BB129">
        <v>473</v>
      </c>
      <c r="BC129">
        <v>491</v>
      </c>
      <c r="BD129" t="s">
        <v>74</v>
      </c>
      <c r="BE129" t="s">
        <v>2789</v>
      </c>
      <c r="BF129" t="str">
        <f>HYPERLINK("http://dx.doi.org/10.1017/S095410201500019X","http://dx.doi.org/10.1017/S095410201500019X")</f>
        <v>http://dx.doi.org/10.1017/S095410201500019X</v>
      </c>
      <c r="BG129" t="s">
        <v>74</v>
      </c>
      <c r="BH129" t="s">
        <v>74</v>
      </c>
      <c r="BI129">
        <v>19</v>
      </c>
      <c r="BJ129" t="s">
        <v>2709</v>
      </c>
      <c r="BK129" t="s">
        <v>101</v>
      </c>
      <c r="BL129" t="s">
        <v>2710</v>
      </c>
      <c r="BM129" t="s">
        <v>2711</v>
      </c>
      <c r="BN129" t="s">
        <v>74</v>
      </c>
      <c r="BO129" t="s">
        <v>74</v>
      </c>
      <c r="BP129" t="s">
        <v>74</v>
      </c>
      <c r="BQ129" t="s">
        <v>74</v>
      </c>
      <c r="BR129" t="s">
        <v>103</v>
      </c>
      <c r="BS129" t="s">
        <v>2790</v>
      </c>
      <c r="BT129" t="str">
        <f>HYPERLINK("https%3A%2F%2Fwww.webofscience.com%2Fwos%2Fwoscc%2Ffull-record%2FWOS:000363942300007","View Full Record in Web of Science")</f>
        <v>View Full Record in Web of Science</v>
      </c>
    </row>
    <row r="130" spans="1:72" x14ac:dyDescent="0.15">
      <c r="A130" t="s">
        <v>72</v>
      </c>
      <c r="B130" t="s">
        <v>2791</v>
      </c>
      <c r="C130" t="s">
        <v>74</v>
      </c>
      <c r="D130" t="s">
        <v>74</v>
      </c>
      <c r="E130" t="s">
        <v>74</v>
      </c>
      <c r="F130" t="s">
        <v>2792</v>
      </c>
      <c r="G130" t="s">
        <v>74</v>
      </c>
      <c r="H130" t="s">
        <v>74</v>
      </c>
      <c r="I130" t="s">
        <v>2793</v>
      </c>
      <c r="J130" t="s">
        <v>2691</v>
      </c>
      <c r="K130" t="s">
        <v>74</v>
      </c>
      <c r="L130" t="s">
        <v>74</v>
      </c>
      <c r="M130" t="s">
        <v>78</v>
      </c>
      <c r="N130" t="s">
        <v>79</v>
      </c>
      <c r="O130" t="s">
        <v>74</v>
      </c>
      <c r="P130" t="s">
        <v>74</v>
      </c>
      <c r="Q130" t="s">
        <v>74</v>
      </c>
      <c r="R130" t="s">
        <v>74</v>
      </c>
      <c r="S130" t="s">
        <v>74</v>
      </c>
      <c r="T130" t="s">
        <v>2794</v>
      </c>
      <c r="U130" t="s">
        <v>2795</v>
      </c>
      <c r="V130" t="s">
        <v>2796</v>
      </c>
      <c r="W130" t="s">
        <v>2797</v>
      </c>
      <c r="X130" t="s">
        <v>2798</v>
      </c>
      <c r="Y130" t="s">
        <v>2799</v>
      </c>
      <c r="Z130" t="s">
        <v>2800</v>
      </c>
      <c r="AA130" t="s">
        <v>2801</v>
      </c>
      <c r="AB130" t="s">
        <v>2802</v>
      </c>
      <c r="AC130" t="s">
        <v>2803</v>
      </c>
      <c r="AD130" t="s">
        <v>2804</v>
      </c>
      <c r="AE130" t="s">
        <v>2805</v>
      </c>
      <c r="AF130" t="s">
        <v>74</v>
      </c>
      <c r="AG130">
        <v>20</v>
      </c>
      <c r="AH130">
        <v>5</v>
      </c>
      <c r="AI130">
        <v>5</v>
      </c>
      <c r="AJ130">
        <v>0</v>
      </c>
      <c r="AK130">
        <v>28</v>
      </c>
      <c r="AL130" t="s">
        <v>741</v>
      </c>
      <c r="AM130" t="s">
        <v>550</v>
      </c>
      <c r="AN130" t="s">
        <v>742</v>
      </c>
      <c r="AO130" t="s">
        <v>2704</v>
      </c>
      <c r="AP130" t="s">
        <v>2705</v>
      </c>
      <c r="AQ130" t="s">
        <v>74</v>
      </c>
      <c r="AR130" t="s">
        <v>2706</v>
      </c>
      <c r="AS130" t="s">
        <v>2707</v>
      </c>
      <c r="AT130" t="s">
        <v>2170</v>
      </c>
      <c r="AU130">
        <v>2015</v>
      </c>
      <c r="AV130">
        <v>27</v>
      </c>
      <c r="AW130">
        <v>5</v>
      </c>
      <c r="AX130" t="s">
        <v>74</v>
      </c>
      <c r="AY130" t="s">
        <v>74</v>
      </c>
      <c r="AZ130" t="s">
        <v>74</v>
      </c>
      <c r="BA130" t="s">
        <v>74</v>
      </c>
      <c r="BB130">
        <v>493</v>
      </c>
      <c r="BC130">
        <v>499</v>
      </c>
      <c r="BD130" t="s">
        <v>74</v>
      </c>
      <c r="BE130" t="s">
        <v>2806</v>
      </c>
      <c r="BF130" t="str">
        <f>HYPERLINK("http://dx.doi.org/10.1017/S0954102015000176","http://dx.doi.org/10.1017/S0954102015000176")</f>
        <v>http://dx.doi.org/10.1017/S0954102015000176</v>
      </c>
      <c r="BG130" t="s">
        <v>74</v>
      </c>
      <c r="BH130" t="s">
        <v>74</v>
      </c>
      <c r="BI130">
        <v>7</v>
      </c>
      <c r="BJ130" t="s">
        <v>2709</v>
      </c>
      <c r="BK130" t="s">
        <v>101</v>
      </c>
      <c r="BL130" t="s">
        <v>2710</v>
      </c>
      <c r="BM130" t="s">
        <v>2711</v>
      </c>
      <c r="BN130" t="s">
        <v>74</v>
      </c>
      <c r="BO130" t="s">
        <v>74</v>
      </c>
      <c r="BP130" t="s">
        <v>74</v>
      </c>
      <c r="BQ130" t="s">
        <v>74</v>
      </c>
      <c r="BR130" t="s">
        <v>103</v>
      </c>
      <c r="BS130" t="s">
        <v>2807</v>
      </c>
      <c r="BT130" t="str">
        <f>HYPERLINK("https%3A%2F%2Fwww.webofscience.com%2Fwos%2Fwoscc%2Ffull-record%2FWOS:000363942300008","View Full Record in Web of Science")</f>
        <v>View Full Record in Web of Science</v>
      </c>
    </row>
    <row r="131" spans="1:72" x14ac:dyDescent="0.15">
      <c r="A131" t="s">
        <v>72</v>
      </c>
      <c r="B131" t="s">
        <v>2808</v>
      </c>
      <c r="C131" t="s">
        <v>74</v>
      </c>
      <c r="D131" t="s">
        <v>74</v>
      </c>
      <c r="E131" t="s">
        <v>74</v>
      </c>
      <c r="F131" t="s">
        <v>2809</v>
      </c>
      <c r="G131" t="s">
        <v>74</v>
      </c>
      <c r="H131" t="s">
        <v>74</v>
      </c>
      <c r="I131" t="s">
        <v>2810</v>
      </c>
      <c r="J131" t="s">
        <v>2691</v>
      </c>
      <c r="K131" t="s">
        <v>74</v>
      </c>
      <c r="L131" t="s">
        <v>74</v>
      </c>
      <c r="M131" t="s">
        <v>78</v>
      </c>
      <c r="N131" t="s">
        <v>79</v>
      </c>
      <c r="O131" t="s">
        <v>74</v>
      </c>
      <c r="P131" t="s">
        <v>74</v>
      </c>
      <c r="Q131" t="s">
        <v>74</v>
      </c>
      <c r="R131" t="s">
        <v>74</v>
      </c>
      <c r="S131" t="s">
        <v>74</v>
      </c>
      <c r="T131" t="s">
        <v>2811</v>
      </c>
      <c r="U131" t="s">
        <v>2812</v>
      </c>
      <c r="V131" t="s">
        <v>2813</v>
      </c>
      <c r="W131" t="s">
        <v>2814</v>
      </c>
      <c r="X131" t="s">
        <v>2815</v>
      </c>
      <c r="Y131" t="s">
        <v>2816</v>
      </c>
      <c r="Z131" t="s">
        <v>2817</v>
      </c>
      <c r="AA131" t="s">
        <v>2818</v>
      </c>
      <c r="AB131" t="s">
        <v>2819</v>
      </c>
      <c r="AC131" t="s">
        <v>2820</v>
      </c>
      <c r="AD131" t="s">
        <v>2821</v>
      </c>
      <c r="AE131" t="s">
        <v>2822</v>
      </c>
      <c r="AF131" t="s">
        <v>74</v>
      </c>
      <c r="AG131">
        <v>37</v>
      </c>
      <c r="AH131">
        <v>5</v>
      </c>
      <c r="AI131">
        <v>5</v>
      </c>
      <c r="AJ131">
        <v>2</v>
      </c>
      <c r="AK131">
        <v>25</v>
      </c>
      <c r="AL131" t="s">
        <v>741</v>
      </c>
      <c r="AM131" t="s">
        <v>550</v>
      </c>
      <c r="AN131" t="s">
        <v>742</v>
      </c>
      <c r="AO131" t="s">
        <v>2704</v>
      </c>
      <c r="AP131" t="s">
        <v>2705</v>
      </c>
      <c r="AQ131" t="s">
        <v>74</v>
      </c>
      <c r="AR131" t="s">
        <v>2706</v>
      </c>
      <c r="AS131" t="s">
        <v>2707</v>
      </c>
      <c r="AT131" t="s">
        <v>2170</v>
      </c>
      <c r="AU131">
        <v>2015</v>
      </c>
      <c r="AV131">
        <v>27</v>
      </c>
      <c r="AW131">
        <v>5</v>
      </c>
      <c r="AX131" t="s">
        <v>74</v>
      </c>
      <c r="AY131" t="s">
        <v>74</v>
      </c>
      <c r="AZ131" t="s">
        <v>74</v>
      </c>
      <c r="BA131" t="s">
        <v>74</v>
      </c>
      <c r="BB131">
        <v>511</v>
      </c>
      <c r="BC131">
        <v>523</v>
      </c>
      <c r="BD131" t="s">
        <v>74</v>
      </c>
      <c r="BE131" t="s">
        <v>2823</v>
      </c>
      <c r="BF131" t="str">
        <f>HYPERLINK("http://dx.doi.org/10.1017/S0954102015000231","http://dx.doi.org/10.1017/S0954102015000231")</f>
        <v>http://dx.doi.org/10.1017/S0954102015000231</v>
      </c>
      <c r="BG131" t="s">
        <v>74</v>
      </c>
      <c r="BH131" t="s">
        <v>74</v>
      </c>
      <c r="BI131">
        <v>13</v>
      </c>
      <c r="BJ131" t="s">
        <v>2709</v>
      </c>
      <c r="BK131" t="s">
        <v>101</v>
      </c>
      <c r="BL131" t="s">
        <v>2710</v>
      </c>
      <c r="BM131" t="s">
        <v>2711</v>
      </c>
      <c r="BN131" t="s">
        <v>74</v>
      </c>
      <c r="BO131" t="s">
        <v>74</v>
      </c>
      <c r="BP131" t="s">
        <v>74</v>
      </c>
      <c r="BQ131" t="s">
        <v>74</v>
      </c>
      <c r="BR131" t="s">
        <v>103</v>
      </c>
      <c r="BS131" t="s">
        <v>2824</v>
      </c>
      <c r="BT131" t="str">
        <f>HYPERLINK("https%3A%2F%2Fwww.webofscience.com%2Fwos%2Fwoscc%2Ffull-record%2FWOS:000363942300010","View Full Record in Web of Science")</f>
        <v>View Full Record in Web of Science</v>
      </c>
    </row>
    <row r="132" spans="1:72" x14ac:dyDescent="0.15">
      <c r="A132" t="s">
        <v>72</v>
      </c>
      <c r="B132" t="s">
        <v>2825</v>
      </c>
      <c r="C132" t="s">
        <v>74</v>
      </c>
      <c r="D132" t="s">
        <v>74</v>
      </c>
      <c r="E132" t="s">
        <v>74</v>
      </c>
      <c r="F132" t="s">
        <v>2826</v>
      </c>
      <c r="G132" t="s">
        <v>74</v>
      </c>
      <c r="H132" t="s">
        <v>74</v>
      </c>
      <c r="I132" t="s">
        <v>2827</v>
      </c>
      <c r="J132" t="s">
        <v>2828</v>
      </c>
      <c r="K132" t="s">
        <v>74</v>
      </c>
      <c r="L132" t="s">
        <v>74</v>
      </c>
      <c r="M132" t="s">
        <v>78</v>
      </c>
      <c r="N132" t="s">
        <v>79</v>
      </c>
      <c r="O132" t="s">
        <v>74</v>
      </c>
      <c r="P132" t="s">
        <v>74</v>
      </c>
      <c r="Q132" t="s">
        <v>74</v>
      </c>
      <c r="R132" t="s">
        <v>74</v>
      </c>
      <c r="S132" t="s">
        <v>74</v>
      </c>
      <c r="T132" t="s">
        <v>2829</v>
      </c>
      <c r="U132" t="s">
        <v>2830</v>
      </c>
      <c r="V132" t="s">
        <v>2831</v>
      </c>
      <c r="W132" t="s">
        <v>2832</v>
      </c>
      <c r="X132" t="s">
        <v>2833</v>
      </c>
      <c r="Y132" t="s">
        <v>2834</v>
      </c>
      <c r="Z132" t="s">
        <v>2835</v>
      </c>
      <c r="AA132" t="s">
        <v>2836</v>
      </c>
      <c r="AB132" t="s">
        <v>2837</v>
      </c>
      <c r="AC132" t="s">
        <v>2838</v>
      </c>
      <c r="AD132" t="s">
        <v>2839</v>
      </c>
      <c r="AE132" t="s">
        <v>2840</v>
      </c>
      <c r="AF132" t="s">
        <v>74</v>
      </c>
      <c r="AG132">
        <v>107</v>
      </c>
      <c r="AH132">
        <v>65</v>
      </c>
      <c r="AI132">
        <v>69</v>
      </c>
      <c r="AJ132">
        <v>1</v>
      </c>
      <c r="AK132">
        <v>49</v>
      </c>
      <c r="AL132" t="s">
        <v>2841</v>
      </c>
      <c r="AM132" t="s">
        <v>2842</v>
      </c>
      <c r="AN132" t="s">
        <v>2843</v>
      </c>
      <c r="AO132" t="s">
        <v>2844</v>
      </c>
      <c r="AP132" t="s">
        <v>2845</v>
      </c>
      <c r="AQ132" t="s">
        <v>74</v>
      </c>
      <c r="AR132" t="s">
        <v>2828</v>
      </c>
      <c r="AS132" t="s">
        <v>2846</v>
      </c>
      <c r="AT132" t="s">
        <v>2847</v>
      </c>
      <c r="AU132">
        <v>2015</v>
      </c>
      <c r="AV132">
        <v>15</v>
      </c>
      <c r="AW132">
        <v>10</v>
      </c>
      <c r="AX132" t="s">
        <v>74</v>
      </c>
      <c r="AY132" t="s">
        <v>74</v>
      </c>
      <c r="AZ132" t="s">
        <v>74</v>
      </c>
      <c r="BA132" t="s">
        <v>74</v>
      </c>
      <c r="BB132">
        <v>858</v>
      </c>
      <c r="BC132">
        <v>882</v>
      </c>
      <c r="BD132" t="s">
        <v>74</v>
      </c>
      <c r="BE132" t="s">
        <v>2848</v>
      </c>
      <c r="BF132" t="str">
        <f>HYPERLINK("http://dx.doi.org/10.1089/ast.2015.1307","http://dx.doi.org/10.1089/ast.2015.1307")</f>
        <v>http://dx.doi.org/10.1089/ast.2015.1307</v>
      </c>
      <c r="BG132" t="s">
        <v>74</v>
      </c>
      <c r="BH132" t="s">
        <v>74</v>
      </c>
      <c r="BI132">
        <v>25</v>
      </c>
      <c r="BJ132" t="s">
        <v>2849</v>
      </c>
      <c r="BK132" t="s">
        <v>101</v>
      </c>
      <c r="BL132" t="s">
        <v>2850</v>
      </c>
      <c r="BM132" t="s">
        <v>2851</v>
      </c>
      <c r="BN132">
        <v>26496526</v>
      </c>
      <c r="BO132" t="s">
        <v>1213</v>
      </c>
      <c r="BP132" t="s">
        <v>74</v>
      </c>
      <c r="BQ132" t="s">
        <v>74</v>
      </c>
      <c r="BR132" t="s">
        <v>103</v>
      </c>
      <c r="BS132" t="s">
        <v>2852</v>
      </c>
      <c r="BT132" t="str">
        <f>HYPERLINK("https%3A%2F%2Fwww.webofscience.com%2Fwos%2Fwoscc%2Ffull-record%2FWOS:000363930700009","View Full Record in Web of Science")</f>
        <v>View Full Record in Web of Science</v>
      </c>
    </row>
    <row r="133" spans="1:72" x14ac:dyDescent="0.15">
      <c r="A133" t="s">
        <v>72</v>
      </c>
      <c r="B133" t="s">
        <v>2853</v>
      </c>
      <c r="C133" t="s">
        <v>74</v>
      </c>
      <c r="D133" t="s">
        <v>74</v>
      </c>
      <c r="E133" t="s">
        <v>74</v>
      </c>
      <c r="F133" t="s">
        <v>2854</v>
      </c>
      <c r="G133" t="s">
        <v>74</v>
      </c>
      <c r="H133" t="s">
        <v>74</v>
      </c>
      <c r="I133" t="s">
        <v>2855</v>
      </c>
      <c r="J133" t="s">
        <v>2856</v>
      </c>
      <c r="K133" t="s">
        <v>74</v>
      </c>
      <c r="L133" t="s">
        <v>74</v>
      </c>
      <c r="M133" t="s">
        <v>78</v>
      </c>
      <c r="N133" t="s">
        <v>79</v>
      </c>
      <c r="O133" t="s">
        <v>74</v>
      </c>
      <c r="P133" t="s">
        <v>74</v>
      </c>
      <c r="Q133" t="s">
        <v>74</v>
      </c>
      <c r="R133" t="s">
        <v>74</v>
      </c>
      <c r="S133" t="s">
        <v>74</v>
      </c>
      <c r="T133" t="s">
        <v>74</v>
      </c>
      <c r="U133" t="s">
        <v>2857</v>
      </c>
      <c r="V133" t="s">
        <v>2858</v>
      </c>
      <c r="W133" t="s">
        <v>2859</v>
      </c>
      <c r="X133" t="s">
        <v>2860</v>
      </c>
      <c r="Y133" t="s">
        <v>2861</v>
      </c>
      <c r="Z133" t="s">
        <v>2862</v>
      </c>
      <c r="AA133" t="s">
        <v>2863</v>
      </c>
      <c r="AB133" t="s">
        <v>2864</v>
      </c>
      <c r="AC133" t="s">
        <v>2865</v>
      </c>
      <c r="AD133" t="s">
        <v>2866</v>
      </c>
      <c r="AE133" t="s">
        <v>2867</v>
      </c>
      <c r="AF133" t="s">
        <v>74</v>
      </c>
      <c r="AG133">
        <v>37</v>
      </c>
      <c r="AH133">
        <v>5</v>
      </c>
      <c r="AI133">
        <v>5</v>
      </c>
      <c r="AJ133">
        <v>1</v>
      </c>
      <c r="AK133">
        <v>21</v>
      </c>
      <c r="AL133" t="s">
        <v>925</v>
      </c>
      <c r="AM133" t="s">
        <v>884</v>
      </c>
      <c r="AN133" t="s">
        <v>926</v>
      </c>
      <c r="AO133" t="s">
        <v>2868</v>
      </c>
      <c r="AP133" t="s">
        <v>2869</v>
      </c>
      <c r="AQ133" t="s">
        <v>74</v>
      </c>
      <c r="AR133" t="s">
        <v>2870</v>
      </c>
      <c r="AS133" t="s">
        <v>2871</v>
      </c>
      <c r="AT133" t="s">
        <v>2847</v>
      </c>
      <c r="AU133">
        <v>2015</v>
      </c>
      <c r="AV133">
        <v>638</v>
      </c>
      <c r="AW133" t="s">
        <v>74</v>
      </c>
      <c r="AX133" t="s">
        <v>74</v>
      </c>
      <c r="AY133" t="s">
        <v>74</v>
      </c>
      <c r="AZ133" t="s">
        <v>74</v>
      </c>
      <c r="BA133" t="s">
        <v>74</v>
      </c>
      <c r="BB133">
        <v>137</v>
      </c>
      <c r="BC133">
        <v>143</v>
      </c>
      <c r="BD133" t="s">
        <v>74</v>
      </c>
      <c r="BE133" t="s">
        <v>2872</v>
      </c>
      <c r="BF133" t="str">
        <f>HYPERLINK("http://dx.doi.org/10.1016/j.cplett.2015.08.042","http://dx.doi.org/10.1016/j.cplett.2015.08.042")</f>
        <v>http://dx.doi.org/10.1016/j.cplett.2015.08.042</v>
      </c>
      <c r="BG133" t="s">
        <v>74</v>
      </c>
      <c r="BH133" t="s">
        <v>74</v>
      </c>
      <c r="BI133">
        <v>7</v>
      </c>
      <c r="BJ133" t="s">
        <v>2873</v>
      </c>
      <c r="BK133" t="s">
        <v>101</v>
      </c>
      <c r="BL133" t="s">
        <v>2874</v>
      </c>
      <c r="BM133" t="s">
        <v>2875</v>
      </c>
      <c r="BN133" t="s">
        <v>74</v>
      </c>
      <c r="BO133" t="s">
        <v>74</v>
      </c>
      <c r="BP133" t="s">
        <v>74</v>
      </c>
      <c r="BQ133" t="s">
        <v>74</v>
      </c>
      <c r="BR133" t="s">
        <v>103</v>
      </c>
      <c r="BS133" t="s">
        <v>2876</v>
      </c>
      <c r="BT133" t="str">
        <f>HYPERLINK("https%3A%2F%2Fwww.webofscience.com%2Fwos%2Fwoscc%2Ffull-record%2FWOS:000363953200026","View Full Record in Web of Science")</f>
        <v>View Full Record in Web of Science</v>
      </c>
    </row>
    <row r="134" spans="1:72" x14ac:dyDescent="0.15">
      <c r="A134" t="s">
        <v>72</v>
      </c>
      <c r="B134" t="s">
        <v>2877</v>
      </c>
      <c r="C134" t="s">
        <v>74</v>
      </c>
      <c r="D134" t="s">
        <v>74</v>
      </c>
      <c r="E134" t="s">
        <v>74</v>
      </c>
      <c r="F134" t="s">
        <v>2878</v>
      </c>
      <c r="G134" t="s">
        <v>74</v>
      </c>
      <c r="H134" t="s">
        <v>2879</v>
      </c>
      <c r="I134" t="s">
        <v>2880</v>
      </c>
      <c r="J134" t="s">
        <v>2881</v>
      </c>
      <c r="K134" t="s">
        <v>74</v>
      </c>
      <c r="L134" t="s">
        <v>74</v>
      </c>
      <c r="M134" t="s">
        <v>78</v>
      </c>
      <c r="N134" t="s">
        <v>79</v>
      </c>
      <c r="O134" t="s">
        <v>74</v>
      </c>
      <c r="P134" t="s">
        <v>74</v>
      </c>
      <c r="Q134" t="s">
        <v>74</v>
      </c>
      <c r="R134" t="s">
        <v>74</v>
      </c>
      <c r="S134" t="s">
        <v>74</v>
      </c>
      <c r="T134" t="s">
        <v>2882</v>
      </c>
      <c r="U134" t="s">
        <v>2883</v>
      </c>
      <c r="V134" t="s">
        <v>2884</v>
      </c>
      <c r="W134" t="s">
        <v>2885</v>
      </c>
      <c r="X134" t="s">
        <v>2886</v>
      </c>
      <c r="Y134" t="s">
        <v>2887</v>
      </c>
      <c r="Z134" t="s">
        <v>2888</v>
      </c>
      <c r="AA134" t="s">
        <v>2889</v>
      </c>
      <c r="AB134" t="s">
        <v>2890</v>
      </c>
      <c r="AC134" t="s">
        <v>2891</v>
      </c>
      <c r="AD134" t="s">
        <v>2892</v>
      </c>
      <c r="AE134" t="s">
        <v>2893</v>
      </c>
      <c r="AF134" t="s">
        <v>74</v>
      </c>
      <c r="AG134">
        <v>58</v>
      </c>
      <c r="AH134">
        <v>72</v>
      </c>
      <c r="AI134">
        <v>92</v>
      </c>
      <c r="AJ134">
        <v>0</v>
      </c>
      <c r="AK134">
        <v>8</v>
      </c>
      <c r="AL134" t="s">
        <v>2894</v>
      </c>
      <c r="AM134" t="s">
        <v>2895</v>
      </c>
      <c r="AN134" t="s">
        <v>2896</v>
      </c>
      <c r="AO134" t="s">
        <v>2897</v>
      </c>
      <c r="AP134" t="s">
        <v>2898</v>
      </c>
      <c r="AQ134" t="s">
        <v>74</v>
      </c>
      <c r="AR134" t="s">
        <v>2899</v>
      </c>
      <c r="AS134" t="s">
        <v>2900</v>
      </c>
      <c r="AT134" t="s">
        <v>2847</v>
      </c>
      <c r="AU134">
        <v>2015</v>
      </c>
      <c r="AV134">
        <v>811</v>
      </c>
      <c r="AW134">
        <v>2</v>
      </c>
      <c r="AX134" t="s">
        <v>74</v>
      </c>
      <c r="AY134" t="s">
        <v>74</v>
      </c>
      <c r="AZ134" t="s">
        <v>74</v>
      </c>
      <c r="BA134" t="s">
        <v>74</v>
      </c>
      <c r="BB134" t="s">
        <v>74</v>
      </c>
      <c r="BC134" t="s">
        <v>74</v>
      </c>
      <c r="BD134">
        <v>126</v>
      </c>
      <c r="BE134" t="s">
        <v>2901</v>
      </c>
      <c r="BF134" t="str">
        <f>HYPERLINK("http://dx.doi.org/10.1088/0004-637X/811/2/126","http://dx.doi.org/10.1088/0004-637X/811/2/126")</f>
        <v>http://dx.doi.org/10.1088/0004-637X/811/2/126</v>
      </c>
      <c r="BG134" t="s">
        <v>74</v>
      </c>
      <c r="BH134" t="s">
        <v>74</v>
      </c>
      <c r="BI134">
        <v>13</v>
      </c>
      <c r="BJ134" t="s">
        <v>378</v>
      </c>
      <c r="BK134" t="s">
        <v>101</v>
      </c>
      <c r="BL134" t="s">
        <v>378</v>
      </c>
      <c r="BM134" t="s">
        <v>2902</v>
      </c>
      <c r="BN134" t="s">
        <v>74</v>
      </c>
      <c r="BO134" t="s">
        <v>2903</v>
      </c>
      <c r="BP134" t="s">
        <v>74</v>
      </c>
      <c r="BQ134" t="s">
        <v>74</v>
      </c>
      <c r="BR134" t="s">
        <v>103</v>
      </c>
      <c r="BS134" t="s">
        <v>2904</v>
      </c>
      <c r="BT134" t="str">
        <f>HYPERLINK("https%3A%2F%2Fwww.webofscience.com%2Fwos%2Fwoscc%2Ffull-record%2FWOS:000363513800054","View Full Record in Web of Science")</f>
        <v>View Full Record in Web of Science</v>
      </c>
    </row>
    <row r="135" spans="1:72" x14ac:dyDescent="0.15">
      <c r="A135" t="s">
        <v>72</v>
      </c>
      <c r="B135" t="s">
        <v>2905</v>
      </c>
      <c r="C135" t="s">
        <v>74</v>
      </c>
      <c r="D135" t="s">
        <v>74</v>
      </c>
      <c r="E135" t="s">
        <v>74</v>
      </c>
      <c r="F135" t="s">
        <v>2906</v>
      </c>
      <c r="G135" t="s">
        <v>74</v>
      </c>
      <c r="H135" t="s">
        <v>74</v>
      </c>
      <c r="I135" t="s">
        <v>2907</v>
      </c>
      <c r="J135" t="s">
        <v>2908</v>
      </c>
      <c r="K135" t="s">
        <v>74</v>
      </c>
      <c r="L135" t="s">
        <v>74</v>
      </c>
      <c r="M135" t="s">
        <v>78</v>
      </c>
      <c r="N135" t="s">
        <v>52</v>
      </c>
      <c r="O135" t="s">
        <v>2909</v>
      </c>
      <c r="P135" t="s">
        <v>2910</v>
      </c>
      <c r="Q135" t="s">
        <v>2911</v>
      </c>
      <c r="R135" t="s">
        <v>74</v>
      </c>
      <c r="S135" t="s">
        <v>74</v>
      </c>
      <c r="T135" t="s">
        <v>74</v>
      </c>
      <c r="U135" t="s">
        <v>74</v>
      </c>
      <c r="V135" t="s">
        <v>74</v>
      </c>
      <c r="W135" t="s">
        <v>2912</v>
      </c>
      <c r="X135" t="s">
        <v>2913</v>
      </c>
      <c r="Y135" t="s">
        <v>74</v>
      </c>
      <c r="Z135" t="s">
        <v>74</v>
      </c>
      <c r="AA135" t="s">
        <v>2914</v>
      </c>
      <c r="AB135" t="s">
        <v>2915</v>
      </c>
      <c r="AC135" t="s">
        <v>74</v>
      </c>
      <c r="AD135" t="s">
        <v>74</v>
      </c>
      <c r="AE135" t="s">
        <v>74</v>
      </c>
      <c r="AF135" t="s">
        <v>74</v>
      </c>
      <c r="AG135">
        <v>0</v>
      </c>
      <c r="AH135">
        <v>0</v>
      </c>
      <c r="AI135">
        <v>0</v>
      </c>
      <c r="AJ135">
        <v>0</v>
      </c>
      <c r="AK135">
        <v>1</v>
      </c>
      <c r="AL135" t="s">
        <v>236</v>
      </c>
      <c r="AM135" t="s">
        <v>209</v>
      </c>
      <c r="AN135" t="s">
        <v>210</v>
      </c>
      <c r="AO135" t="s">
        <v>2916</v>
      </c>
      <c r="AP135" t="s">
        <v>2917</v>
      </c>
      <c r="AQ135" t="s">
        <v>74</v>
      </c>
      <c r="AR135" t="s">
        <v>2918</v>
      </c>
      <c r="AS135" t="s">
        <v>2919</v>
      </c>
      <c r="AT135" t="s">
        <v>2170</v>
      </c>
      <c r="AU135">
        <v>2015</v>
      </c>
      <c r="AV135">
        <v>24</v>
      </c>
      <c r="AW135" t="s">
        <v>74</v>
      </c>
      <c r="AX135" t="s">
        <v>74</v>
      </c>
      <c r="AY135">
        <v>1</v>
      </c>
      <c r="AZ135" t="s">
        <v>931</v>
      </c>
      <c r="BA135" t="s">
        <v>2920</v>
      </c>
      <c r="BB135">
        <v>62</v>
      </c>
      <c r="BC135">
        <v>62</v>
      </c>
      <c r="BD135" t="s">
        <v>74</v>
      </c>
      <c r="BE135" t="s">
        <v>74</v>
      </c>
      <c r="BF135" t="s">
        <v>74</v>
      </c>
      <c r="BG135" t="s">
        <v>74</v>
      </c>
      <c r="BH135" t="s">
        <v>74</v>
      </c>
      <c r="BI135">
        <v>1</v>
      </c>
      <c r="BJ135" t="s">
        <v>2921</v>
      </c>
      <c r="BK135" t="s">
        <v>1631</v>
      </c>
      <c r="BL135" t="s">
        <v>2921</v>
      </c>
      <c r="BM135" t="s">
        <v>2922</v>
      </c>
      <c r="BN135" t="s">
        <v>74</v>
      </c>
      <c r="BO135" t="s">
        <v>74</v>
      </c>
      <c r="BP135" t="s">
        <v>74</v>
      </c>
      <c r="BQ135" t="s">
        <v>74</v>
      </c>
      <c r="BR135" t="s">
        <v>103</v>
      </c>
      <c r="BS135" t="s">
        <v>2923</v>
      </c>
      <c r="BT135" t="str">
        <f>HYPERLINK("https%3A%2F%2Fwww.webofscience.com%2Fwos%2Fwoscc%2Ffull-record%2FWOS:000363658100103","View Full Record in Web of Science")</f>
        <v>View Full Record in Web of Science</v>
      </c>
    </row>
    <row r="136" spans="1:72" x14ac:dyDescent="0.15">
      <c r="A136" t="s">
        <v>72</v>
      </c>
      <c r="B136" t="s">
        <v>2924</v>
      </c>
      <c r="C136" t="s">
        <v>74</v>
      </c>
      <c r="D136" t="s">
        <v>74</v>
      </c>
      <c r="E136" t="s">
        <v>74</v>
      </c>
      <c r="F136" t="s">
        <v>2925</v>
      </c>
      <c r="G136" t="s">
        <v>74</v>
      </c>
      <c r="H136" t="s">
        <v>74</v>
      </c>
      <c r="I136" t="s">
        <v>2926</v>
      </c>
      <c r="J136" t="s">
        <v>2927</v>
      </c>
      <c r="K136" t="s">
        <v>74</v>
      </c>
      <c r="L136" t="s">
        <v>74</v>
      </c>
      <c r="M136" t="s">
        <v>78</v>
      </c>
      <c r="N136" t="s">
        <v>79</v>
      </c>
      <c r="O136" t="s">
        <v>74</v>
      </c>
      <c r="P136" t="s">
        <v>74</v>
      </c>
      <c r="Q136" t="s">
        <v>74</v>
      </c>
      <c r="R136" t="s">
        <v>74</v>
      </c>
      <c r="S136" t="s">
        <v>74</v>
      </c>
      <c r="T136" t="s">
        <v>2928</v>
      </c>
      <c r="U136" t="s">
        <v>2929</v>
      </c>
      <c r="V136" t="s">
        <v>2930</v>
      </c>
      <c r="W136" t="s">
        <v>2931</v>
      </c>
      <c r="X136" t="s">
        <v>2932</v>
      </c>
      <c r="Y136" t="s">
        <v>2933</v>
      </c>
      <c r="Z136" t="s">
        <v>2934</v>
      </c>
      <c r="AA136" t="s">
        <v>2935</v>
      </c>
      <c r="AB136" t="s">
        <v>2936</v>
      </c>
      <c r="AC136" t="s">
        <v>2937</v>
      </c>
      <c r="AD136" t="s">
        <v>2938</v>
      </c>
      <c r="AE136" t="s">
        <v>2939</v>
      </c>
      <c r="AF136" t="s">
        <v>74</v>
      </c>
      <c r="AG136">
        <v>143</v>
      </c>
      <c r="AH136">
        <v>56</v>
      </c>
      <c r="AI136">
        <v>58</v>
      </c>
      <c r="AJ136">
        <v>2</v>
      </c>
      <c r="AK136">
        <v>47</v>
      </c>
      <c r="AL136" t="s">
        <v>397</v>
      </c>
      <c r="AM136" t="s">
        <v>398</v>
      </c>
      <c r="AN136" t="s">
        <v>399</v>
      </c>
      <c r="AO136" t="s">
        <v>2940</v>
      </c>
      <c r="AP136" t="s">
        <v>2941</v>
      </c>
      <c r="AQ136" t="s">
        <v>74</v>
      </c>
      <c r="AR136" t="s">
        <v>2942</v>
      </c>
      <c r="AS136" t="s">
        <v>2943</v>
      </c>
      <c r="AT136" t="s">
        <v>2170</v>
      </c>
      <c r="AU136">
        <v>2015</v>
      </c>
      <c r="AV136">
        <v>104</v>
      </c>
      <c r="AW136" t="s">
        <v>74</v>
      </c>
      <c r="AX136" t="s">
        <v>74</v>
      </c>
      <c r="AY136" t="s">
        <v>74</v>
      </c>
      <c r="AZ136" t="s">
        <v>74</v>
      </c>
      <c r="BA136" t="s">
        <v>74</v>
      </c>
      <c r="BB136">
        <v>9</v>
      </c>
      <c r="BC136">
        <v>25</v>
      </c>
      <c r="BD136" t="s">
        <v>74</v>
      </c>
      <c r="BE136" t="s">
        <v>2944</v>
      </c>
      <c r="BF136" t="str">
        <f>HYPERLINK("http://dx.doi.org/10.1016/j.dsr.2015.05.007","http://dx.doi.org/10.1016/j.dsr.2015.05.007")</f>
        <v>http://dx.doi.org/10.1016/j.dsr.2015.05.007</v>
      </c>
      <c r="BG136" t="s">
        <v>74</v>
      </c>
      <c r="BH136" t="s">
        <v>74</v>
      </c>
      <c r="BI136">
        <v>17</v>
      </c>
      <c r="BJ136" t="s">
        <v>339</v>
      </c>
      <c r="BK136" t="s">
        <v>101</v>
      </c>
      <c r="BL136" t="s">
        <v>339</v>
      </c>
      <c r="BM136" t="s">
        <v>2945</v>
      </c>
      <c r="BN136" t="s">
        <v>74</v>
      </c>
      <c r="BO136" t="s">
        <v>2946</v>
      </c>
      <c r="BP136" t="s">
        <v>74</v>
      </c>
      <c r="BQ136" t="s">
        <v>74</v>
      </c>
      <c r="BR136" t="s">
        <v>103</v>
      </c>
      <c r="BS136" t="s">
        <v>2947</v>
      </c>
      <c r="BT136" t="str">
        <f>HYPERLINK("https%3A%2F%2Fwww.webofscience.com%2Fwos%2Fwoscc%2Ffull-record%2FWOS:000363078500002","View Full Record in Web of Science")</f>
        <v>View Full Record in Web of Science</v>
      </c>
    </row>
    <row r="137" spans="1:72" x14ac:dyDescent="0.15">
      <c r="A137" t="s">
        <v>72</v>
      </c>
      <c r="B137" t="s">
        <v>2948</v>
      </c>
      <c r="C137" t="s">
        <v>74</v>
      </c>
      <c r="D137" t="s">
        <v>74</v>
      </c>
      <c r="E137" t="s">
        <v>74</v>
      </c>
      <c r="F137" t="s">
        <v>2949</v>
      </c>
      <c r="G137" t="s">
        <v>74</v>
      </c>
      <c r="H137" t="s">
        <v>74</v>
      </c>
      <c r="I137" t="s">
        <v>2950</v>
      </c>
      <c r="J137" t="s">
        <v>2951</v>
      </c>
      <c r="K137" t="s">
        <v>74</v>
      </c>
      <c r="L137" t="s">
        <v>74</v>
      </c>
      <c r="M137" t="s">
        <v>78</v>
      </c>
      <c r="N137" t="s">
        <v>79</v>
      </c>
      <c r="O137" t="s">
        <v>74</v>
      </c>
      <c r="P137" t="s">
        <v>74</v>
      </c>
      <c r="Q137" t="s">
        <v>74</v>
      </c>
      <c r="R137" t="s">
        <v>74</v>
      </c>
      <c r="S137" t="s">
        <v>74</v>
      </c>
      <c r="T137" t="s">
        <v>2952</v>
      </c>
      <c r="U137" t="s">
        <v>2953</v>
      </c>
      <c r="V137" t="s">
        <v>2954</v>
      </c>
      <c r="W137" t="s">
        <v>2955</v>
      </c>
      <c r="X137" t="s">
        <v>2956</v>
      </c>
      <c r="Y137" t="s">
        <v>2957</v>
      </c>
      <c r="Z137" t="s">
        <v>2958</v>
      </c>
      <c r="AA137" t="s">
        <v>2959</v>
      </c>
      <c r="AB137" t="s">
        <v>2960</v>
      </c>
      <c r="AC137" t="s">
        <v>74</v>
      </c>
      <c r="AD137" t="s">
        <v>74</v>
      </c>
      <c r="AE137" t="s">
        <v>74</v>
      </c>
      <c r="AF137" t="s">
        <v>74</v>
      </c>
      <c r="AG137">
        <v>62</v>
      </c>
      <c r="AH137">
        <v>37</v>
      </c>
      <c r="AI137">
        <v>37</v>
      </c>
      <c r="AJ137">
        <v>1</v>
      </c>
      <c r="AK137">
        <v>94</v>
      </c>
      <c r="AL137" t="s">
        <v>208</v>
      </c>
      <c r="AM137" t="s">
        <v>209</v>
      </c>
      <c r="AN137" t="s">
        <v>210</v>
      </c>
      <c r="AO137" t="s">
        <v>2961</v>
      </c>
      <c r="AP137" t="s">
        <v>2962</v>
      </c>
      <c r="AQ137" t="s">
        <v>74</v>
      </c>
      <c r="AR137" t="s">
        <v>2963</v>
      </c>
      <c r="AS137" t="s">
        <v>2964</v>
      </c>
      <c r="AT137" t="s">
        <v>2170</v>
      </c>
      <c r="AU137">
        <v>2015</v>
      </c>
      <c r="AV137">
        <v>51</v>
      </c>
      <c r="AW137">
        <v>5</v>
      </c>
      <c r="AX137" t="s">
        <v>74</v>
      </c>
      <c r="AY137" t="s">
        <v>74</v>
      </c>
      <c r="AZ137" t="s">
        <v>74</v>
      </c>
      <c r="BA137" t="s">
        <v>74</v>
      </c>
      <c r="BB137">
        <v>896</v>
      </c>
      <c r="BC137">
        <v>909</v>
      </c>
      <c r="BD137" t="s">
        <v>74</v>
      </c>
      <c r="BE137" t="s">
        <v>2965</v>
      </c>
      <c r="BF137" t="str">
        <f>HYPERLINK("http://dx.doi.org/10.1111/jpy.12330","http://dx.doi.org/10.1111/jpy.12330")</f>
        <v>http://dx.doi.org/10.1111/jpy.12330</v>
      </c>
      <c r="BG137" t="s">
        <v>74</v>
      </c>
      <c r="BH137" t="s">
        <v>74</v>
      </c>
      <c r="BI137">
        <v>14</v>
      </c>
      <c r="BJ137" t="s">
        <v>2966</v>
      </c>
      <c r="BK137" t="s">
        <v>101</v>
      </c>
      <c r="BL137" t="s">
        <v>2966</v>
      </c>
      <c r="BM137" t="s">
        <v>2967</v>
      </c>
      <c r="BN137">
        <v>26986886</v>
      </c>
      <c r="BO137" t="s">
        <v>74</v>
      </c>
      <c r="BP137" t="s">
        <v>74</v>
      </c>
      <c r="BQ137" t="s">
        <v>74</v>
      </c>
      <c r="BR137" t="s">
        <v>103</v>
      </c>
      <c r="BS137" t="s">
        <v>2968</v>
      </c>
      <c r="BT137" t="str">
        <f>HYPERLINK("https%3A%2F%2Fwww.webofscience.com%2Fwos%2Fwoscc%2Ffull-record%2FWOS:000363263500007","View Full Record in Web of Science")</f>
        <v>View Full Record in Web of Science</v>
      </c>
    </row>
    <row r="138" spans="1:72" x14ac:dyDescent="0.15">
      <c r="A138" t="s">
        <v>72</v>
      </c>
      <c r="B138" t="s">
        <v>2969</v>
      </c>
      <c r="C138" t="s">
        <v>74</v>
      </c>
      <c r="D138" t="s">
        <v>74</v>
      </c>
      <c r="E138" t="s">
        <v>74</v>
      </c>
      <c r="F138" t="s">
        <v>2970</v>
      </c>
      <c r="G138" t="s">
        <v>74</v>
      </c>
      <c r="H138" t="s">
        <v>74</v>
      </c>
      <c r="I138" t="s">
        <v>2971</v>
      </c>
      <c r="J138" t="s">
        <v>2972</v>
      </c>
      <c r="K138" t="s">
        <v>74</v>
      </c>
      <c r="L138" t="s">
        <v>74</v>
      </c>
      <c r="M138" t="s">
        <v>78</v>
      </c>
      <c r="N138" t="s">
        <v>79</v>
      </c>
      <c r="O138" t="s">
        <v>74</v>
      </c>
      <c r="P138" t="s">
        <v>74</v>
      </c>
      <c r="Q138" t="s">
        <v>74</v>
      </c>
      <c r="R138" t="s">
        <v>74</v>
      </c>
      <c r="S138" t="s">
        <v>74</v>
      </c>
      <c r="T138" t="s">
        <v>2973</v>
      </c>
      <c r="U138" t="s">
        <v>2974</v>
      </c>
      <c r="V138" t="s">
        <v>2975</v>
      </c>
      <c r="W138" t="s">
        <v>2976</v>
      </c>
      <c r="X138" t="s">
        <v>2977</v>
      </c>
      <c r="Y138" t="s">
        <v>2978</v>
      </c>
      <c r="Z138" t="s">
        <v>2979</v>
      </c>
      <c r="AA138" t="s">
        <v>74</v>
      </c>
      <c r="AB138" t="s">
        <v>2980</v>
      </c>
      <c r="AC138" t="s">
        <v>2981</v>
      </c>
      <c r="AD138" t="s">
        <v>2982</v>
      </c>
      <c r="AE138" t="s">
        <v>2983</v>
      </c>
      <c r="AF138" t="s">
        <v>74</v>
      </c>
      <c r="AG138">
        <v>71</v>
      </c>
      <c r="AH138">
        <v>30</v>
      </c>
      <c r="AI138">
        <v>32</v>
      </c>
      <c r="AJ138">
        <v>0</v>
      </c>
      <c r="AK138">
        <v>42</v>
      </c>
      <c r="AL138" t="s">
        <v>208</v>
      </c>
      <c r="AM138" t="s">
        <v>209</v>
      </c>
      <c r="AN138" t="s">
        <v>210</v>
      </c>
      <c r="AO138" t="s">
        <v>2984</v>
      </c>
      <c r="AP138" t="s">
        <v>2985</v>
      </c>
      <c r="AQ138" t="s">
        <v>74</v>
      </c>
      <c r="AR138" t="s">
        <v>2986</v>
      </c>
      <c r="AS138" t="s">
        <v>2987</v>
      </c>
      <c r="AT138" t="s">
        <v>2170</v>
      </c>
      <c r="AU138">
        <v>2015</v>
      </c>
      <c r="AV138">
        <v>31</v>
      </c>
      <c r="AW138">
        <v>4</v>
      </c>
      <c r="AX138" t="s">
        <v>74</v>
      </c>
      <c r="AY138" t="s">
        <v>74</v>
      </c>
      <c r="AZ138" t="s">
        <v>74</v>
      </c>
      <c r="BA138" t="s">
        <v>74</v>
      </c>
      <c r="BB138">
        <v>1338</v>
      </c>
      <c r="BC138">
        <v>1361</v>
      </c>
      <c r="BD138" t="s">
        <v>74</v>
      </c>
      <c r="BE138" t="s">
        <v>2988</v>
      </c>
      <c r="BF138" t="str">
        <f>HYPERLINK("http://dx.doi.org/10.1111/mms.12220","http://dx.doi.org/10.1111/mms.12220")</f>
        <v>http://dx.doi.org/10.1111/mms.12220</v>
      </c>
      <c r="BG138" t="s">
        <v>74</v>
      </c>
      <c r="BH138" t="s">
        <v>74</v>
      </c>
      <c r="BI138">
        <v>24</v>
      </c>
      <c r="BJ138" t="s">
        <v>2581</v>
      </c>
      <c r="BK138" t="s">
        <v>101</v>
      </c>
      <c r="BL138" t="s">
        <v>2581</v>
      </c>
      <c r="BM138" t="s">
        <v>2989</v>
      </c>
      <c r="BN138" t="s">
        <v>74</v>
      </c>
      <c r="BO138" t="s">
        <v>74</v>
      </c>
      <c r="BP138" t="s">
        <v>74</v>
      </c>
      <c r="BQ138" t="s">
        <v>74</v>
      </c>
      <c r="BR138" t="s">
        <v>103</v>
      </c>
      <c r="BS138" t="s">
        <v>2990</v>
      </c>
      <c r="BT138" t="str">
        <f>HYPERLINK("https%3A%2F%2Fwww.webofscience.com%2Fwos%2Fwoscc%2Ffull-record%2FWOS:000363284900004","View Full Record in Web of Science")</f>
        <v>View Full Record in Web of Science</v>
      </c>
    </row>
    <row r="139" spans="1:72" x14ac:dyDescent="0.15">
      <c r="A139" t="s">
        <v>72</v>
      </c>
      <c r="B139" t="s">
        <v>2991</v>
      </c>
      <c r="C139" t="s">
        <v>74</v>
      </c>
      <c r="D139" t="s">
        <v>74</v>
      </c>
      <c r="E139" t="s">
        <v>74</v>
      </c>
      <c r="F139" t="s">
        <v>2992</v>
      </c>
      <c r="G139" t="s">
        <v>74</v>
      </c>
      <c r="H139" t="s">
        <v>74</v>
      </c>
      <c r="I139" t="s">
        <v>2993</v>
      </c>
      <c r="J139" t="s">
        <v>2994</v>
      </c>
      <c r="K139" t="s">
        <v>74</v>
      </c>
      <c r="L139" t="s">
        <v>74</v>
      </c>
      <c r="M139" t="s">
        <v>78</v>
      </c>
      <c r="N139" t="s">
        <v>79</v>
      </c>
      <c r="O139" t="s">
        <v>74</v>
      </c>
      <c r="P139" t="s">
        <v>74</v>
      </c>
      <c r="Q139" t="s">
        <v>74</v>
      </c>
      <c r="R139" t="s">
        <v>74</v>
      </c>
      <c r="S139" t="s">
        <v>74</v>
      </c>
      <c r="T139" t="s">
        <v>2995</v>
      </c>
      <c r="U139" t="s">
        <v>2996</v>
      </c>
      <c r="V139" t="s">
        <v>2997</v>
      </c>
      <c r="W139" t="s">
        <v>2998</v>
      </c>
      <c r="X139" t="s">
        <v>2999</v>
      </c>
      <c r="Y139" t="s">
        <v>3000</v>
      </c>
      <c r="Z139" t="s">
        <v>3001</v>
      </c>
      <c r="AA139" t="s">
        <v>3002</v>
      </c>
      <c r="AB139" t="s">
        <v>3003</v>
      </c>
      <c r="AC139" t="s">
        <v>3004</v>
      </c>
      <c r="AD139" t="s">
        <v>3005</v>
      </c>
      <c r="AE139" t="s">
        <v>3006</v>
      </c>
      <c r="AF139" t="s">
        <v>74</v>
      </c>
      <c r="AG139">
        <v>67</v>
      </c>
      <c r="AH139">
        <v>30</v>
      </c>
      <c r="AI139">
        <v>33</v>
      </c>
      <c r="AJ139">
        <v>6</v>
      </c>
      <c r="AK139">
        <v>59</v>
      </c>
      <c r="AL139" t="s">
        <v>208</v>
      </c>
      <c r="AM139" t="s">
        <v>209</v>
      </c>
      <c r="AN139" t="s">
        <v>210</v>
      </c>
      <c r="AO139" t="s">
        <v>3007</v>
      </c>
      <c r="AP139" t="s">
        <v>3008</v>
      </c>
      <c r="AQ139" t="s">
        <v>74</v>
      </c>
      <c r="AR139" t="s">
        <v>3009</v>
      </c>
      <c r="AS139" t="s">
        <v>3010</v>
      </c>
      <c r="AT139" t="s">
        <v>2170</v>
      </c>
      <c r="AU139">
        <v>2015</v>
      </c>
      <c r="AV139">
        <v>102</v>
      </c>
      <c r="AW139">
        <v>10</v>
      </c>
      <c r="AX139" t="s">
        <v>74</v>
      </c>
      <c r="AY139" t="s">
        <v>74</v>
      </c>
      <c r="AZ139" t="s">
        <v>74</v>
      </c>
      <c r="BA139" t="s">
        <v>74</v>
      </c>
      <c r="BB139">
        <v>1590</v>
      </c>
      <c r="BC139">
        <v>1598</v>
      </c>
      <c r="BD139" t="s">
        <v>74</v>
      </c>
      <c r="BE139" t="s">
        <v>3011</v>
      </c>
      <c r="BF139" t="str">
        <f>HYPERLINK("http://dx.doi.org/10.3732/ajb.1500157","http://dx.doi.org/10.3732/ajb.1500157")</f>
        <v>http://dx.doi.org/10.3732/ajb.1500157</v>
      </c>
      <c r="BG139" t="s">
        <v>74</v>
      </c>
      <c r="BH139" t="s">
        <v>74</v>
      </c>
      <c r="BI139">
        <v>9</v>
      </c>
      <c r="BJ139" t="s">
        <v>429</v>
      </c>
      <c r="BK139" t="s">
        <v>101</v>
      </c>
      <c r="BL139" t="s">
        <v>429</v>
      </c>
      <c r="BM139" t="s">
        <v>3012</v>
      </c>
      <c r="BN139">
        <v>26437886</v>
      </c>
      <c r="BO139" t="s">
        <v>1235</v>
      </c>
      <c r="BP139" t="s">
        <v>74</v>
      </c>
      <c r="BQ139" t="s">
        <v>74</v>
      </c>
      <c r="BR139" t="s">
        <v>103</v>
      </c>
      <c r="BS139" t="s">
        <v>3013</v>
      </c>
      <c r="BT139" t="str">
        <f>HYPERLINK("https%3A%2F%2Fwww.webofscience.com%2Fwos%2Fwoscc%2Ffull-record%2FWOS:000362855900004","View Full Record in Web of Science")</f>
        <v>View Full Record in Web of Science</v>
      </c>
    </row>
    <row r="140" spans="1:72" x14ac:dyDescent="0.15">
      <c r="A140" t="s">
        <v>72</v>
      </c>
      <c r="B140" t="s">
        <v>3014</v>
      </c>
      <c r="C140" t="s">
        <v>74</v>
      </c>
      <c r="D140" t="s">
        <v>74</v>
      </c>
      <c r="E140" t="s">
        <v>74</v>
      </c>
      <c r="F140" t="s">
        <v>3015</v>
      </c>
      <c r="G140" t="s">
        <v>74</v>
      </c>
      <c r="H140" t="s">
        <v>74</v>
      </c>
      <c r="I140" t="s">
        <v>3016</v>
      </c>
      <c r="J140" t="s">
        <v>484</v>
      </c>
      <c r="K140" t="s">
        <v>74</v>
      </c>
      <c r="L140" t="s">
        <v>74</v>
      </c>
      <c r="M140" t="s">
        <v>78</v>
      </c>
      <c r="N140" t="s">
        <v>79</v>
      </c>
      <c r="O140" t="s">
        <v>74</v>
      </c>
      <c r="P140" t="s">
        <v>74</v>
      </c>
      <c r="Q140" t="s">
        <v>74</v>
      </c>
      <c r="R140" t="s">
        <v>74</v>
      </c>
      <c r="S140" t="s">
        <v>74</v>
      </c>
      <c r="T140" t="s">
        <v>3017</v>
      </c>
      <c r="U140" t="s">
        <v>3018</v>
      </c>
      <c r="V140" t="s">
        <v>3019</v>
      </c>
      <c r="W140" t="s">
        <v>3020</v>
      </c>
      <c r="X140" t="s">
        <v>2956</v>
      </c>
      <c r="Y140" t="s">
        <v>3021</v>
      </c>
      <c r="Z140" t="s">
        <v>3022</v>
      </c>
      <c r="AA140" t="s">
        <v>3023</v>
      </c>
      <c r="AB140" t="s">
        <v>74</v>
      </c>
      <c r="AC140" t="s">
        <v>74</v>
      </c>
      <c r="AD140" t="s">
        <v>74</v>
      </c>
      <c r="AE140" t="s">
        <v>74</v>
      </c>
      <c r="AF140" t="s">
        <v>74</v>
      </c>
      <c r="AG140">
        <v>30</v>
      </c>
      <c r="AH140">
        <v>25</v>
      </c>
      <c r="AI140">
        <v>26</v>
      </c>
      <c r="AJ140">
        <v>1</v>
      </c>
      <c r="AK140">
        <v>40</v>
      </c>
      <c r="AL140" t="s">
        <v>496</v>
      </c>
      <c r="AM140" t="s">
        <v>398</v>
      </c>
      <c r="AN140" t="s">
        <v>497</v>
      </c>
      <c r="AO140" t="s">
        <v>498</v>
      </c>
      <c r="AP140" t="s">
        <v>499</v>
      </c>
      <c r="AQ140" t="s">
        <v>74</v>
      </c>
      <c r="AR140" t="s">
        <v>500</v>
      </c>
      <c r="AS140" t="s">
        <v>501</v>
      </c>
      <c r="AT140" t="s">
        <v>2170</v>
      </c>
      <c r="AU140">
        <v>2015</v>
      </c>
      <c r="AV140">
        <v>60</v>
      </c>
      <c r="AW140" t="s">
        <v>74</v>
      </c>
      <c r="AX140" t="s">
        <v>74</v>
      </c>
      <c r="AY140" t="s">
        <v>74</v>
      </c>
      <c r="AZ140" t="s">
        <v>74</v>
      </c>
      <c r="BA140" t="s">
        <v>74</v>
      </c>
      <c r="BB140">
        <v>186</v>
      </c>
      <c r="BC140">
        <v>196</v>
      </c>
      <c r="BD140" t="s">
        <v>74</v>
      </c>
      <c r="BE140" t="s">
        <v>3024</v>
      </c>
      <c r="BF140" t="str">
        <f>HYPERLINK("http://dx.doi.org/10.1016/j.marpol.2015.06.006","http://dx.doi.org/10.1016/j.marpol.2015.06.006")</f>
        <v>http://dx.doi.org/10.1016/j.marpol.2015.06.006</v>
      </c>
      <c r="BG140" t="s">
        <v>74</v>
      </c>
      <c r="BH140" t="s">
        <v>74</v>
      </c>
      <c r="BI140">
        <v>11</v>
      </c>
      <c r="BJ140" t="s">
        <v>503</v>
      </c>
      <c r="BK140" t="s">
        <v>504</v>
      </c>
      <c r="BL140" t="s">
        <v>505</v>
      </c>
      <c r="BM140" t="s">
        <v>3025</v>
      </c>
      <c r="BN140" t="s">
        <v>74</v>
      </c>
      <c r="BO140" t="s">
        <v>74</v>
      </c>
      <c r="BP140" t="s">
        <v>74</v>
      </c>
      <c r="BQ140" t="s">
        <v>74</v>
      </c>
      <c r="BR140" t="s">
        <v>103</v>
      </c>
      <c r="BS140" t="s">
        <v>3026</v>
      </c>
      <c r="BT140" t="str">
        <f>HYPERLINK("https%3A%2F%2Fwww.webofscience.com%2Fwos%2Fwoscc%2Ffull-record%2FWOS:000362533800021","View Full Record in Web of Science")</f>
        <v>View Full Record in Web of Science</v>
      </c>
    </row>
    <row r="141" spans="1:72" x14ac:dyDescent="0.15">
      <c r="A141" t="s">
        <v>72</v>
      </c>
      <c r="B141" t="s">
        <v>3027</v>
      </c>
      <c r="C141" t="s">
        <v>74</v>
      </c>
      <c r="D141" t="s">
        <v>74</v>
      </c>
      <c r="E141" t="s">
        <v>74</v>
      </c>
      <c r="F141" t="s">
        <v>3028</v>
      </c>
      <c r="G141" t="s">
        <v>74</v>
      </c>
      <c r="H141" t="s">
        <v>74</v>
      </c>
      <c r="I141" t="s">
        <v>3029</v>
      </c>
      <c r="J141" t="s">
        <v>3030</v>
      </c>
      <c r="K141" t="s">
        <v>74</v>
      </c>
      <c r="L141" t="s">
        <v>74</v>
      </c>
      <c r="M141" t="s">
        <v>78</v>
      </c>
      <c r="N141" t="s">
        <v>79</v>
      </c>
      <c r="O141" t="s">
        <v>74</v>
      </c>
      <c r="P141" t="s">
        <v>74</v>
      </c>
      <c r="Q141" t="s">
        <v>74</v>
      </c>
      <c r="R141" t="s">
        <v>74</v>
      </c>
      <c r="S141" t="s">
        <v>74</v>
      </c>
      <c r="T141" t="s">
        <v>3031</v>
      </c>
      <c r="U141" t="s">
        <v>3032</v>
      </c>
      <c r="V141" t="s">
        <v>3033</v>
      </c>
      <c r="W141" t="s">
        <v>3034</v>
      </c>
      <c r="X141" t="s">
        <v>3035</v>
      </c>
      <c r="Y141" t="s">
        <v>3036</v>
      </c>
      <c r="Z141" t="s">
        <v>3037</v>
      </c>
      <c r="AA141" t="s">
        <v>74</v>
      </c>
      <c r="AB141" t="s">
        <v>74</v>
      </c>
      <c r="AC141" t="s">
        <v>3038</v>
      </c>
      <c r="AD141" t="s">
        <v>3038</v>
      </c>
      <c r="AE141" t="s">
        <v>3039</v>
      </c>
      <c r="AF141" t="s">
        <v>74</v>
      </c>
      <c r="AG141">
        <v>76</v>
      </c>
      <c r="AH141">
        <v>4</v>
      </c>
      <c r="AI141">
        <v>4</v>
      </c>
      <c r="AJ141">
        <v>0</v>
      </c>
      <c r="AK141">
        <v>15</v>
      </c>
      <c r="AL141" t="s">
        <v>3040</v>
      </c>
      <c r="AM141" t="s">
        <v>3041</v>
      </c>
      <c r="AN141" t="s">
        <v>3042</v>
      </c>
      <c r="AO141" t="s">
        <v>3043</v>
      </c>
      <c r="AP141" t="s">
        <v>3044</v>
      </c>
      <c r="AQ141" t="s">
        <v>74</v>
      </c>
      <c r="AR141" t="s">
        <v>3045</v>
      </c>
      <c r="AS141" t="s">
        <v>3046</v>
      </c>
      <c r="AT141" t="s">
        <v>2170</v>
      </c>
      <c r="AU141">
        <v>2015</v>
      </c>
      <c r="AV141">
        <v>172</v>
      </c>
      <c r="AW141">
        <v>10</v>
      </c>
      <c r="AX141" t="s">
        <v>74</v>
      </c>
      <c r="AY141" t="s">
        <v>74</v>
      </c>
      <c r="AZ141" t="s">
        <v>74</v>
      </c>
      <c r="BA141" t="s">
        <v>74</v>
      </c>
      <c r="BB141">
        <v>2643</v>
      </c>
      <c r="BC141">
        <v>2655</v>
      </c>
      <c r="BD141" t="s">
        <v>74</v>
      </c>
      <c r="BE141" t="s">
        <v>3047</v>
      </c>
      <c r="BF141" t="str">
        <f>HYPERLINK("http://dx.doi.org/10.1007/s00024-014-0952-2","http://dx.doi.org/10.1007/s00024-014-0952-2")</f>
        <v>http://dx.doi.org/10.1007/s00024-014-0952-2</v>
      </c>
      <c r="BG141" t="s">
        <v>74</v>
      </c>
      <c r="BH141" t="s">
        <v>74</v>
      </c>
      <c r="BI141">
        <v>13</v>
      </c>
      <c r="BJ141" t="s">
        <v>1707</v>
      </c>
      <c r="BK141" t="s">
        <v>101</v>
      </c>
      <c r="BL141" t="s">
        <v>1707</v>
      </c>
      <c r="BM141" t="s">
        <v>3048</v>
      </c>
      <c r="BN141" t="s">
        <v>74</v>
      </c>
      <c r="BO141" t="s">
        <v>559</v>
      </c>
      <c r="BP141" t="s">
        <v>74</v>
      </c>
      <c r="BQ141" t="s">
        <v>74</v>
      </c>
      <c r="BR141" t="s">
        <v>103</v>
      </c>
      <c r="BS141" t="s">
        <v>3049</v>
      </c>
      <c r="BT141" t="str">
        <f>HYPERLINK("https%3A%2F%2Fwww.webofscience.com%2Fwos%2Fwoscc%2Ffull-record%2FWOS:000362679200012","View Full Record in Web of Science")</f>
        <v>View Full Record in Web of Science</v>
      </c>
    </row>
    <row r="142" spans="1:72" x14ac:dyDescent="0.15">
      <c r="A142" t="s">
        <v>72</v>
      </c>
      <c r="B142" t="s">
        <v>3050</v>
      </c>
      <c r="C142" t="s">
        <v>74</v>
      </c>
      <c r="D142" t="s">
        <v>74</v>
      </c>
      <c r="E142" t="s">
        <v>74</v>
      </c>
      <c r="F142" t="s">
        <v>3051</v>
      </c>
      <c r="G142" t="s">
        <v>74</v>
      </c>
      <c r="H142" t="s">
        <v>74</v>
      </c>
      <c r="I142" t="s">
        <v>3052</v>
      </c>
      <c r="J142" t="s">
        <v>3053</v>
      </c>
      <c r="K142" t="s">
        <v>74</v>
      </c>
      <c r="L142" t="s">
        <v>74</v>
      </c>
      <c r="M142" t="s">
        <v>78</v>
      </c>
      <c r="N142" t="s">
        <v>79</v>
      </c>
      <c r="O142" t="s">
        <v>74</v>
      </c>
      <c r="P142" t="s">
        <v>74</v>
      </c>
      <c r="Q142" t="s">
        <v>74</v>
      </c>
      <c r="R142" t="s">
        <v>74</v>
      </c>
      <c r="S142" t="s">
        <v>74</v>
      </c>
      <c r="T142" t="s">
        <v>3054</v>
      </c>
      <c r="U142" t="s">
        <v>3055</v>
      </c>
      <c r="V142" t="s">
        <v>3056</v>
      </c>
      <c r="W142" t="s">
        <v>3057</v>
      </c>
      <c r="X142" t="s">
        <v>3058</v>
      </c>
      <c r="Y142" t="s">
        <v>3059</v>
      </c>
      <c r="Z142" t="s">
        <v>3060</v>
      </c>
      <c r="AA142" t="s">
        <v>3061</v>
      </c>
      <c r="AB142" t="s">
        <v>74</v>
      </c>
      <c r="AC142" t="s">
        <v>3062</v>
      </c>
      <c r="AD142" t="s">
        <v>3063</v>
      </c>
      <c r="AE142" t="s">
        <v>3064</v>
      </c>
      <c r="AF142" t="s">
        <v>74</v>
      </c>
      <c r="AG142">
        <v>54</v>
      </c>
      <c r="AH142">
        <v>3</v>
      </c>
      <c r="AI142">
        <v>3</v>
      </c>
      <c r="AJ142">
        <v>3</v>
      </c>
      <c r="AK142">
        <v>53</v>
      </c>
      <c r="AL142" t="s">
        <v>236</v>
      </c>
      <c r="AM142" t="s">
        <v>209</v>
      </c>
      <c r="AN142" t="s">
        <v>210</v>
      </c>
      <c r="AO142" t="s">
        <v>3065</v>
      </c>
      <c r="AP142" t="s">
        <v>3066</v>
      </c>
      <c r="AQ142" t="s">
        <v>74</v>
      </c>
      <c r="AR142" t="s">
        <v>3067</v>
      </c>
      <c r="AS142" t="s">
        <v>3068</v>
      </c>
      <c r="AT142" t="s">
        <v>2170</v>
      </c>
      <c r="AU142">
        <v>2015</v>
      </c>
      <c r="AV142">
        <v>96</v>
      </c>
      <c r="AW142">
        <v>4</v>
      </c>
      <c r="AX142" t="s">
        <v>74</v>
      </c>
      <c r="AY142" t="s">
        <v>74</v>
      </c>
      <c r="AZ142" t="s">
        <v>74</v>
      </c>
      <c r="BA142" t="s">
        <v>74</v>
      </c>
      <c r="BB142">
        <v>510</v>
      </c>
      <c r="BC142">
        <v>518</v>
      </c>
      <c r="BD142" t="s">
        <v>74</v>
      </c>
      <c r="BE142" t="s">
        <v>3069</v>
      </c>
      <c r="BF142" t="str">
        <f>HYPERLINK("http://dx.doi.org/10.1111/azo.12097","http://dx.doi.org/10.1111/azo.12097")</f>
        <v>http://dx.doi.org/10.1111/azo.12097</v>
      </c>
      <c r="BG142" t="s">
        <v>74</v>
      </c>
      <c r="BH142" t="s">
        <v>74</v>
      </c>
      <c r="BI142">
        <v>9</v>
      </c>
      <c r="BJ142" t="s">
        <v>3070</v>
      </c>
      <c r="BK142" t="s">
        <v>101</v>
      </c>
      <c r="BL142" t="s">
        <v>3070</v>
      </c>
      <c r="BM142" t="s">
        <v>3071</v>
      </c>
      <c r="BN142" t="s">
        <v>74</v>
      </c>
      <c r="BO142" t="s">
        <v>1235</v>
      </c>
      <c r="BP142" t="s">
        <v>74</v>
      </c>
      <c r="BQ142" t="s">
        <v>74</v>
      </c>
      <c r="BR142" t="s">
        <v>103</v>
      </c>
      <c r="BS142" t="s">
        <v>3072</v>
      </c>
      <c r="BT142" t="str">
        <f>HYPERLINK("https%3A%2F%2Fwww.webofscience.com%2Fwos%2Fwoscc%2Ffull-record%2FWOS:000362514700011","View Full Record in Web of Science")</f>
        <v>View Full Record in Web of Science</v>
      </c>
    </row>
    <row r="143" spans="1:72" x14ac:dyDescent="0.15">
      <c r="A143" t="s">
        <v>72</v>
      </c>
      <c r="B143" t="s">
        <v>3073</v>
      </c>
      <c r="C143" t="s">
        <v>74</v>
      </c>
      <c r="D143" t="s">
        <v>74</v>
      </c>
      <c r="E143" t="s">
        <v>74</v>
      </c>
      <c r="F143" t="s">
        <v>3074</v>
      </c>
      <c r="G143" t="s">
        <v>74</v>
      </c>
      <c r="H143" t="s">
        <v>74</v>
      </c>
      <c r="I143" t="s">
        <v>3075</v>
      </c>
      <c r="J143" t="s">
        <v>3076</v>
      </c>
      <c r="K143" t="s">
        <v>74</v>
      </c>
      <c r="L143" t="s">
        <v>74</v>
      </c>
      <c r="M143" t="s">
        <v>78</v>
      </c>
      <c r="N143" t="s">
        <v>79</v>
      </c>
      <c r="O143" t="s">
        <v>74</v>
      </c>
      <c r="P143" t="s">
        <v>74</v>
      </c>
      <c r="Q143" t="s">
        <v>74</v>
      </c>
      <c r="R143" t="s">
        <v>74</v>
      </c>
      <c r="S143" t="s">
        <v>74</v>
      </c>
      <c r="T143" t="s">
        <v>74</v>
      </c>
      <c r="U143" t="s">
        <v>3077</v>
      </c>
      <c r="V143" t="s">
        <v>3078</v>
      </c>
      <c r="W143" t="s">
        <v>3079</v>
      </c>
      <c r="X143" t="s">
        <v>3080</v>
      </c>
      <c r="Y143" t="s">
        <v>3081</v>
      </c>
      <c r="Z143" t="s">
        <v>3082</v>
      </c>
      <c r="AA143" t="s">
        <v>3083</v>
      </c>
      <c r="AB143" t="s">
        <v>74</v>
      </c>
      <c r="AC143" t="s">
        <v>3084</v>
      </c>
      <c r="AD143" t="s">
        <v>3085</v>
      </c>
      <c r="AE143" t="s">
        <v>3086</v>
      </c>
      <c r="AF143" t="s">
        <v>74</v>
      </c>
      <c r="AG143">
        <v>84</v>
      </c>
      <c r="AH143">
        <v>8</v>
      </c>
      <c r="AI143">
        <v>10</v>
      </c>
      <c r="AJ143">
        <v>1</v>
      </c>
      <c r="AK143">
        <v>52</v>
      </c>
      <c r="AL143" t="s">
        <v>208</v>
      </c>
      <c r="AM143" t="s">
        <v>209</v>
      </c>
      <c r="AN143" t="s">
        <v>210</v>
      </c>
      <c r="AO143" t="s">
        <v>3087</v>
      </c>
      <c r="AP143" t="s">
        <v>3088</v>
      </c>
      <c r="AQ143" t="s">
        <v>74</v>
      </c>
      <c r="AR143" t="s">
        <v>3076</v>
      </c>
      <c r="AS143" t="s">
        <v>3089</v>
      </c>
      <c r="AT143" t="s">
        <v>2170</v>
      </c>
      <c r="AU143">
        <v>2015</v>
      </c>
      <c r="AV143">
        <v>44</v>
      </c>
      <c r="AW143">
        <v>4</v>
      </c>
      <c r="AX143" t="s">
        <v>74</v>
      </c>
      <c r="AY143" t="s">
        <v>74</v>
      </c>
      <c r="AZ143" t="s">
        <v>74</v>
      </c>
      <c r="BA143" t="s">
        <v>74</v>
      </c>
      <c r="BB143">
        <v>693</v>
      </c>
      <c r="BC143">
        <v>705</v>
      </c>
      <c r="BD143" t="s">
        <v>74</v>
      </c>
      <c r="BE143" t="s">
        <v>3090</v>
      </c>
      <c r="BF143" t="str">
        <f>HYPERLINK("http://dx.doi.org/10.1111/bor.12130","http://dx.doi.org/10.1111/bor.12130")</f>
        <v>http://dx.doi.org/10.1111/bor.12130</v>
      </c>
      <c r="BG143" t="s">
        <v>74</v>
      </c>
      <c r="BH143" t="s">
        <v>74</v>
      </c>
      <c r="BI143">
        <v>13</v>
      </c>
      <c r="BJ143" t="s">
        <v>1778</v>
      </c>
      <c r="BK143" t="s">
        <v>101</v>
      </c>
      <c r="BL143" t="s">
        <v>1779</v>
      </c>
      <c r="BM143" t="s">
        <v>3091</v>
      </c>
      <c r="BN143" t="s">
        <v>74</v>
      </c>
      <c r="BO143" t="s">
        <v>74</v>
      </c>
      <c r="BP143" t="s">
        <v>74</v>
      </c>
      <c r="BQ143" t="s">
        <v>74</v>
      </c>
      <c r="BR143" t="s">
        <v>103</v>
      </c>
      <c r="BS143" t="s">
        <v>3092</v>
      </c>
      <c r="BT143" t="str">
        <f>HYPERLINK("https%3A%2F%2Fwww.webofscience.com%2Fwos%2Fwoscc%2Ffull-record%2FWOS:000362769600005","View Full Record in Web of Science")</f>
        <v>View Full Record in Web of Science</v>
      </c>
    </row>
    <row r="144" spans="1:72" x14ac:dyDescent="0.15">
      <c r="A144" t="s">
        <v>72</v>
      </c>
      <c r="B144" t="s">
        <v>3093</v>
      </c>
      <c r="C144" t="s">
        <v>74</v>
      </c>
      <c r="D144" t="s">
        <v>74</v>
      </c>
      <c r="E144" t="s">
        <v>74</v>
      </c>
      <c r="F144" t="s">
        <v>3094</v>
      </c>
      <c r="G144" t="s">
        <v>74</v>
      </c>
      <c r="H144" t="s">
        <v>74</v>
      </c>
      <c r="I144" t="s">
        <v>3095</v>
      </c>
      <c r="J144" t="s">
        <v>3096</v>
      </c>
      <c r="K144" t="s">
        <v>74</v>
      </c>
      <c r="L144" t="s">
        <v>74</v>
      </c>
      <c r="M144" t="s">
        <v>78</v>
      </c>
      <c r="N144" t="s">
        <v>79</v>
      </c>
      <c r="O144" t="s">
        <v>74</v>
      </c>
      <c r="P144" t="s">
        <v>74</v>
      </c>
      <c r="Q144" t="s">
        <v>74</v>
      </c>
      <c r="R144" t="s">
        <v>74</v>
      </c>
      <c r="S144" t="s">
        <v>74</v>
      </c>
      <c r="T144" t="s">
        <v>3097</v>
      </c>
      <c r="U144" t="s">
        <v>3098</v>
      </c>
      <c r="V144" t="s">
        <v>3099</v>
      </c>
      <c r="W144" t="s">
        <v>3100</v>
      </c>
      <c r="X144" t="s">
        <v>3101</v>
      </c>
      <c r="Y144" t="s">
        <v>3102</v>
      </c>
      <c r="Z144" t="s">
        <v>3103</v>
      </c>
      <c r="AA144" t="s">
        <v>74</v>
      </c>
      <c r="AB144" t="s">
        <v>74</v>
      </c>
      <c r="AC144" t="s">
        <v>3104</v>
      </c>
      <c r="AD144" t="s">
        <v>3105</v>
      </c>
      <c r="AE144" t="s">
        <v>3106</v>
      </c>
      <c r="AF144" t="s">
        <v>74</v>
      </c>
      <c r="AG144">
        <v>51</v>
      </c>
      <c r="AH144">
        <v>1</v>
      </c>
      <c r="AI144">
        <v>1</v>
      </c>
      <c r="AJ144">
        <v>0</v>
      </c>
      <c r="AK144">
        <v>16</v>
      </c>
      <c r="AL144" t="s">
        <v>208</v>
      </c>
      <c r="AM144" t="s">
        <v>209</v>
      </c>
      <c r="AN144" t="s">
        <v>210</v>
      </c>
      <c r="AO144" t="s">
        <v>3107</v>
      </c>
      <c r="AP144" t="s">
        <v>3108</v>
      </c>
      <c r="AQ144" t="s">
        <v>74</v>
      </c>
      <c r="AR144" t="s">
        <v>3109</v>
      </c>
      <c r="AS144" t="s">
        <v>3110</v>
      </c>
      <c r="AT144" t="s">
        <v>2170</v>
      </c>
      <c r="AU144">
        <v>2015</v>
      </c>
      <c r="AV144">
        <v>35</v>
      </c>
      <c r="AW144">
        <v>12</v>
      </c>
      <c r="AX144" t="s">
        <v>74</v>
      </c>
      <c r="AY144" t="s">
        <v>74</v>
      </c>
      <c r="AZ144" t="s">
        <v>74</v>
      </c>
      <c r="BA144" t="s">
        <v>74</v>
      </c>
      <c r="BB144">
        <v>3608</v>
      </c>
      <c r="BC144">
        <v>3623</v>
      </c>
      <c r="BD144" t="s">
        <v>74</v>
      </c>
      <c r="BE144" t="s">
        <v>3111</v>
      </c>
      <c r="BF144" t="str">
        <f>HYPERLINK("http://dx.doi.org/10.1002/joc.4235","http://dx.doi.org/10.1002/joc.4235")</f>
        <v>http://dx.doi.org/10.1002/joc.4235</v>
      </c>
      <c r="BG144" t="s">
        <v>74</v>
      </c>
      <c r="BH144" t="s">
        <v>74</v>
      </c>
      <c r="BI144">
        <v>16</v>
      </c>
      <c r="BJ144" t="s">
        <v>271</v>
      </c>
      <c r="BK144" t="s">
        <v>101</v>
      </c>
      <c r="BL144" t="s">
        <v>271</v>
      </c>
      <c r="BM144" t="s">
        <v>3112</v>
      </c>
      <c r="BN144" t="s">
        <v>74</v>
      </c>
      <c r="BO144" t="s">
        <v>74</v>
      </c>
      <c r="BP144" t="s">
        <v>74</v>
      </c>
      <c r="BQ144" t="s">
        <v>74</v>
      </c>
      <c r="BR144" t="s">
        <v>103</v>
      </c>
      <c r="BS144" t="s">
        <v>3113</v>
      </c>
      <c r="BT144" t="str">
        <f>HYPERLINK("https%3A%2F%2Fwww.webofscience.com%2Fwos%2Fwoscc%2Ffull-record%2FWOS:000362731000015","View Full Record in Web of Science")</f>
        <v>View Full Record in Web of Science</v>
      </c>
    </row>
    <row r="145" spans="1:72" x14ac:dyDescent="0.15">
      <c r="A145" t="s">
        <v>72</v>
      </c>
      <c r="B145" t="s">
        <v>3114</v>
      </c>
      <c r="C145" t="s">
        <v>74</v>
      </c>
      <c r="D145" t="s">
        <v>74</v>
      </c>
      <c r="E145" t="s">
        <v>74</v>
      </c>
      <c r="F145" t="s">
        <v>3115</v>
      </c>
      <c r="G145" t="s">
        <v>74</v>
      </c>
      <c r="H145" t="s">
        <v>74</v>
      </c>
      <c r="I145" t="s">
        <v>3116</v>
      </c>
      <c r="J145" t="s">
        <v>250</v>
      </c>
      <c r="K145" t="s">
        <v>74</v>
      </c>
      <c r="L145" t="s">
        <v>74</v>
      </c>
      <c r="M145" t="s">
        <v>78</v>
      </c>
      <c r="N145" t="s">
        <v>79</v>
      </c>
      <c r="O145" t="s">
        <v>74</v>
      </c>
      <c r="P145" t="s">
        <v>74</v>
      </c>
      <c r="Q145" t="s">
        <v>74</v>
      </c>
      <c r="R145" t="s">
        <v>74</v>
      </c>
      <c r="S145" t="s">
        <v>74</v>
      </c>
      <c r="T145" t="s">
        <v>3117</v>
      </c>
      <c r="U145" t="s">
        <v>3118</v>
      </c>
      <c r="V145" t="s">
        <v>3119</v>
      </c>
      <c r="W145" t="s">
        <v>3120</v>
      </c>
      <c r="X145" t="s">
        <v>3121</v>
      </c>
      <c r="Y145" t="s">
        <v>3122</v>
      </c>
      <c r="Z145" t="s">
        <v>3123</v>
      </c>
      <c r="AA145" t="s">
        <v>3124</v>
      </c>
      <c r="AB145" t="s">
        <v>3125</v>
      </c>
      <c r="AC145" t="s">
        <v>3126</v>
      </c>
      <c r="AD145" t="s">
        <v>3127</v>
      </c>
      <c r="AE145" t="s">
        <v>3128</v>
      </c>
      <c r="AF145" t="s">
        <v>74</v>
      </c>
      <c r="AG145">
        <v>26</v>
      </c>
      <c r="AH145">
        <v>8</v>
      </c>
      <c r="AI145">
        <v>10</v>
      </c>
      <c r="AJ145">
        <v>1</v>
      </c>
      <c r="AK145">
        <v>23</v>
      </c>
      <c r="AL145" t="s">
        <v>263</v>
      </c>
      <c r="AM145" t="s">
        <v>264</v>
      </c>
      <c r="AN145" t="s">
        <v>265</v>
      </c>
      <c r="AO145" t="s">
        <v>266</v>
      </c>
      <c r="AP145" t="s">
        <v>267</v>
      </c>
      <c r="AQ145" t="s">
        <v>74</v>
      </c>
      <c r="AR145" t="s">
        <v>268</v>
      </c>
      <c r="AS145" t="s">
        <v>269</v>
      </c>
      <c r="AT145" t="s">
        <v>2170</v>
      </c>
      <c r="AU145">
        <v>2015</v>
      </c>
      <c r="AV145">
        <v>28</v>
      </c>
      <c r="AW145">
        <v>20</v>
      </c>
      <c r="AX145" t="s">
        <v>74</v>
      </c>
      <c r="AY145" t="s">
        <v>74</v>
      </c>
      <c r="AZ145" t="s">
        <v>74</v>
      </c>
      <c r="BA145" t="s">
        <v>74</v>
      </c>
      <c r="BB145">
        <v>7933</v>
      </c>
      <c r="BC145">
        <v>7942</v>
      </c>
      <c r="BD145" t="s">
        <v>74</v>
      </c>
      <c r="BE145" t="s">
        <v>3129</v>
      </c>
      <c r="BF145" t="str">
        <f>HYPERLINK("http://dx.doi.org/10.1175/JCLI-D-15-0027.1","http://dx.doi.org/10.1175/JCLI-D-15-0027.1")</f>
        <v>http://dx.doi.org/10.1175/JCLI-D-15-0027.1</v>
      </c>
      <c r="BG145" t="s">
        <v>74</v>
      </c>
      <c r="BH145" t="s">
        <v>74</v>
      </c>
      <c r="BI145">
        <v>10</v>
      </c>
      <c r="BJ145" t="s">
        <v>271</v>
      </c>
      <c r="BK145" t="s">
        <v>101</v>
      </c>
      <c r="BL145" t="s">
        <v>271</v>
      </c>
      <c r="BM145" t="s">
        <v>3130</v>
      </c>
      <c r="BN145" t="s">
        <v>74</v>
      </c>
      <c r="BO145" t="s">
        <v>1235</v>
      </c>
      <c r="BP145" t="s">
        <v>74</v>
      </c>
      <c r="BQ145" t="s">
        <v>74</v>
      </c>
      <c r="BR145" t="s">
        <v>103</v>
      </c>
      <c r="BS145" t="s">
        <v>3131</v>
      </c>
      <c r="BT145" t="str">
        <f>HYPERLINK("https%3A%2F%2Fwww.webofscience.com%2Fwos%2Fwoscc%2Ffull-record%2FWOS:000362661800002","View Full Record in Web of Science")</f>
        <v>View Full Record in Web of Science</v>
      </c>
    </row>
    <row r="146" spans="1:72" x14ac:dyDescent="0.15">
      <c r="A146" t="s">
        <v>72</v>
      </c>
      <c r="B146" t="s">
        <v>3132</v>
      </c>
      <c r="C146" t="s">
        <v>74</v>
      </c>
      <c r="D146" t="s">
        <v>74</v>
      </c>
      <c r="E146" t="s">
        <v>74</v>
      </c>
      <c r="F146" t="s">
        <v>3133</v>
      </c>
      <c r="G146" t="s">
        <v>74</v>
      </c>
      <c r="H146" t="s">
        <v>74</v>
      </c>
      <c r="I146" t="s">
        <v>3134</v>
      </c>
      <c r="J146" t="s">
        <v>3135</v>
      </c>
      <c r="K146" t="s">
        <v>74</v>
      </c>
      <c r="L146" t="s">
        <v>74</v>
      </c>
      <c r="M146" t="s">
        <v>78</v>
      </c>
      <c r="N146" t="s">
        <v>79</v>
      </c>
      <c r="O146" t="s">
        <v>74</v>
      </c>
      <c r="P146" t="s">
        <v>74</v>
      </c>
      <c r="Q146" t="s">
        <v>74</v>
      </c>
      <c r="R146" t="s">
        <v>74</v>
      </c>
      <c r="S146" t="s">
        <v>74</v>
      </c>
      <c r="T146" t="s">
        <v>74</v>
      </c>
      <c r="U146" t="s">
        <v>3136</v>
      </c>
      <c r="V146" t="s">
        <v>3137</v>
      </c>
      <c r="W146" t="s">
        <v>3138</v>
      </c>
      <c r="X146" t="s">
        <v>3139</v>
      </c>
      <c r="Y146" t="s">
        <v>3140</v>
      </c>
      <c r="Z146" t="s">
        <v>3141</v>
      </c>
      <c r="AA146" t="s">
        <v>3142</v>
      </c>
      <c r="AB146" t="s">
        <v>3143</v>
      </c>
      <c r="AC146" t="s">
        <v>3144</v>
      </c>
      <c r="AD146" t="s">
        <v>3144</v>
      </c>
      <c r="AE146" t="s">
        <v>3145</v>
      </c>
      <c r="AF146" t="s">
        <v>74</v>
      </c>
      <c r="AG146">
        <v>60</v>
      </c>
      <c r="AH146">
        <v>19</v>
      </c>
      <c r="AI146">
        <v>19</v>
      </c>
      <c r="AJ146">
        <v>0</v>
      </c>
      <c r="AK146">
        <v>20</v>
      </c>
      <c r="AL146" t="s">
        <v>3146</v>
      </c>
      <c r="AM146" t="s">
        <v>3147</v>
      </c>
      <c r="AN146" t="s">
        <v>3148</v>
      </c>
      <c r="AO146" t="s">
        <v>3149</v>
      </c>
      <c r="AP146" t="s">
        <v>3150</v>
      </c>
      <c r="AQ146" t="s">
        <v>74</v>
      </c>
      <c r="AR146" t="s">
        <v>3151</v>
      </c>
      <c r="AS146" t="s">
        <v>3152</v>
      </c>
      <c r="AT146" t="s">
        <v>2170</v>
      </c>
      <c r="AU146">
        <v>2015</v>
      </c>
      <c r="AV146">
        <v>162</v>
      </c>
      <c r="AW146">
        <v>10</v>
      </c>
      <c r="AX146" t="s">
        <v>74</v>
      </c>
      <c r="AY146" t="s">
        <v>74</v>
      </c>
      <c r="AZ146" t="s">
        <v>74</v>
      </c>
      <c r="BA146" t="s">
        <v>74</v>
      </c>
      <c r="BB146">
        <v>2131</v>
      </c>
      <c r="BC146">
        <v>2140</v>
      </c>
      <c r="BD146" t="s">
        <v>74</v>
      </c>
      <c r="BE146" t="s">
        <v>3153</v>
      </c>
      <c r="BF146" t="str">
        <f>HYPERLINK("http://dx.doi.org/10.1007/s00227-015-2743-4","http://dx.doi.org/10.1007/s00227-015-2743-4")</f>
        <v>http://dx.doi.org/10.1007/s00227-015-2743-4</v>
      </c>
      <c r="BG146" t="s">
        <v>74</v>
      </c>
      <c r="BH146" t="s">
        <v>74</v>
      </c>
      <c r="BI146">
        <v>10</v>
      </c>
      <c r="BJ146" t="s">
        <v>100</v>
      </c>
      <c r="BK146" t="s">
        <v>101</v>
      </c>
      <c r="BL146" t="s">
        <v>100</v>
      </c>
      <c r="BM146" t="s">
        <v>3154</v>
      </c>
      <c r="BN146" t="s">
        <v>74</v>
      </c>
      <c r="BO146" t="s">
        <v>559</v>
      </c>
      <c r="BP146" t="s">
        <v>74</v>
      </c>
      <c r="BQ146" t="s">
        <v>74</v>
      </c>
      <c r="BR146" t="s">
        <v>103</v>
      </c>
      <c r="BS146" t="s">
        <v>3155</v>
      </c>
      <c r="BT146" t="str">
        <f>HYPERLINK("https%3A%2F%2Fwww.webofscience.com%2Fwos%2Fwoscc%2Ffull-record%2FWOS:000362322200017","View Full Record in Web of Science")</f>
        <v>View Full Record in Web of Science</v>
      </c>
    </row>
    <row r="147" spans="1:72" x14ac:dyDescent="0.15">
      <c r="A147" t="s">
        <v>72</v>
      </c>
      <c r="B147" t="s">
        <v>3156</v>
      </c>
      <c r="C147" t="s">
        <v>74</v>
      </c>
      <c r="D147" t="s">
        <v>74</v>
      </c>
      <c r="E147" t="s">
        <v>74</v>
      </c>
      <c r="F147" t="s">
        <v>3157</v>
      </c>
      <c r="G147" t="s">
        <v>74</v>
      </c>
      <c r="H147" t="s">
        <v>74</v>
      </c>
      <c r="I147" t="s">
        <v>3158</v>
      </c>
      <c r="J147" t="s">
        <v>3159</v>
      </c>
      <c r="K147" t="s">
        <v>74</v>
      </c>
      <c r="L147" t="s">
        <v>74</v>
      </c>
      <c r="M147" t="s">
        <v>78</v>
      </c>
      <c r="N147" t="s">
        <v>79</v>
      </c>
      <c r="O147" t="s">
        <v>74</v>
      </c>
      <c r="P147" t="s">
        <v>74</v>
      </c>
      <c r="Q147" t="s">
        <v>74</v>
      </c>
      <c r="R147" t="s">
        <v>74</v>
      </c>
      <c r="S147" t="s">
        <v>74</v>
      </c>
      <c r="T147" t="s">
        <v>3160</v>
      </c>
      <c r="U147" t="s">
        <v>3161</v>
      </c>
      <c r="V147" t="s">
        <v>3162</v>
      </c>
      <c r="W147" t="s">
        <v>3163</v>
      </c>
      <c r="X147" t="s">
        <v>3164</v>
      </c>
      <c r="Y147" t="s">
        <v>3165</v>
      </c>
      <c r="Z147" t="s">
        <v>3166</v>
      </c>
      <c r="AA147" t="s">
        <v>74</v>
      </c>
      <c r="AB147" t="s">
        <v>74</v>
      </c>
      <c r="AC147" t="s">
        <v>3167</v>
      </c>
      <c r="AD147" t="s">
        <v>3168</v>
      </c>
      <c r="AE147" t="s">
        <v>3169</v>
      </c>
      <c r="AF147" t="s">
        <v>74</v>
      </c>
      <c r="AG147">
        <v>16</v>
      </c>
      <c r="AH147">
        <v>3</v>
      </c>
      <c r="AI147">
        <v>3</v>
      </c>
      <c r="AJ147">
        <v>0</v>
      </c>
      <c r="AK147">
        <v>13</v>
      </c>
      <c r="AL147" t="s">
        <v>883</v>
      </c>
      <c r="AM147" t="s">
        <v>884</v>
      </c>
      <c r="AN147" t="s">
        <v>885</v>
      </c>
      <c r="AO147" t="s">
        <v>3170</v>
      </c>
      <c r="AP147" t="s">
        <v>3171</v>
      </c>
      <c r="AQ147" t="s">
        <v>74</v>
      </c>
      <c r="AR147" t="s">
        <v>3172</v>
      </c>
      <c r="AS147" t="s">
        <v>3173</v>
      </c>
      <c r="AT147" t="s">
        <v>2170</v>
      </c>
      <c r="AU147">
        <v>2015</v>
      </c>
      <c r="AV147">
        <v>23</v>
      </c>
      <c r="AW147" t="s">
        <v>74</v>
      </c>
      <c r="AX147" t="s">
        <v>74</v>
      </c>
      <c r="AY147" t="s">
        <v>74</v>
      </c>
      <c r="AZ147" t="s">
        <v>74</v>
      </c>
      <c r="BA147" t="s">
        <v>74</v>
      </c>
      <c r="BB147">
        <v>23</v>
      </c>
      <c r="BC147">
        <v>25</v>
      </c>
      <c r="BD147" t="s">
        <v>74</v>
      </c>
      <c r="BE147" t="s">
        <v>3174</v>
      </c>
      <c r="BF147" t="str">
        <f>HYPERLINK("http://dx.doi.org/10.1016/j.margen.2015.03.013","http://dx.doi.org/10.1016/j.margen.2015.03.013")</f>
        <v>http://dx.doi.org/10.1016/j.margen.2015.03.013</v>
      </c>
      <c r="BG147" t="s">
        <v>74</v>
      </c>
      <c r="BH147" t="s">
        <v>74</v>
      </c>
      <c r="BI147">
        <v>3</v>
      </c>
      <c r="BJ147" t="s">
        <v>3175</v>
      </c>
      <c r="BK147" t="s">
        <v>101</v>
      </c>
      <c r="BL147" t="s">
        <v>3175</v>
      </c>
      <c r="BM147" t="s">
        <v>3176</v>
      </c>
      <c r="BN147">
        <v>25861733</v>
      </c>
      <c r="BO147" t="s">
        <v>74</v>
      </c>
      <c r="BP147" t="s">
        <v>74</v>
      </c>
      <c r="BQ147" t="s">
        <v>74</v>
      </c>
      <c r="BR147" t="s">
        <v>103</v>
      </c>
      <c r="BS147" t="s">
        <v>3177</v>
      </c>
      <c r="BT147" t="str">
        <f>HYPERLINK("https%3A%2F%2Fwww.webofscience.com%2Fwos%2Fwoscc%2Ffull-record%2FWOS:000362618000004","View Full Record in Web of Science")</f>
        <v>View Full Record in Web of Science</v>
      </c>
    </row>
    <row r="148" spans="1:72" x14ac:dyDescent="0.15">
      <c r="A148" t="s">
        <v>72</v>
      </c>
      <c r="B148" t="s">
        <v>3178</v>
      </c>
      <c r="C148" t="s">
        <v>74</v>
      </c>
      <c r="D148" t="s">
        <v>74</v>
      </c>
      <c r="E148" t="s">
        <v>74</v>
      </c>
      <c r="F148" t="s">
        <v>3179</v>
      </c>
      <c r="G148" t="s">
        <v>74</v>
      </c>
      <c r="H148" t="s">
        <v>74</v>
      </c>
      <c r="I148" t="s">
        <v>3180</v>
      </c>
      <c r="J148" t="s">
        <v>3181</v>
      </c>
      <c r="K148" t="s">
        <v>74</v>
      </c>
      <c r="L148" t="s">
        <v>74</v>
      </c>
      <c r="M148" t="s">
        <v>78</v>
      </c>
      <c r="N148" t="s">
        <v>79</v>
      </c>
      <c r="O148" t="s">
        <v>74</v>
      </c>
      <c r="P148" t="s">
        <v>74</v>
      </c>
      <c r="Q148" t="s">
        <v>74</v>
      </c>
      <c r="R148" t="s">
        <v>74</v>
      </c>
      <c r="S148" t="s">
        <v>74</v>
      </c>
      <c r="T148" t="s">
        <v>74</v>
      </c>
      <c r="U148" t="s">
        <v>3182</v>
      </c>
      <c r="V148" t="s">
        <v>3183</v>
      </c>
      <c r="W148" t="s">
        <v>3184</v>
      </c>
      <c r="X148" t="s">
        <v>3185</v>
      </c>
      <c r="Y148" t="s">
        <v>3186</v>
      </c>
      <c r="Z148" t="s">
        <v>3187</v>
      </c>
      <c r="AA148" t="s">
        <v>3188</v>
      </c>
      <c r="AB148" t="s">
        <v>3189</v>
      </c>
      <c r="AC148" t="s">
        <v>3190</v>
      </c>
      <c r="AD148" t="s">
        <v>3191</v>
      </c>
      <c r="AE148" t="s">
        <v>3192</v>
      </c>
      <c r="AF148" t="s">
        <v>74</v>
      </c>
      <c r="AG148">
        <v>90</v>
      </c>
      <c r="AH148">
        <v>29</v>
      </c>
      <c r="AI148">
        <v>29</v>
      </c>
      <c r="AJ148">
        <v>3</v>
      </c>
      <c r="AK148">
        <v>29</v>
      </c>
      <c r="AL148" t="s">
        <v>208</v>
      </c>
      <c r="AM148" t="s">
        <v>209</v>
      </c>
      <c r="AN148" t="s">
        <v>210</v>
      </c>
      <c r="AO148" t="s">
        <v>3193</v>
      </c>
      <c r="AP148" t="s">
        <v>3194</v>
      </c>
      <c r="AQ148" t="s">
        <v>74</v>
      </c>
      <c r="AR148" t="s">
        <v>3195</v>
      </c>
      <c r="AS148" t="s">
        <v>3196</v>
      </c>
      <c r="AT148" t="s">
        <v>2170</v>
      </c>
      <c r="AU148">
        <v>2015</v>
      </c>
      <c r="AV148">
        <v>50</v>
      </c>
      <c r="AW148">
        <v>10</v>
      </c>
      <c r="AX148" t="s">
        <v>74</v>
      </c>
      <c r="AY148" t="s">
        <v>74</v>
      </c>
      <c r="AZ148" t="s">
        <v>74</v>
      </c>
      <c r="BA148" t="s">
        <v>74</v>
      </c>
      <c r="BB148">
        <v>1733</v>
      </c>
      <c r="BC148">
        <v>1749</v>
      </c>
      <c r="BD148" t="s">
        <v>74</v>
      </c>
      <c r="BE148" t="s">
        <v>3197</v>
      </c>
      <c r="BF148" t="str">
        <f>HYPERLINK("http://dx.doi.org/10.1111/maps.12507","http://dx.doi.org/10.1111/maps.12507")</f>
        <v>http://dx.doi.org/10.1111/maps.12507</v>
      </c>
      <c r="BG148" t="s">
        <v>74</v>
      </c>
      <c r="BH148" t="s">
        <v>74</v>
      </c>
      <c r="BI148">
        <v>17</v>
      </c>
      <c r="BJ148" t="s">
        <v>1707</v>
      </c>
      <c r="BK148" t="s">
        <v>101</v>
      </c>
      <c r="BL148" t="s">
        <v>1707</v>
      </c>
      <c r="BM148" t="s">
        <v>3198</v>
      </c>
      <c r="BN148" t="s">
        <v>74</v>
      </c>
      <c r="BO148" t="s">
        <v>162</v>
      </c>
      <c r="BP148" t="s">
        <v>74</v>
      </c>
      <c r="BQ148" t="s">
        <v>74</v>
      </c>
      <c r="BR148" t="s">
        <v>103</v>
      </c>
      <c r="BS148" t="s">
        <v>3199</v>
      </c>
      <c r="BT148" t="str">
        <f>HYPERLINK("https%3A%2F%2Fwww.webofscience.com%2Fwos%2Fwoscc%2Ffull-record%2FWOS:000362554700006","View Full Record in Web of Science")</f>
        <v>View Full Record in Web of Science</v>
      </c>
    </row>
    <row r="149" spans="1:72" x14ac:dyDescent="0.15">
      <c r="A149" t="s">
        <v>72</v>
      </c>
      <c r="B149" t="s">
        <v>3200</v>
      </c>
      <c r="C149" t="s">
        <v>74</v>
      </c>
      <c r="D149" t="s">
        <v>74</v>
      </c>
      <c r="E149" t="s">
        <v>74</v>
      </c>
      <c r="F149" t="s">
        <v>3201</v>
      </c>
      <c r="G149" t="s">
        <v>74</v>
      </c>
      <c r="H149" t="s">
        <v>74</v>
      </c>
      <c r="I149" t="s">
        <v>3202</v>
      </c>
      <c r="J149" t="s">
        <v>3181</v>
      </c>
      <c r="K149" t="s">
        <v>74</v>
      </c>
      <c r="L149" t="s">
        <v>74</v>
      </c>
      <c r="M149" t="s">
        <v>78</v>
      </c>
      <c r="N149" t="s">
        <v>79</v>
      </c>
      <c r="O149" t="s">
        <v>74</v>
      </c>
      <c r="P149" t="s">
        <v>74</v>
      </c>
      <c r="Q149" t="s">
        <v>74</v>
      </c>
      <c r="R149" t="s">
        <v>74</v>
      </c>
      <c r="S149" t="s">
        <v>74</v>
      </c>
      <c r="T149" t="s">
        <v>74</v>
      </c>
      <c r="U149" t="s">
        <v>3203</v>
      </c>
      <c r="V149" t="s">
        <v>3204</v>
      </c>
      <c r="W149" t="s">
        <v>3205</v>
      </c>
      <c r="X149" t="s">
        <v>3206</v>
      </c>
      <c r="Y149" t="s">
        <v>3207</v>
      </c>
      <c r="Z149" t="s">
        <v>3208</v>
      </c>
      <c r="AA149" t="s">
        <v>3209</v>
      </c>
      <c r="AB149" t="s">
        <v>3210</v>
      </c>
      <c r="AC149" t="s">
        <v>3211</v>
      </c>
      <c r="AD149" t="s">
        <v>3212</v>
      </c>
      <c r="AE149" t="s">
        <v>3213</v>
      </c>
      <c r="AF149" t="s">
        <v>74</v>
      </c>
      <c r="AG149">
        <v>61</v>
      </c>
      <c r="AH149">
        <v>23</v>
      </c>
      <c r="AI149">
        <v>30</v>
      </c>
      <c r="AJ149">
        <v>0</v>
      </c>
      <c r="AK149">
        <v>13</v>
      </c>
      <c r="AL149" t="s">
        <v>208</v>
      </c>
      <c r="AM149" t="s">
        <v>209</v>
      </c>
      <c r="AN149" t="s">
        <v>210</v>
      </c>
      <c r="AO149" t="s">
        <v>3193</v>
      </c>
      <c r="AP149" t="s">
        <v>3194</v>
      </c>
      <c r="AQ149" t="s">
        <v>74</v>
      </c>
      <c r="AR149" t="s">
        <v>3195</v>
      </c>
      <c r="AS149" t="s">
        <v>3196</v>
      </c>
      <c r="AT149" t="s">
        <v>2170</v>
      </c>
      <c r="AU149">
        <v>2015</v>
      </c>
      <c r="AV149">
        <v>50</v>
      </c>
      <c r="AW149">
        <v>10</v>
      </c>
      <c r="AX149" t="s">
        <v>74</v>
      </c>
      <c r="AY149" t="s">
        <v>74</v>
      </c>
      <c r="AZ149" t="s">
        <v>74</v>
      </c>
      <c r="BA149" t="s">
        <v>74</v>
      </c>
      <c r="BB149">
        <v>1750</v>
      </c>
      <c r="BC149">
        <v>1766</v>
      </c>
      <c r="BD149" t="s">
        <v>74</v>
      </c>
      <c r="BE149" t="s">
        <v>3214</v>
      </c>
      <c r="BF149" t="str">
        <f>HYPERLINK("http://dx.doi.org/10.1111/maps.12509","http://dx.doi.org/10.1111/maps.12509")</f>
        <v>http://dx.doi.org/10.1111/maps.12509</v>
      </c>
      <c r="BG149" t="s">
        <v>74</v>
      </c>
      <c r="BH149" t="s">
        <v>74</v>
      </c>
      <c r="BI149">
        <v>17</v>
      </c>
      <c r="BJ149" t="s">
        <v>1707</v>
      </c>
      <c r="BK149" t="s">
        <v>101</v>
      </c>
      <c r="BL149" t="s">
        <v>1707</v>
      </c>
      <c r="BM149" t="s">
        <v>3198</v>
      </c>
      <c r="BN149" t="s">
        <v>74</v>
      </c>
      <c r="BO149" t="s">
        <v>1073</v>
      </c>
      <c r="BP149" t="s">
        <v>74</v>
      </c>
      <c r="BQ149" t="s">
        <v>74</v>
      </c>
      <c r="BR149" t="s">
        <v>103</v>
      </c>
      <c r="BS149" t="s">
        <v>3215</v>
      </c>
      <c r="BT149" t="str">
        <f>HYPERLINK("https%3A%2F%2Fwww.webofscience.com%2Fwos%2Fwoscc%2Ffull-record%2FWOS:000362554700007","View Full Record in Web of Science")</f>
        <v>View Full Record in Web of Science</v>
      </c>
    </row>
    <row r="150" spans="1:72" x14ac:dyDescent="0.15">
      <c r="A150" t="s">
        <v>72</v>
      </c>
      <c r="B150" t="s">
        <v>3216</v>
      </c>
      <c r="C150" t="s">
        <v>74</v>
      </c>
      <c r="D150" t="s">
        <v>74</v>
      </c>
      <c r="E150" t="s">
        <v>74</v>
      </c>
      <c r="F150" t="s">
        <v>3217</v>
      </c>
      <c r="G150" t="s">
        <v>74</v>
      </c>
      <c r="H150" t="s">
        <v>74</v>
      </c>
      <c r="I150" t="s">
        <v>3218</v>
      </c>
      <c r="J150" t="s">
        <v>3219</v>
      </c>
      <c r="K150" t="s">
        <v>74</v>
      </c>
      <c r="L150" t="s">
        <v>74</v>
      </c>
      <c r="M150" t="s">
        <v>78</v>
      </c>
      <c r="N150" t="s">
        <v>79</v>
      </c>
      <c r="O150" t="s">
        <v>74</v>
      </c>
      <c r="P150" t="s">
        <v>74</v>
      </c>
      <c r="Q150" t="s">
        <v>74</v>
      </c>
      <c r="R150" t="s">
        <v>74</v>
      </c>
      <c r="S150" t="s">
        <v>74</v>
      </c>
      <c r="T150" t="s">
        <v>3220</v>
      </c>
      <c r="U150" t="s">
        <v>3221</v>
      </c>
      <c r="V150" t="s">
        <v>3222</v>
      </c>
      <c r="W150" t="s">
        <v>3223</v>
      </c>
      <c r="X150" t="s">
        <v>3224</v>
      </c>
      <c r="Y150" t="s">
        <v>3225</v>
      </c>
      <c r="Z150" t="s">
        <v>3226</v>
      </c>
      <c r="AA150" t="s">
        <v>74</v>
      </c>
      <c r="AB150" t="s">
        <v>3227</v>
      </c>
      <c r="AC150" t="s">
        <v>3228</v>
      </c>
      <c r="AD150" t="s">
        <v>3229</v>
      </c>
      <c r="AE150" t="s">
        <v>3230</v>
      </c>
      <c r="AF150" t="s">
        <v>74</v>
      </c>
      <c r="AG150">
        <v>40</v>
      </c>
      <c r="AH150">
        <v>18</v>
      </c>
      <c r="AI150">
        <v>20</v>
      </c>
      <c r="AJ150">
        <v>1</v>
      </c>
      <c r="AK150">
        <v>47</v>
      </c>
      <c r="AL150" t="s">
        <v>3231</v>
      </c>
      <c r="AM150" t="s">
        <v>3232</v>
      </c>
      <c r="AN150" t="s">
        <v>3233</v>
      </c>
      <c r="AO150" t="s">
        <v>3234</v>
      </c>
      <c r="AP150" t="s">
        <v>3235</v>
      </c>
      <c r="AQ150" t="s">
        <v>74</v>
      </c>
      <c r="AR150" t="s">
        <v>3236</v>
      </c>
      <c r="AS150" t="s">
        <v>3237</v>
      </c>
      <c r="AT150" t="s">
        <v>2170</v>
      </c>
      <c r="AU150">
        <v>2015</v>
      </c>
      <c r="AV150">
        <v>114</v>
      </c>
      <c r="AW150" t="s">
        <v>74</v>
      </c>
      <c r="AX150" t="s">
        <v>74</v>
      </c>
      <c r="AY150" t="s">
        <v>74</v>
      </c>
      <c r="AZ150" t="s">
        <v>74</v>
      </c>
      <c r="BA150" t="s">
        <v>74</v>
      </c>
      <c r="BB150">
        <v>37</v>
      </c>
      <c r="BC150">
        <v>43</v>
      </c>
      <c r="BD150" t="s">
        <v>74</v>
      </c>
      <c r="BE150" t="s">
        <v>3238</v>
      </c>
      <c r="BF150" t="str">
        <f>HYPERLINK("http://dx.doi.org/10.1016/j.pep.2015.06.004","http://dx.doi.org/10.1016/j.pep.2015.06.004")</f>
        <v>http://dx.doi.org/10.1016/j.pep.2015.06.004</v>
      </c>
      <c r="BG150" t="s">
        <v>74</v>
      </c>
      <c r="BH150" t="s">
        <v>74</v>
      </c>
      <c r="BI150">
        <v>7</v>
      </c>
      <c r="BJ150" t="s">
        <v>3239</v>
      </c>
      <c r="BK150" t="s">
        <v>101</v>
      </c>
      <c r="BL150" t="s">
        <v>3240</v>
      </c>
      <c r="BM150" t="s">
        <v>3241</v>
      </c>
      <c r="BN150">
        <v>26073095</v>
      </c>
      <c r="BO150" t="s">
        <v>74</v>
      </c>
      <c r="BP150" t="s">
        <v>74</v>
      </c>
      <c r="BQ150" t="s">
        <v>74</v>
      </c>
      <c r="BR150" t="s">
        <v>103</v>
      </c>
      <c r="BS150" t="s">
        <v>3242</v>
      </c>
      <c r="BT150" t="str">
        <f>HYPERLINK("https%3A%2F%2Fwww.webofscience.com%2Fwos%2Fwoscc%2Ffull-record%2FWOS:000362463500006","View Full Record in Web of Science")</f>
        <v>View Full Record in Web of Science</v>
      </c>
    </row>
    <row r="151" spans="1:72" x14ac:dyDescent="0.15">
      <c r="A151" t="s">
        <v>72</v>
      </c>
      <c r="B151" t="s">
        <v>3243</v>
      </c>
      <c r="C151" t="s">
        <v>74</v>
      </c>
      <c r="D151" t="s">
        <v>74</v>
      </c>
      <c r="E151" t="s">
        <v>74</v>
      </c>
      <c r="F151" t="s">
        <v>3243</v>
      </c>
      <c r="G151" t="s">
        <v>74</v>
      </c>
      <c r="H151" t="s">
        <v>74</v>
      </c>
      <c r="I151" t="s">
        <v>3244</v>
      </c>
      <c r="J151" t="s">
        <v>851</v>
      </c>
      <c r="K151" t="s">
        <v>74</v>
      </c>
      <c r="L151" t="s">
        <v>74</v>
      </c>
      <c r="M151" t="s">
        <v>78</v>
      </c>
      <c r="N151" t="s">
        <v>997</v>
      </c>
      <c r="O151" t="s">
        <v>74</v>
      </c>
      <c r="P151" t="s">
        <v>74</v>
      </c>
      <c r="Q151" t="s">
        <v>74</v>
      </c>
      <c r="R151" t="s">
        <v>74</v>
      </c>
      <c r="S151" t="s">
        <v>74</v>
      </c>
      <c r="T151" t="s">
        <v>74</v>
      </c>
      <c r="U151" t="s">
        <v>74</v>
      </c>
      <c r="V151" t="s">
        <v>74</v>
      </c>
      <c r="W151" t="s">
        <v>74</v>
      </c>
      <c r="X151" t="s">
        <v>74</v>
      </c>
      <c r="Y151" t="s">
        <v>74</v>
      </c>
      <c r="Z151" t="s">
        <v>74</v>
      </c>
      <c r="AA151" t="s">
        <v>74</v>
      </c>
      <c r="AB151" t="s">
        <v>74</v>
      </c>
      <c r="AC151" t="s">
        <v>74</v>
      </c>
      <c r="AD151" t="s">
        <v>74</v>
      </c>
      <c r="AE151" t="s">
        <v>74</v>
      </c>
      <c r="AF151" t="s">
        <v>74</v>
      </c>
      <c r="AG151">
        <v>0</v>
      </c>
      <c r="AH151">
        <v>0</v>
      </c>
      <c r="AI151">
        <v>0</v>
      </c>
      <c r="AJ151">
        <v>0</v>
      </c>
      <c r="AK151">
        <v>2</v>
      </c>
      <c r="AL151" t="s">
        <v>236</v>
      </c>
      <c r="AM151" t="s">
        <v>209</v>
      </c>
      <c r="AN151" t="s">
        <v>210</v>
      </c>
      <c r="AO151" t="s">
        <v>860</v>
      </c>
      <c r="AP151" t="s">
        <v>861</v>
      </c>
      <c r="AQ151" t="s">
        <v>74</v>
      </c>
      <c r="AR151" t="s">
        <v>851</v>
      </c>
      <c r="AS151" t="s">
        <v>862</v>
      </c>
      <c r="AT151" t="s">
        <v>2170</v>
      </c>
      <c r="AU151">
        <v>2015</v>
      </c>
      <c r="AV151">
        <v>70</v>
      </c>
      <c r="AW151">
        <v>10</v>
      </c>
      <c r="AX151" t="s">
        <v>74</v>
      </c>
      <c r="AY151" t="s">
        <v>74</v>
      </c>
      <c r="AZ151" t="s">
        <v>74</v>
      </c>
      <c r="BA151" t="s">
        <v>74</v>
      </c>
      <c r="BB151">
        <v>279</v>
      </c>
      <c r="BC151">
        <v>279</v>
      </c>
      <c r="BD151" t="s">
        <v>74</v>
      </c>
      <c r="BE151" t="s">
        <v>74</v>
      </c>
      <c r="BF151" t="s">
        <v>74</v>
      </c>
      <c r="BG151" t="s">
        <v>74</v>
      </c>
      <c r="BH151" t="s">
        <v>74</v>
      </c>
      <c r="BI151">
        <v>1</v>
      </c>
      <c r="BJ151" t="s">
        <v>271</v>
      </c>
      <c r="BK151" t="s">
        <v>101</v>
      </c>
      <c r="BL151" t="s">
        <v>271</v>
      </c>
      <c r="BM151" t="s">
        <v>3245</v>
      </c>
      <c r="BN151" t="s">
        <v>74</v>
      </c>
      <c r="BO151" t="s">
        <v>74</v>
      </c>
      <c r="BP151" t="s">
        <v>74</v>
      </c>
      <c r="BQ151" t="s">
        <v>74</v>
      </c>
      <c r="BR151" t="s">
        <v>103</v>
      </c>
      <c r="BS151" t="s">
        <v>3246</v>
      </c>
      <c r="BT151" t="str">
        <f>HYPERLINK("https%3A%2F%2Fwww.webofscience.com%2Fwos%2Fwoscc%2Ffull-record%2FWOS:000362526600009","View Full Record in Web of Science")</f>
        <v>View Full Record in Web of Science</v>
      </c>
    </row>
    <row r="152" spans="1:72" x14ac:dyDescent="0.15">
      <c r="A152" t="s">
        <v>72</v>
      </c>
      <c r="B152" t="s">
        <v>3247</v>
      </c>
      <c r="C152" t="s">
        <v>74</v>
      </c>
      <c r="D152" t="s">
        <v>74</v>
      </c>
      <c r="E152" t="s">
        <v>74</v>
      </c>
      <c r="F152" t="s">
        <v>3248</v>
      </c>
      <c r="G152" t="s">
        <v>74</v>
      </c>
      <c r="H152" t="s">
        <v>74</v>
      </c>
      <c r="I152" t="s">
        <v>3249</v>
      </c>
      <c r="J152" t="s">
        <v>3250</v>
      </c>
      <c r="K152" t="s">
        <v>74</v>
      </c>
      <c r="L152" t="s">
        <v>74</v>
      </c>
      <c r="M152" t="s">
        <v>78</v>
      </c>
      <c r="N152" t="s">
        <v>79</v>
      </c>
      <c r="O152" t="s">
        <v>74</v>
      </c>
      <c r="P152" t="s">
        <v>74</v>
      </c>
      <c r="Q152" t="s">
        <v>74</v>
      </c>
      <c r="R152" t="s">
        <v>74</v>
      </c>
      <c r="S152" t="s">
        <v>74</v>
      </c>
      <c r="T152" t="s">
        <v>3251</v>
      </c>
      <c r="U152" t="s">
        <v>3252</v>
      </c>
      <c r="V152" t="s">
        <v>3253</v>
      </c>
      <c r="W152" t="s">
        <v>3254</v>
      </c>
      <c r="X152" t="s">
        <v>3255</v>
      </c>
      <c r="Y152" t="s">
        <v>3256</v>
      </c>
      <c r="Z152" t="s">
        <v>3257</v>
      </c>
      <c r="AA152" t="s">
        <v>3258</v>
      </c>
      <c r="AB152" t="s">
        <v>3259</v>
      </c>
      <c r="AC152" t="s">
        <v>3260</v>
      </c>
      <c r="AD152" t="s">
        <v>3260</v>
      </c>
      <c r="AE152" t="s">
        <v>3261</v>
      </c>
      <c r="AF152" t="s">
        <v>74</v>
      </c>
      <c r="AG152">
        <v>86</v>
      </c>
      <c r="AH152">
        <v>35</v>
      </c>
      <c r="AI152">
        <v>36</v>
      </c>
      <c r="AJ152">
        <v>2</v>
      </c>
      <c r="AK152">
        <v>68</v>
      </c>
      <c r="AL152" t="s">
        <v>496</v>
      </c>
      <c r="AM152" t="s">
        <v>398</v>
      </c>
      <c r="AN152" t="s">
        <v>497</v>
      </c>
      <c r="AO152" t="s">
        <v>3262</v>
      </c>
      <c r="AP152" t="s">
        <v>3263</v>
      </c>
      <c r="AQ152" t="s">
        <v>74</v>
      </c>
      <c r="AR152" t="s">
        <v>3264</v>
      </c>
      <c r="AS152" t="s">
        <v>3265</v>
      </c>
      <c r="AT152" t="s">
        <v>2170</v>
      </c>
      <c r="AU152">
        <v>2015</v>
      </c>
      <c r="AV152">
        <v>205</v>
      </c>
      <c r="AW152" t="s">
        <v>74</v>
      </c>
      <c r="AX152" t="s">
        <v>74</v>
      </c>
      <c r="AY152" t="s">
        <v>74</v>
      </c>
      <c r="AZ152" t="s">
        <v>74</v>
      </c>
      <c r="BA152" t="s">
        <v>74</v>
      </c>
      <c r="BB152">
        <v>365</v>
      </c>
      <c r="BC152">
        <v>377</v>
      </c>
      <c r="BD152" t="s">
        <v>74</v>
      </c>
      <c r="BE152" t="s">
        <v>3266</v>
      </c>
      <c r="BF152" t="str">
        <f>HYPERLINK("http://dx.doi.org/10.1016/j.envpol.2015.06.022","http://dx.doi.org/10.1016/j.envpol.2015.06.022")</f>
        <v>http://dx.doi.org/10.1016/j.envpol.2015.06.022</v>
      </c>
      <c r="BG152" t="s">
        <v>74</v>
      </c>
      <c r="BH152" t="s">
        <v>74</v>
      </c>
      <c r="BI152">
        <v>13</v>
      </c>
      <c r="BJ152" t="s">
        <v>3267</v>
      </c>
      <c r="BK152" t="s">
        <v>101</v>
      </c>
      <c r="BL152" t="s">
        <v>644</v>
      </c>
      <c r="BM152" t="s">
        <v>3268</v>
      </c>
      <c r="BN152">
        <v>26160534</v>
      </c>
      <c r="BO152" t="s">
        <v>74</v>
      </c>
      <c r="BP152" t="s">
        <v>74</v>
      </c>
      <c r="BQ152" t="s">
        <v>74</v>
      </c>
      <c r="BR152" t="s">
        <v>103</v>
      </c>
      <c r="BS152" t="s">
        <v>3269</v>
      </c>
      <c r="BT152" t="str">
        <f>HYPERLINK("https%3A%2F%2Fwww.webofscience.com%2Fwos%2Fwoscc%2Ffull-record%2FWOS:000362308100042","View Full Record in Web of Science")</f>
        <v>View Full Record in Web of Science</v>
      </c>
    </row>
    <row r="153" spans="1:72" x14ac:dyDescent="0.15">
      <c r="A153" t="s">
        <v>72</v>
      </c>
      <c r="B153" t="s">
        <v>3270</v>
      </c>
      <c r="C153" t="s">
        <v>74</v>
      </c>
      <c r="D153" t="s">
        <v>74</v>
      </c>
      <c r="E153" t="s">
        <v>74</v>
      </c>
      <c r="F153" t="s">
        <v>3271</v>
      </c>
      <c r="G153" t="s">
        <v>74</v>
      </c>
      <c r="H153" t="s">
        <v>74</v>
      </c>
      <c r="I153" t="s">
        <v>3272</v>
      </c>
      <c r="J153" t="s">
        <v>3273</v>
      </c>
      <c r="K153" t="s">
        <v>74</v>
      </c>
      <c r="L153" t="s">
        <v>74</v>
      </c>
      <c r="M153" t="s">
        <v>78</v>
      </c>
      <c r="N153" t="s">
        <v>79</v>
      </c>
      <c r="O153" t="s">
        <v>74</v>
      </c>
      <c r="P153" t="s">
        <v>74</v>
      </c>
      <c r="Q153" t="s">
        <v>74</v>
      </c>
      <c r="R153" t="s">
        <v>74</v>
      </c>
      <c r="S153" t="s">
        <v>74</v>
      </c>
      <c r="T153" t="s">
        <v>3274</v>
      </c>
      <c r="U153" t="s">
        <v>3275</v>
      </c>
      <c r="V153" t="s">
        <v>3276</v>
      </c>
      <c r="W153" t="s">
        <v>3277</v>
      </c>
      <c r="X153" t="s">
        <v>3278</v>
      </c>
      <c r="Y153" t="s">
        <v>3279</v>
      </c>
      <c r="Z153" t="s">
        <v>3280</v>
      </c>
      <c r="AA153" t="s">
        <v>3281</v>
      </c>
      <c r="AB153" t="s">
        <v>3282</v>
      </c>
      <c r="AC153" t="s">
        <v>3283</v>
      </c>
      <c r="AD153" t="s">
        <v>3284</v>
      </c>
      <c r="AE153" t="s">
        <v>3285</v>
      </c>
      <c r="AF153" t="s">
        <v>74</v>
      </c>
      <c r="AG153">
        <v>97</v>
      </c>
      <c r="AH153">
        <v>24</v>
      </c>
      <c r="AI153">
        <v>28</v>
      </c>
      <c r="AJ153">
        <v>0</v>
      </c>
      <c r="AK153">
        <v>74</v>
      </c>
      <c r="AL153" t="s">
        <v>208</v>
      </c>
      <c r="AM153" t="s">
        <v>209</v>
      </c>
      <c r="AN153" t="s">
        <v>210</v>
      </c>
      <c r="AO153" t="s">
        <v>3286</v>
      </c>
      <c r="AP153" t="s">
        <v>3287</v>
      </c>
      <c r="AQ153" t="s">
        <v>74</v>
      </c>
      <c r="AR153" t="s">
        <v>3288</v>
      </c>
      <c r="AS153" t="s">
        <v>3289</v>
      </c>
      <c r="AT153" t="s">
        <v>2170</v>
      </c>
      <c r="AU153">
        <v>2015</v>
      </c>
      <c r="AV153">
        <v>29</v>
      </c>
      <c r="AW153">
        <v>10</v>
      </c>
      <c r="AX153" t="s">
        <v>74</v>
      </c>
      <c r="AY153" t="s">
        <v>74</v>
      </c>
      <c r="AZ153" t="s">
        <v>74</v>
      </c>
      <c r="BA153" t="s">
        <v>74</v>
      </c>
      <c r="BB153">
        <v>1278</v>
      </c>
      <c r="BC153">
        <v>1291</v>
      </c>
      <c r="BD153" t="s">
        <v>74</v>
      </c>
      <c r="BE153" t="s">
        <v>3290</v>
      </c>
      <c r="BF153" t="str">
        <f>HYPERLINK("http://dx.doi.org/10.1111/1365-2435.12434","http://dx.doi.org/10.1111/1365-2435.12434")</f>
        <v>http://dx.doi.org/10.1111/1365-2435.12434</v>
      </c>
      <c r="BG153" t="s">
        <v>74</v>
      </c>
      <c r="BH153" t="s">
        <v>74</v>
      </c>
      <c r="BI153">
        <v>14</v>
      </c>
      <c r="BJ153" t="s">
        <v>643</v>
      </c>
      <c r="BK153" t="s">
        <v>101</v>
      </c>
      <c r="BL153" t="s">
        <v>644</v>
      </c>
      <c r="BM153" t="s">
        <v>3291</v>
      </c>
      <c r="BN153" t="s">
        <v>74</v>
      </c>
      <c r="BO153" t="s">
        <v>162</v>
      </c>
      <c r="BP153" t="s">
        <v>74</v>
      </c>
      <c r="BQ153" t="s">
        <v>74</v>
      </c>
      <c r="BR153" t="s">
        <v>103</v>
      </c>
      <c r="BS153" t="s">
        <v>3292</v>
      </c>
      <c r="BT153" t="str">
        <f>HYPERLINK("https%3A%2F%2Fwww.webofscience.com%2Fwos%2Fwoscc%2Ffull-record%2FWOS:000362395400005","View Full Record in Web of Science")</f>
        <v>View Full Record in Web of Science</v>
      </c>
    </row>
    <row r="154" spans="1:72" x14ac:dyDescent="0.15">
      <c r="A154" t="s">
        <v>72</v>
      </c>
      <c r="B154" t="s">
        <v>3293</v>
      </c>
      <c r="C154" t="s">
        <v>74</v>
      </c>
      <c r="D154" t="s">
        <v>74</v>
      </c>
      <c r="E154" t="s">
        <v>74</v>
      </c>
      <c r="F154" t="s">
        <v>3294</v>
      </c>
      <c r="G154" t="s">
        <v>74</v>
      </c>
      <c r="H154" t="s">
        <v>74</v>
      </c>
      <c r="I154" t="s">
        <v>3295</v>
      </c>
      <c r="J154" t="s">
        <v>603</v>
      </c>
      <c r="K154" t="s">
        <v>74</v>
      </c>
      <c r="L154" t="s">
        <v>74</v>
      </c>
      <c r="M154" t="s">
        <v>78</v>
      </c>
      <c r="N154" t="s">
        <v>79</v>
      </c>
      <c r="O154" t="s">
        <v>74</v>
      </c>
      <c r="P154" t="s">
        <v>74</v>
      </c>
      <c r="Q154" t="s">
        <v>74</v>
      </c>
      <c r="R154" t="s">
        <v>74</v>
      </c>
      <c r="S154" t="s">
        <v>74</v>
      </c>
      <c r="T154" t="s">
        <v>3296</v>
      </c>
      <c r="U154" t="s">
        <v>3297</v>
      </c>
      <c r="V154" t="s">
        <v>3298</v>
      </c>
      <c r="W154" t="s">
        <v>3299</v>
      </c>
      <c r="X154" t="s">
        <v>3300</v>
      </c>
      <c r="Y154" t="s">
        <v>3301</v>
      </c>
      <c r="Z154" t="s">
        <v>3302</v>
      </c>
      <c r="AA154" t="s">
        <v>3303</v>
      </c>
      <c r="AB154" t="s">
        <v>3304</v>
      </c>
      <c r="AC154" t="s">
        <v>3305</v>
      </c>
      <c r="AD154" t="s">
        <v>3306</v>
      </c>
      <c r="AE154" t="s">
        <v>3307</v>
      </c>
      <c r="AF154" t="s">
        <v>74</v>
      </c>
      <c r="AG154">
        <v>64</v>
      </c>
      <c r="AH154">
        <v>22</v>
      </c>
      <c r="AI154">
        <v>26</v>
      </c>
      <c r="AJ154">
        <v>0</v>
      </c>
      <c r="AK154">
        <v>14</v>
      </c>
      <c r="AL154" t="s">
        <v>496</v>
      </c>
      <c r="AM154" t="s">
        <v>398</v>
      </c>
      <c r="AN154" t="s">
        <v>497</v>
      </c>
      <c r="AO154" t="s">
        <v>616</v>
      </c>
      <c r="AP154" t="s">
        <v>617</v>
      </c>
      <c r="AQ154" t="s">
        <v>74</v>
      </c>
      <c r="AR154" t="s">
        <v>618</v>
      </c>
      <c r="AS154" t="s">
        <v>619</v>
      </c>
      <c r="AT154" t="s">
        <v>2170</v>
      </c>
      <c r="AU154">
        <v>2015</v>
      </c>
      <c r="AV154">
        <v>94</v>
      </c>
      <c r="AW154" t="s">
        <v>74</v>
      </c>
      <c r="AX154" t="s">
        <v>74</v>
      </c>
      <c r="AY154" t="s">
        <v>74</v>
      </c>
      <c r="AZ154" t="s">
        <v>74</v>
      </c>
      <c r="BA154" t="s">
        <v>74</v>
      </c>
      <c r="BB154">
        <v>95</v>
      </c>
      <c r="BC154">
        <v>111</v>
      </c>
      <c r="BD154" t="s">
        <v>74</v>
      </c>
      <c r="BE154" t="s">
        <v>3308</v>
      </c>
      <c r="BF154" t="str">
        <f>HYPERLINK("http://dx.doi.org/10.1016/j.ocemod.2015.07.019","http://dx.doi.org/10.1016/j.ocemod.2015.07.019")</f>
        <v>http://dx.doi.org/10.1016/j.ocemod.2015.07.019</v>
      </c>
      <c r="BG154" t="s">
        <v>74</v>
      </c>
      <c r="BH154" t="s">
        <v>74</v>
      </c>
      <c r="BI154">
        <v>17</v>
      </c>
      <c r="BJ154" t="s">
        <v>621</v>
      </c>
      <c r="BK154" t="s">
        <v>101</v>
      </c>
      <c r="BL154" t="s">
        <v>621</v>
      </c>
      <c r="BM154" t="s">
        <v>3309</v>
      </c>
      <c r="BN154" t="s">
        <v>74</v>
      </c>
      <c r="BO154" t="s">
        <v>74</v>
      </c>
      <c r="BP154" t="s">
        <v>74</v>
      </c>
      <c r="BQ154" t="s">
        <v>74</v>
      </c>
      <c r="BR154" t="s">
        <v>103</v>
      </c>
      <c r="BS154" t="s">
        <v>3310</v>
      </c>
      <c r="BT154" t="str">
        <f>HYPERLINK("https%3A%2F%2Fwww.webofscience.com%2Fwos%2Fwoscc%2Ffull-record%2FWOS:000362016400007","View Full Record in Web of Science")</f>
        <v>View Full Record in Web of Science</v>
      </c>
    </row>
    <row r="155" spans="1:72" x14ac:dyDescent="0.15">
      <c r="A155" t="s">
        <v>72</v>
      </c>
      <c r="B155" t="s">
        <v>3311</v>
      </c>
      <c r="C155" t="s">
        <v>74</v>
      </c>
      <c r="D155" t="s">
        <v>74</v>
      </c>
      <c r="E155" t="s">
        <v>74</v>
      </c>
      <c r="F155" t="s">
        <v>3312</v>
      </c>
      <c r="G155" t="s">
        <v>74</v>
      </c>
      <c r="H155" t="s">
        <v>74</v>
      </c>
      <c r="I155" t="s">
        <v>3313</v>
      </c>
      <c r="J155" t="s">
        <v>1761</v>
      </c>
      <c r="K155" t="s">
        <v>74</v>
      </c>
      <c r="L155" t="s">
        <v>74</v>
      </c>
      <c r="M155" t="s">
        <v>78</v>
      </c>
      <c r="N155" t="s">
        <v>79</v>
      </c>
      <c r="O155" t="s">
        <v>74</v>
      </c>
      <c r="P155" t="s">
        <v>74</v>
      </c>
      <c r="Q155" t="s">
        <v>74</v>
      </c>
      <c r="R155" t="s">
        <v>74</v>
      </c>
      <c r="S155" t="s">
        <v>74</v>
      </c>
      <c r="T155" t="s">
        <v>3314</v>
      </c>
      <c r="U155" t="s">
        <v>3315</v>
      </c>
      <c r="V155" t="s">
        <v>3316</v>
      </c>
      <c r="W155" t="s">
        <v>3317</v>
      </c>
      <c r="X155" t="s">
        <v>3318</v>
      </c>
      <c r="Y155" t="s">
        <v>3319</v>
      </c>
      <c r="Z155" t="s">
        <v>3320</v>
      </c>
      <c r="AA155" t="s">
        <v>74</v>
      </c>
      <c r="AB155" t="s">
        <v>3321</v>
      </c>
      <c r="AC155" t="s">
        <v>3322</v>
      </c>
      <c r="AD155" t="s">
        <v>3323</v>
      </c>
      <c r="AE155" t="s">
        <v>3324</v>
      </c>
      <c r="AF155" t="s">
        <v>74</v>
      </c>
      <c r="AG155">
        <v>98</v>
      </c>
      <c r="AH155">
        <v>11</v>
      </c>
      <c r="AI155">
        <v>11</v>
      </c>
      <c r="AJ155">
        <v>0</v>
      </c>
      <c r="AK155">
        <v>19</v>
      </c>
      <c r="AL155" t="s">
        <v>397</v>
      </c>
      <c r="AM155" t="s">
        <v>398</v>
      </c>
      <c r="AN155" t="s">
        <v>399</v>
      </c>
      <c r="AO155" t="s">
        <v>1774</v>
      </c>
      <c r="AP155" t="s">
        <v>74</v>
      </c>
      <c r="AQ155" t="s">
        <v>74</v>
      </c>
      <c r="AR155" t="s">
        <v>1775</v>
      </c>
      <c r="AS155" t="s">
        <v>1776</v>
      </c>
      <c r="AT155" t="s">
        <v>2847</v>
      </c>
      <c r="AU155">
        <v>2015</v>
      </c>
      <c r="AV155">
        <v>125</v>
      </c>
      <c r="AW155" t="s">
        <v>74</v>
      </c>
      <c r="AX155" t="s">
        <v>74</v>
      </c>
      <c r="AY155" t="s">
        <v>74</v>
      </c>
      <c r="AZ155" t="s">
        <v>74</v>
      </c>
      <c r="BA155" t="s">
        <v>74</v>
      </c>
      <c r="BB155">
        <v>160</v>
      </c>
      <c r="BC155">
        <v>171</v>
      </c>
      <c r="BD155" t="s">
        <v>74</v>
      </c>
      <c r="BE155" t="s">
        <v>3325</v>
      </c>
      <c r="BF155" t="str">
        <f>HYPERLINK("http://dx.doi.org/10.1016/j.quascirev.2015.08.004","http://dx.doi.org/10.1016/j.quascirev.2015.08.004")</f>
        <v>http://dx.doi.org/10.1016/j.quascirev.2015.08.004</v>
      </c>
      <c r="BG155" t="s">
        <v>74</v>
      </c>
      <c r="BH155" t="s">
        <v>74</v>
      </c>
      <c r="BI155">
        <v>12</v>
      </c>
      <c r="BJ155" t="s">
        <v>1778</v>
      </c>
      <c r="BK155" t="s">
        <v>101</v>
      </c>
      <c r="BL155" t="s">
        <v>1779</v>
      </c>
      <c r="BM155" t="s">
        <v>3326</v>
      </c>
      <c r="BN155" t="s">
        <v>74</v>
      </c>
      <c r="BO155" t="s">
        <v>74</v>
      </c>
      <c r="BP155" t="s">
        <v>74</v>
      </c>
      <c r="BQ155" t="s">
        <v>74</v>
      </c>
      <c r="BR155" t="s">
        <v>103</v>
      </c>
      <c r="BS155" t="s">
        <v>3327</v>
      </c>
      <c r="BT155" t="str">
        <f>HYPERLINK("https%3A%2F%2Fwww.webofscience.com%2Fwos%2Fwoscc%2Ffull-record%2FWOS:000362049400012","View Full Record in Web of Science")</f>
        <v>View Full Record in Web of Science</v>
      </c>
    </row>
    <row r="156" spans="1:72" x14ac:dyDescent="0.15">
      <c r="A156" t="s">
        <v>72</v>
      </c>
      <c r="B156" t="s">
        <v>3328</v>
      </c>
      <c r="C156" t="s">
        <v>74</v>
      </c>
      <c r="D156" t="s">
        <v>74</v>
      </c>
      <c r="E156" t="s">
        <v>74</v>
      </c>
      <c r="F156" t="s">
        <v>3329</v>
      </c>
      <c r="G156" t="s">
        <v>74</v>
      </c>
      <c r="H156" t="s">
        <v>74</v>
      </c>
      <c r="I156" t="s">
        <v>3330</v>
      </c>
      <c r="J156" t="s">
        <v>3331</v>
      </c>
      <c r="K156" t="s">
        <v>74</v>
      </c>
      <c r="L156" t="s">
        <v>74</v>
      </c>
      <c r="M156" t="s">
        <v>78</v>
      </c>
      <c r="N156" t="s">
        <v>79</v>
      </c>
      <c r="O156" t="s">
        <v>74</v>
      </c>
      <c r="P156" t="s">
        <v>74</v>
      </c>
      <c r="Q156" t="s">
        <v>74</v>
      </c>
      <c r="R156" t="s">
        <v>74</v>
      </c>
      <c r="S156" t="s">
        <v>74</v>
      </c>
      <c r="T156" t="s">
        <v>3332</v>
      </c>
      <c r="U156" t="s">
        <v>3333</v>
      </c>
      <c r="V156" t="s">
        <v>3334</v>
      </c>
      <c r="W156" t="s">
        <v>3335</v>
      </c>
      <c r="X156" t="s">
        <v>3336</v>
      </c>
      <c r="Y156" t="s">
        <v>3337</v>
      </c>
      <c r="Z156" t="s">
        <v>3338</v>
      </c>
      <c r="AA156" t="s">
        <v>74</v>
      </c>
      <c r="AB156" t="s">
        <v>74</v>
      </c>
      <c r="AC156" t="s">
        <v>3339</v>
      </c>
      <c r="AD156" t="s">
        <v>3340</v>
      </c>
      <c r="AE156" t="s">
        <v>3341</v>
      </c>
      <c r="AF156" t="s">
        <v>74</v>
      </c>
      <c r="AG156">
        <v>44</v>
      </c>
      <c r="AH156">
        <v>3</v>
      </c>
      <c r="AI156">
        <v>7</v>
      </c>
      <c r="AJ156">
        <v>1</v>
      </c>
      <c r="AK156">
        <v>21</v>
      </c>
      <c r="AL156" t="s">
        <v>2434</v>
      </c>
      <c r="AM156" t="s">
        <v>2435</v>
      </c>
      <c r="AN156" t="s">
        <v>2436</v>
      </c>
      <c r="AO156" t="s">
        <v>3342</v>
      </c>
      <c r="AP156" t="s">
        <v>3343</v>
      </c>
      <c r="AQ156" t="s">
        <v>74</v>
      </c>
      <c r="AR156" t="s">
        <v>3344</v>
      </c>
      <c r="AS156" t="s">
        <v>3345</v>
      </c>
      <c r="AT156" t="s">
        <v>2170</v>
      </c>
      <c r="AU156">
        <v>2015</v>
      </c>
      <c r="AV156">
        <v>58</v>
      </c>
      <c r="AW156">
        <v>10</v>
      </c>
      <c r="AX156" t="s">
        <v>74</v>
      </c>
      <c r="AY156" t="s">
        <v>74</v>
      </c>
      <c r="AZ156" t="s">
        <v>74</v>
      </c>
      <c r="BA156" t="s">
        <v>74</v>
      </c>
      <c r="BB156">
        <v>1748</v>
      </c>
      <c r="BC156">
        <v>1757</v>
      </c>
      <c r="BD156" t="s">
        <v>74</v>
      </c>
      <c r="BE156" t="s">
        <v>3346</v>
      </c>
      <c r="BF156" t="str">
        <f>HYPERLINK("http://dx.doi.org/10.1007/s11430-015-5105-7","http://dx.doi.org/10.1007/s11430-015-5105-7")</f>
        <v>http://dx.doi.org/10.1007/s11430-015-5105-7</v>
      </c>
      <c r="BG156" t="s">
        <v>74</v>
      </c>
      <c r="BH156" t="s">
        <v>74</v>
      </c>
      <c r="BI156">
        <v>10</v>
      </c>
      <c r="BJ156" t="s">
        <v>314</v>
      </c>
      <c r="BK156" t="s">
        <v>101</v>
      </c>
      <c r="BL156" t="s">
        <v>315</v>
      </c>
      <c r="BM156" t="s">
        <v>3347</v>
      </c>
      <c r="BN156" t="s">
        <v>74</v>
      </c>
      <c r="BO156" t="s">
        <v>74</v>
      </c>
      <c r="BP156" t="s">
        <v>74</v>
      </c>
      <c r="BQ156" t="s">
        <v>74</v>
      </c>
      <c r="BR156" t="s">
        <v>103</v>
      </c>
      <c r="BS156" t="s">
        <v>3348</v>
      </c>
      <c r="BT156" t="str">
        <f>HYPERLINK("https%3A%2F%2Fwww.webofscience.com%2Fwos%2Fwoscc%2Ffull-record%2FWOS:000362336700007","View Full Record in Web of Science")</f>
        <v>View Full Record in Web of Science</v>
      </c>
    </row>
    <row r="157" spans="1:72" x14ac:dyDescent="0.15">
      <c r="A157" t="s">
        <v>72</v>
      </c>
      <c r="B157" t="s">
        <v>3349</v>
      </c>
      <c r="C157" t="s">
        <v>74</v>
      </c>
      <c r="D157" t="s">
        <v>74</v>
      </c>
      <c r="E157" t="s">
        <v>74</v>
      </c>
      <c r="F157" t="s">
        <v>3350</v>
      </c>
      <c r="G157" t="s">
        <v>74</v>
      </c>
      <c r="H157" t="s">
        <v>74</v>
      </c>
      <c r="I157" t="s">
        <v>3351</v>
      </c>
      <c r="J157" t="s">
        <v>3331</v>
      </c>
      <c r="K157" t="s">
        <v>74</v>
      </c>
      <c r="L157" t="s">
        <v>74</v>
      </c>
      <c r="M157" t="s">
        <v>78</v>
      </c>
      <c r="N157" t="s">
        <v>79</v>
      </c>
      <c r="O157" t="s">
        <v>74</v>
      </c>
      <c r="P157" t="s">
        <v>74</v>
      </c>
      <c r="Q157" t="s">
        <v>74</v>
      </c>
      <c r="R157" t="s">
        <v>74</v>
      </c>
      <c r="S157" t="s">
        <v>74</v>
      </c>
      <c r="T157" t="s">
        <v>3352</v>
      </c>
      <c r="U157" t="s">
        <v>3353</v>
      </c>
      <c r="V157" t="s">
        <v>3354</v>
      </c>
      <c r="W157" t="s">
        <v>3355</v>
      </c>
      <c r="X157" t="s">
        <v>3356</v>
      </c>
      <c r="Y157" t="s">
        <v>3357</v>
      </c>
      <c r="Z157" t="s">
        <v>3358</v>
      </c>
      <c r="AA157" t="s">
        <v>3359</v>
      </c>
      <c r="AB157" t="s">
        <v>3360</v>
      </c>
      <c r="AC157" t="s">
        <v>3361</v>
      </c>
      <c r="AD157" t="s">
        <v>3362</v>
      </c>
      <c r="AE157" t="s">
        <v>3363</v>
      </c>
      <c r="AF157" t="s">
        <v>74</v>
      </c>
      <c r="AG157">
        <v>57</v>
      </c>
      <c r="AH157">
        <v>19</v>
      </c>
      <c r="AI157">
        <v>24</v>
      </c>
      <c r="AJ157">
        <v>2</v>
      </c>
      <c r="AK157">
        <v>37</v>
      </c>
      <c r="AL157" t="s">
        <v>2434</v>
      </c>
      <c r="AM157" t="s">
        <v>2435</v>
      </c>
      <c r="AN157" t="s">
        <v>2436</v>
      </c>
      <c r="AO157" t="s">
        <v>3342</v>
      </c>
      <c r="AP157" t="s">
        <v>3343</v>
      </c>
      <c r="AQ157" t="s">
        <v>74</v>
      </c>
      <c r="AR157" t="s">
        <v>3344</v>
      </c>
      <c r="AS157" t="s">
        <v>3345</v>
      </c>
      <c r="AT157" t="s">
        <v>2170</v>
      </c>
      <c r="AU157">
        <v>2015</v>
      </c>
      <c r="AV157">
        <v>58</v>
      </c>
      <c r="AW157">
        <v>10</v>
      </c>
      <c r="AX157" t="s">
        <v>74</v>
      </c>
      <c r="AY157" t="s">
        <v>74</v>
      </c>
      <c r="AZ157" t="s">
        <v>74</v>
      </c>
      <c r="BA157" t="s">
        <v>74</v>
      </c>
      <c r="BB157">
        <v>1787</v>
      </c>
      <c r="BC157">
        <v>1797</v>
      </c>
      <c r="BD157" t="s">
        <v>74</v>
      </c>
      <c r="BE157" t="s">
        <v>3364</v>
      </c>
      <c r="BF157" t="str">
        <f>HYPERLINK("http://dx.doi.org/10.1007/s11430-015-5083-9","http://dx.doi.org/10.1007/s11430-015-5083-9")</f>
        <v>http://dx.doi.org/10.1007/s11430-015-5083-9</v>
      </c>
      <c r="BG157" t="s">
        <v>74</v>
      </c>
      <c r="BH157" t="s">
        <v>74</v>
      </c>
      <c r="BI157">
        <v>11</v>
      </c>
      <c r="BJ157" t="s">
        <v>314</v>
      </c>
      <c r="BK157" t="s">
        <v>101</v>
      </c>
      <c r="BL157" t="s">
        <v>315</v>
      </c>
      <c r="BM157" t="s">
        <v>3347</v>
      </c>
      <c r="BN157" t="s">
        <v>74</v>
      </c>
      <c r="BO157" t="s">
        <v>74</v>
      </c>
      <c r="BP157" t="s">
        <v>74</v>
      </c>
      <c r="BQ157" t="s">
        <v>74</v>
      </c>
      <c r="BR157" t="s">
        <v>103</v>
      </c>
      <c r="BS157" t="s">
        <v>3365</v>
      </c>
      <c r="BT157" t="str">
        <f>HYPERLINK("https%3A%2F%2Fwww.webofscience.com%2Fwos%2Fwoscc%2Ffull-record%2FWOS:000362336700011","View Full Record in Web of Science")</f>
        <v>View Full Record in Web of Science</v>
      </c>
    </row>
    <row r="158" spans="1:72" x14ac:dyDescent="0.15">
      <c r="A158" t="s">
        <v>72</v>
      </c>
      <c r="B158" t="s">
        <v>3366</v>
      </c>
      <c r="C158" t="s">
        <v>74</v>
      </c>
      <c r="D158" t="s">
        <v>74</v>
      </c>
      <c r="E158" t="s">
        <v>74</v>
      </c>
      <c r="F158" t="s">
        <v>3367</v>
      </c>
      <c r="G158" t="s">
        <v>74</v>
      </c>
      <c r="H158" t="s">
        <v>74</v>
      </c>
      <c r="I158" t="s">
        <v>3368</v>
      </c>
      <c r="J158" t="s">
        <v>1193</v>
      </c>
      <c r="K158" t="s">
        <v>74</v>
      </c>
      <c r="L158" t="s">
        <v>74</v>
      </c>
      <c r="M158" t="s">
        <v>78</v>
      </c>
      <c r="N158" t="s">
        <v>79</v>
      </c>
      <c r="O158" t="s">
        <v>74</v>
      </c>
      <c r="P158" t="s">
        <v>74</v>
      </c>
      <c r="Q158" t="s">
        <v>74</v>
      </c>
      <c r="R158" t="s">
        <v>74</v>
      </c>
      <c r="S158" t="s">
        <v>74</v>
      </c>
      <c r="T158" t="s">
        <v>3369</v>
      </c>
      <c r="U158" t="s">
        <v>3370</v>
      </c>
      <c r="V158" t="s">
        <v>3371</v>
      </c>
      <c r="W158" t="s">
        <v>3372</v>
      </c>
      <c r="X158" t="s">
        <v>3373</v>
      </c>
      <c r="Y158" t="s">
        <v>3374</v>
      </c>
      <c r="Z158" t="s">
        <v>3375</v>
      </c>
      <c r="AA158" t="s">
        <v>74</v>
      </c>
      <c r="AB158" t="s">
        <v>74</v>
      </c>
      <c r="AC158" t="s">
        <v>3376</v>
      </c>
      <c r="AD158" t="s">
        <v>3377</v>
      </c>
      <c r="AE158" t="s">
        <v>3378</v>
      </c>
      <c r="AF158" t="s">
        <v>74</v>
      </c>
      <c r="AG158">
        <v>51</v>
      </c>
      <c r="AH158">
        <v>11</v>
      </c>
      <c r="AI158">
        <v>12</v>
      </c>
      <c r="AJ158">
        <v>0</v>
      </c>
      <c r="AK158">
        <v>9</v>
      </c>
      <c r="AL158" t="s">
        <v>1206</v>
      </c>
      <c r="AM158" t="s">
        <v>1207</v>
      </c>
      <c r="AN158" t="s">
        <v>1208</v>
      </c>
      <c r="AO158" t="s">
        <v>1209</v>
      </c>
      <c r="AP158" t="s">
        <v>1210</v>
      </c>
      <c r="AQ158" t="s">
        <v>74</v>
      </c>
      <c r="AR158" t="s">
        <v>1193</v>
      </c>
      <c r="AS158" t="s">
        <v>1211</v>
      </c>
      <c r="AT158" t="s">
        <v>2847</v>
      </c>
      <c r="AU158">
        <v>2015</v>
      </c>
      <c r="AV158">
        <v>4027</v>
      </c>
      <c r="AW158">
        <v>1</v>
      </c>
      <c r="AX158" t="s">
        <v>74</v>
      </c>
      <c r="AY158" t="s">
        <v>74</v>
      </c>
      <c r="AZ158" t="s">
        <v>74</v>
      </c>
      <c r="BA158" t="s">
        <v>74</v>
      </c>
      <c r="BB158">
        <v>42</v>
      </c>
      <c r="BC158">
        <v>66</v>
      </c>
      <c r="BD158" t="s">
        <v>74</v>
      </c>
      <c r="BE158" t="s">
        <v>3379</v>
      </c>
      <c r="BF158" t="str">
        <f>HYPERLINK("http://dx.doi.org/10.11646/zootaxa.4027.1.2","http://dx.doi.org/10.11646/zootaxa.4027.1.2")</f>
        <v>http://dx.doi.org/10.11646/zootaxa.4027.1.2</v>
      </c>
      <c r="BG158" t="s">
        <v>74</v>
      </c>
      <c r="BH158" t="s">
        <v>74</v>
      </c>
      <c r="BI158">
        <v>25</v>
      </c>
      <c r="BJ158" t="s">
        <v>243</v>
      </c>
      <c r="BK158" t="s">
        <v>101</v>
      </c>
      <c r="BL158" t="s">
        <v>243</v>
      </c>
      <c r="BM158" t="s">
        <v>3380</v>
      </c>
      <c r="BN158">
        <v>26624166</v>
      </c>
      <c r="BO158" t="s">
        <v>74</v>
      </c>
      <c r="BP158" t="s">
        <v>74</v>
      </c>
      <c r="BQ158" t="s">
        <v>74</v>
      </c>
      <c r="BR158" t="s">
        <v>103</v>
      </c>
      <c r="BS158" t="s">
        <v>3381</v>
      </c>
      <c r="BT158" t="str">
        <f>HYPERLINK("https%3A%2F%2Fwww.webofscience.com%2Fwos%2Fwoscc%2Ffull-record%2FWOS:000362162600002","View Full Record in Web of Science")</f>
        <v>View Full Record in Web of Science</v>
      </c>
    </row>
    <row r="159" spans="1:72" x14ac:dyDescent="0.15">
      <c r="A159" t="s">
        <v>72</v>
      </c>
      <c r="B159" t="s">
        <v>3382</v>
      </c>
      <c r="C159" t="s">
        <v>74</v>
      </c>
      <c r="D159" t="s">
        <v>74</v>
      </c>
      <c r="E159" t="s">
        <v>74</v>
      </c>
      <c r="F159" t="s">
        <v>3383</v>
      </c>
      <c r="G159" t="s">
        <v>74</v>
      </c>
      <c r="H159" t="s">
        <v>74</v>
      </c>
      <c r="I159" t="s">
        <v>3384</v>
      </c>
      <c r="J159" t="s">
        <v>3385</v>
      </c>
      <c r="K159" t="s">
        <v>74</v>
      </c>
      <c r="L159" t="s">
        <v>74</v>
      </c>
      <c r="M159" t="s">
        <v>78</v>
      </c>
      <c r="N159" t="s">
        <v>79</v>
      </c>
      <c r="O159" t="s">
        <v>74</v>
      </c>
      <c r="P159" t="s">
        <v>74</v>
      </c>
      <c r="Q159" t="s">
        <v>74</v>
      </c>
      <c r="R159" t="s">
        <v>74</v>
      </c>
      <c r="S159" t="s">
        <v>74</v>
      </c>
      <c r="T159" t="s">
        <v>3386</v>
      </c>
      <c r="U159" t="s">
        <v>3387</v>
      </c>
      <c r="V159" t="s">
        <v>3388</v>
      </c>
      <c r="W159" t="s">
        <v>3389</v>
      </c>
      <c r="X159" t="s">
        <v>3390</v>
      </c>
      <c r="Y159" t="s">
        <v>3391</v>
      </c>
      <c r="Z159" t="s">
        <v>3392</v>
      </c>
      <c r="AA159" t="s">
        <v>3393</v>
      </c>
      <c r="AB159" t="s">
        <v>3394</v>
      </c>
      <c r="AC159" t="s">
        <v>74</v>
      </c>
      <c r="AD159" t="s">
        <v>74</v>
      </c>
      <c r="AE159" t="s">
        <v>74</v>
      </c>
      <c r="AF159" t="s">
        <v>74</v>
      </c>
      <c r="AG159">
        <v>62</v>
      </c>
      <c r="AH159">
        <v>21</v>
      </c>
      <c r="AI159">
        <v>23</v>
      </c>
      <c r="AJ159">
        <v>1</v>
      </c>
      <c r="AK159">
        <v>23</v>
      </c>
      <c r="AL159" t="s">
        <v>3146</v>
      </c>
      <c r="AM159" t="s">
        <v>3147</v>
      </c>
      <c r="AN159" t="s">
        <v>3148</v>
      </c>
      <c r="AO159" t="s">
        <v>3395</v>
      </c>
      <c r="AP159" t="s">
        <v>3396</v>
      </c>
      <c r="AQ159" t="s">
        <v>74</v>
      </c>
      <c r="AR159" t="s">
        <v>3397</v>
      </c>
      <c r="AS159" t="s">
        <v>3398</v>
      </c>
      <c r="AT159" t="s">
        <v>2170</v>
      </c>
      <c r="AU159">
        <v>2015</v>
      </c>
      <c r="AV159">
        <v>54</v>
      </c>
      <c r="AW159">
        <v>7</v>
      </c>
      <c r="AX159" t="s">
        <v>74</v>
      </c>
      <c r="AY159" t="s">
        <v>74</v>
      </c>
      <c r="AZ159" t="s">
        <v>74</v>
      </c>
      <c r="BA159" t="s">
        <v>74</v>
      </c>
      <c r="BB159">
        <v>1055</v>
      </c>
      <c r="BC159">
        <v>1067</v>
      </c>
      <c r="BD159" t="s">
        <v>74</v>
      </c>
      <c r="BE159" t="s">
        <v>3399</v>
      </c>
      <c r="BF159" t="str">
        <f>HYPERLINK("http://dx.doi.org/10.1007/s00394-014-0782-0","http://dx.doi.org/10.1007/s00394-014-0782-0")</f>
        <v>http://dx.doi.org/10.1007/s00394-014-0782-0</v>
      </c>
      <c r="BG159" t="s">
        <v>74</v>
      </c>
      <c r="BH159" t="s">
        <v>74</v>
      </c>
      <c r="BI159">
        <v>13</v>
      </c>
      <c r="BJ159" t="s">
        <v>3400</v>
      </c>
      <c r="BK159" t="s">
        <v>101</v>
      </c>
      <c r="BL159" t="s">
        <v>3400</v>
      </c>
      <c r="BM159" t="s">
        <v>3401</v>
      </c>
      <c r="BN159">
        <v>25315197</v>
      </c>
      <c r="BO159" t="s">
        <v>74</v>
      </c>
      <c r="BP159" t="s">
        <v>74</v>
      </c>
      <c r="BQ159" t="s">
        <v>74</v>
      </c>
      <c r="BR159" t="s">
        <v>103</v>
      </c>
      <c r="BS159" t="s">
        <v>3402</v>
      </c>
      <c r="BT159" t="str">
        <f>HYPERLINK("https%3A%2F%2Fwww.webofscience.com%2Fwos%2Fwoscc%2Ffull-record%2FWOS:000361634700003","View Full Record in Web of Science")</f>
        <v>View Full Record in Web of Science</v>
      </c>
    </row>
    <row r="160" spans="1:72" x14ac:dyDescent="0.15">
      <c r="A160" t="s">
        <v>72</v>
      </c>
      <c r="B160" t="s">
        <v>3403</v>
      </c>
      <c r="C160" t="s">
        <v>74</v>
      </c>
      <c r="D160" t="s">
        <v>74</v>
      </c>
      <c r="E160" t="s">
        <v>74</v>
      </c>
      <c r="F160" t="s">
        <v>3404</v>
      </c>
      <c r="G160" t="s">
        <v>74</v>
      </c>
      <c r="H160" t="s">
        <v>74</v>
      </c>
      <c r="I160" t="s">
        <v>3405</v>
      </c>
      <c r="J160" t="s">
        <v>3406</v>
      </c>
      <c r="K160" t="s">
        <v>74</v>
      </c>
      <c r="L160" t="s">
        <v>74</v>
      </c>
      <c r="M160" t="s">
        <v>78</v>
      </c>
      <c r="N160" t="s">
        <v>79</v>
      </c>
      <c r="O160" t="s">
        <v>74</v>
      </c>
      <c r="P160" t="s">
        <v>74</v>
      </c>
      <c r="Q160" t="s">
        <v>74</v>
      </c>
      <c r="R160" t="s">
        <v>74</v>
      </c>
      <c r="S160" t="s">
        <v>74</v>
      </c>
      <c r="T160" t="s">
        <v>74</v>
      </c>
      <c r="U160" t="s">
        <v>3407</v>
      </c>
      <c r="V160" t="s">
        <v>3408</v>
      </c>
      <c r="W160" t="s">
        <v>3409</v>
      </c>
      <c r="X160" t="s">
        <v>3410</v>
      </c>
      <c r="Y160" t="s">
        <v>3411</v>
      </c>
      <c r="Z160" t="s">
        <v>3412</v>
      </c>
      <c r="AA160" t="s">
        <v>3413</v>
      </c>
      <c r="AB160" t="s">
        <v>3414</v>
      </c>
      <c r="AC160" t="s">
        <v>3415</v>
      </c>
      <c r="AD160" t="s">
        <v>3416</v>
      </c>
      <c r="AE160" t="s">
        <v>3417</v>
      </c>
      <c r="AF160" t="s">
        <v>74</v>
      </c>
      <c r="AG160">
        <v>34</v>
      </c>
      <c r="AH160">
        <v>59</v>
      </c>
      <c r="AI160">
        <v>66</v>
      </c>
      <c r="AJ160">
        <v>0</v>
      </c>
      <c r="AK160">
        <v>41</v>
      </c>
      <c r="AL160" t="s">
        <v>3418</v>
      </c>
      <c r="AM160" t="s">
        <v>3419</v>
      </c>
      <c r="AN160" t="s">
        <v>3420</v>
      </c>
      <c r="AO160" t="s">
        <v>3421</v>
      </c>
      <c r="AP160" t="s">
        <v>3422</v>
      </c>
      <c r="AQ160" t="s">
        <v>74</v>
      </c>
      <c r="AR160" t="s">
        <v>3406</v>
      </c>
      <c r="AS160" t="s">
        <v>315</v>
      </c>
      <c r="AT160" t="s">
        <v>2170</v>
      </c>
      <c r="AU160">
        <v>2015</v>
      </c>
      <c r="AV160">
        <v>43</v>
      </c>
      <c r="AW160">
        <v>10</v>
      </c>
      <c r="AX160" t="s">
        <v>74</v>
      </c>
      <c r="AY160" t="s">
        <v>74</v>
      </c>
      <c r="AZ160" t="s">
        <v>74</v>
      </c>
      <c r="BA160" t="s">
        <v>74</v>
      </c>
      <c r="BB160">
        <v>927</v>
      </c>
      <c r="BC160">
        <v>930</v>
      </c>
      <c r="BD160" t="s">
        <v>74</v>
      </c>
      <c r="BE160" t="s">
        <v>3423</v>
      </c>
      <c r="BF160" t="str">
        <f>HYPERLINK("http://dx.doi.org/10.1130/G36988.1","http://dx.doi.org/10.1130/G36988.1")</f>
        <v>http://dx.doi.org/10.1130/G36988.1</v>
      </c>
      <c r="BG160" t="s">
        <v>74</v>
      </c>
      <c r="BH160" t="s">
        <v>74</v>
      </c>
      <c r="BI160">
        <v>4</v>
      </c>
      <c r="BJ160" t="s">
        <v>315</v>
      </c>
      <c r="BK160" t="s">
        <v>101</v>
      </c>
      <c r="BL160" t="s">
        <v>315</v>
      </c>
      <c r="BM160" t="s">
        <v>3424</v>
      </c>
      <c r="BN160" t="s">
        <v>74</v>
      </c>
      <c r="BO160" t="s">
        <v>74</v>
      </c>
      <c r="BP160" t="s">
        <v>74</v>
      </c>
      <c r="BQ160" t="s">
        <v>74</v>
      </c>
      <c r="BR160" t="s">
        <v>103</v>
      </c>
      <c r="BS160" t="s">
        <v>3425</v>
      </c>
      <c r="BT160" t="str">
        <f>HYPERLINK("https%3A%2F%2Fwww.webofscience.com%2Fwos%2Fwoscc%2Ffull-record%2FWOS:000361830400021","View Full Record in Web of Science")</f>
        <v>View Full Record in Web of Science</v>
      </c>
    </row>
    <row r="161" spans="1:72" x14ac:dyDescent="0.15">
      <c r="A161" t="s">
        <v>72</v>
      </c>
      <c r="B161" t="s">
        <v>3426</v>
      </c>
      <c r="C161" t="s">
        <v>74</v>
      </c>
      <c r="D161" t="s">
        <v>74</v>
      </c>
      <c r="E161" t="s">
        <v>74</v>
      </c>
      <c r="F161" t="s">
        <v>3427</v>
      </c>
      <c r="G161" t="s">
        <v>74</v>
      </c>
      <c r="H161" t="s">
        <v>74</v>
      </c>
      <c r="I161" t="s">
        <v>3428</v>
      </c>
      <c r="J161" t="s">
        <v>384</v>
      </c>
      <c r="K161" t="s">
        <v>74</v>
      </c>
      <c r="L161" t="s">
        <v>74</v>
      </c>
      <c r="M161" t="s">
        <v>78</v>
      </c>
      <c r="N161" t="s">
        <v>79</v>
      </c>
      <c r="O161" t="s">
        <v>74</v>
      </c>
      <c r="P161" t="s">
        <v>74</v>
      </c>
      <c r="Q161" t="s">
        <v>74</v>
      </c>
      <c r="R161" t="s">
        <v>74</v>
      </c>
      <c r="S161" t="s">
        <v>74</v>
      </c>
      <c r="T161" t="s">
        <v>3429</v>
      </c>
      <c r="U161" t="s">
        <v>3430</v>
      </c>
      <c r="V161" t="s">
        <v>3431</v>
      </c>
      <c r="W161" t="s">
        <v>3432</v>
      </c>
      <c r="X161" t="s">
        <v>3433</v>
      </c>
      <c r="Y161" t="s">
        <v>3434</v>
      </c>
      <c r="Z161" t="s">
        <v>3435</v>
      </c>
      <c r="AA161" t="s">
        <v>3436</v>
      </c>
      <c r="AB161" t="s">
        <v>3437</v>
      </c>
      <c r="AC161" t="s">
        <v>3438</v>
      </c>
      <c r="AD161" t="s">
        <v>3439</v>
      </c>
      <c r="AE161" t="s">
        <v>3440</v>
      </c>
      <c r="AF161" t="s">
        <v>74</v>
      </c>
      <c r="AG161">
        <v>38</v>
      </c>
      <c r="AH161">
        <v>17</v>
      </c>
      <c r="AI161">
        <v>18</v>
      </c>
      <c r="AJ161">
        <v>0</v>
      </c>
      <c r="AK161">
        <v>28</v>
      </c>
      <c r="AL161" t="s">
        <v>397</v>
      </c>
      <c r="AM161" t="s">
        <v>398</v>
      </c>
      <c r="AN161" t="s">
        <v>399</v>
      </c>
      <c r="AO161" t="s">
        <v>400</v>
      </c>
      <c r="AP161" t="s">
        <v>401</v>
      </c>
      <c r="AQ161" t="s">
        <v>74</v>
      </c>
      <c r="AR161" t="s">
        <v>402</v>
      </c>
      <c r="AS161" t="s">
        <v>403</v>
      </c>
      <c r="AT161" t="s">
        <v>2170</v>
      </c>
      <c r="AU161">
        <v>2015</v>
      </c>
      <c r="AV161">
        <v>81</v>
      </c>
      <c r="AW161" t="s">
        <v>74</v>
      </c>
      <c r="AX161" t="s">
        <v>74</v>
      </c>
      <c r="AY161" t="s">
        <v>74</v>
      </c>
      <c r="AZ161" t="s">
        <v>74</v>
      </c>
      <c r="BA161" t="s">
        <v>74</v>
      </c>
      <c r="BB161">
        <v>90</v>
      </c>
      <c r="BC161">
        <v>96</v>
      </c>
      <c r="BD161" t="s">
        <v>74</v>
      </c>
      <c r="BE161" t="s">
        <v>3441</v>
      </c>
      <c r="BF161" t="str">
        <f>HYPERLINK("http://dx.doi.org/10.1016/j.jinsphys.2015.07.008","http://dx.doi.org/10.1016/j.jinsphys.2015.07.008")</f>
        <v>http://dx.doi.org/10.1016/j.jinsphys.2015.07.008</v>
      </c>
      <c r="BG161" t="s">
        <v>74</v>
      </c>
      <c r="BH161" t="s">
        <v>74</v>
      </c>
      <c r="BI161">
        <v>7</v>
      </c>
      <c r="BJ161" t="s">
        <v>405</v>
      </c>
      <c r="BK161" t="s">
        <v>101</v>
      </c>
      <c r="BL161" t="s">
        <v>405</v>
      </c>
      <c r="BM161" t="s">
        <v>3442</v>
      </c>
      <c r="BN161">
        <v>26172960</v>
      </c>
      <c r="BO161" t="s">
        <v>74</v>
      </c>
      <c r="BP161" t="s">
        <v>74</v>
      </c>
      <c r="BQ161" t="s">
        <v>74</v>
      </c>
      <c r="BR161" t="s">
        <v>103</v>
      </c>
      <c r="BS161" t="s">
        <v>3443</v>
      </c>
      <c r="BT161" t="str">
        <f>HYPERLINK("https%3A%2F%2Fwww.webofscience.com%2Fwos%2Fwoscc%2Ffull-record%2FWOS:000361860300012","View Full Record in Web of Science")</f>
        <v>View Full Record in Web of Science</v>
      </c>
    </row>
    <row r="162" spans="1:72" x14ac:dyDescent="0.15">
      <c r="A162" t="s">
        <v>72</v>
      </c>
      <c r="B162" t="s">
        <v>3444</v>
      </c>
      <c r="C162" t="s">
        <v>74</v>
      </c>
      <c r="D162" t="s">
        <v>74</v>
      </c>
      <c r="E162" t="s">
        <v>74</v>
      </c>
      <c r="F162" t="s">
        <v>3445</v>
      </c>
      <c r="G162" t="s">
        <v>74</v>
      </c>
      <c r="H162" t="s">
        <v>74</v>
      </c>
      <c r="I162" t="s">
        <v>3446</v>
      </c>
      <c r="J162" t="s">
        <v>3447</v>
      </c>
      <c r="K162" t="s">
        <v>74</v>
      </c>
      <c r="L162" t="s">
        <v>74</v>
      </c>
      <c r="M162" t="s">
        <v>78</v>
      </c>
      <c r="N162" t="s">
        <v>79</v>
      </c>
      <c r="O162" t="s">
        <v>74</v>
      </c>
      <c r="P162" t="s">
        <v>74</v>
      </c>
      <c r="Q162" t="s">
        <v>74</v>
      </c>
      <c r="R162" t="s">
        <v>74</v>
      </c>
      <c r="S162" t="s">
        <v>74</v>
      </c>
      <c r="T162" t="s">
        <v>3448</v>
      </c>
      <c r="U162" t="s">
        <v>3449</v>
      </c>
      <c r="V162" t="s">
        <v>3450</v>
      </c>
      <c r="W162" t="s">
        <v>3451</v>
      </c>
      <c r="X162" t="s">
        <v>3452</v>
      </c>
      <c r="Y162" t="s">
        <v>3453</v>
      </c>
      <c r="Z162" t="s">
        <v>3454</v>
      </c>
      <c r="AA162" t="s">
        <v>3455</v>
      </c>
      <c r="AB162" t="s">
        <v>3456</v>
      </c>
      <c r="AC162" t="s">
        <v>3457</v>
      </c>
      <c r="AD162" t="s">
        <v>3458</v>
      </c>
      <c r="AE162" t="s">
        <v>3459</v>
      </c>
      <c r="AF162" t="s">
        <v>74</v>
      </c>
      <c r="AG162">
        <v>38</v>
      </c>
      <c r="AH162">
        <v>10</v>
      </c>
      <c r="AI162">
        <v>10</v>
      </c>
      <c r="AJ162">
        <v>0</v>
      </c>
      <c r="AK162">
        <v>22</v>
      </c>
      <c r="AL162" t="s">
        <v>92</v>
      </c>
      <c r="AM162" t="s">
        <v>93</v>
      </c>
      <c r="AN162" t="s">
        <v>94</v>
      </c>
      <c r="AO162" t="s">
        <v>3460</v>
      </c>
      <c r="AP162" t="s">
        <v>3461</v>
      </c>
      <c r="AQ162" t="s">
        <v>74</v>
      </c>
      <c r="AR162" t="s">
        <v>3462</v>
      </c>
      <c r="AS162" t="s">
        <v>3463</v>
      </c>
      <c r="AT162" t="s">
        <v>2170</v>
      </c>
      <c r="AU162">
        <v>2015</v>
      </c>
      <c r="AV162">
        <v>71</v>
      </c>
      <c r="AW162">
        <v>5</v>
      </c>
      <c r="AX162" t="s">
        <v>74</v>
      </c>
      <c r="AY162" t="s">
        <v>74</v>
      </c>
      <c r="AZ162" t="s">
        <v>74</v>
      </c>
      <c r="BA162" t="s">
        <v>74</v>
      </c>
      <c r="BB162">
        <v>623</v>
      </c>
      <c r="BC162">
        <v>636</v>
      </c>
      <c r="BD162" t="s">
        <v>74</v>
      </c>
      <c r="BE162" t="s">
        <v>3464</v>
      </c>
      <c r="BF162" t="str">
        <f>HYPERLINK("http://dx.doi.org/10.1007/s10872-015-0284-6","http://dx.doi.org/10.1007/s10872-015-0284-6")</f>
        <v>http://dx.doi.org/10.1007/s10872-015-0284-6</v>
      </c>
      <c r="BG162" t="s">
        <v>74</v>
      </c>
      <c r="BH162" t="s">
        <v>74</v>
      </c>
      <c r="BI162">
        <v>14</v>
      </c>
      <c r="BJ162" t="s">
        <v>339</v>
      </c>
      <c r="BK162" t="s">
        <v>101</v>
      </c>
      <c r="BL162" t="s">
        <v>339</v>
      </c>
      <c r="BM162" t="s">
        <v>3465</v>
      </c>
      <c r="BN162" t="s">
        <v>74</v>
      </c>
      <c r="BO162" t="s">
        <v>74</v>
      </c>
      <c r="BP162" t="s">
        <v>74</v>
      </c>
      <c r="BQ162" t="s">
        <v>74</v>
      </c>
      <c r="BR162" t="s">
        <v>103</v>
      </c>
      <c r="BS162" t="s">
        <v>3466</v>
      </c>
      <c r="BT162" t="str">
        <f>HYPERLINK("https%3A%2F%2Fwww.webofscience.com%2Fwos%2Fwoscc%2Ffull-record%2FWOS:000361883200010","View Full Record in Web of Science")</f>
        <v>View Full Record in Web of Science</v>
      </c>
    </row>
    <row r="163" spans="1:72" x14ac:dyDescent="0.15">
      <c r="A163" t="s">
        <v>72</v>
      </c>
      <c r="B163" t="s">
        <v>3467</v>
      </c>
      <c r="C163" t="s">
        <v>74</v>
      </c>
      <c r="D163" t="s">
        <v>74</v>
      </c>
      <c r="E163" t="s">
        <v>74</v>
      </c>
      <c r="F163" t="s">
        <v>3468</v>
      </c>
      <c r="G163" t="s">
        <v>74</v>
      </c>
      <c r="H163" t="s">
        <v>74</v>
      </c>
      <c r="I163" t="s">
        <v>3469</v>
      </c>
      <c r="J163" t="s">
        <v>3470</v>
      </c>
      <c r="K163" t="s">
        <v>74</v>
      </c>
      <c r="L163" t="s">
        <v>74</v>
      </c>
      <c r="M163" t="s">
        <v>78</v>
      </c>
      <c r="N163" t="s">
        <v>79</v>
      </c>
      <c r="O163" t="s">
        <v>74</v>
      </c>
      <c r="P163" t="s">
        <v>74</v>
      </c>
      <c r="Q163" t="s">
        <v>74</v>
      </c>
      <c r="R163" t="s">
        <v>74</v>
      </c>
      <c r="S163" t="s">
        <v>74</v>
      </c>
      <c r="T163" t="s">
        <v>3471</v>
      </c>
      <c r="U163" t="s">
        <v>3472</v>
      </c>
      <c r="V163" t="s">
        <v>3473</v>
      </c>
      <c r="W163" t="s">
        <v>3474</v>
      </c>
      <c r="X163" t="s">
        <v>3475</v>
      </c>
      <c r="Y163" t="s">
        <v>3476</v>
      </c>
      <c r="Z163" t="s">
        <v>3477</v>
      </c>
      <c r="AA163" t="s">
        <v>3478</v>
      </c>
      <c r="AB163" t="s">
        <v>3479</v>
      </c>
      <c r="AC163" t="s">
        <v>3480</v>
      </c>
      <c r="AD163" t="s">
        <v>3481</v>
      </c>
      <c r="AE163" t="s">
        <v>3482</v>
      </c>
      <c r="AF163" t="s">
        <v>74</v>
      </c>
      <c r="AG163">
        <v>39</v>
      </c>
      <c r="AH163">
        <v>17</v>
      </c>
      <c r="AI163">
        <v>17</v>
      </c>
      <c r="AJ163">
        <v>4</v>
      </c>
      <c r="AK163">
        <v>46</v>
      </c>
      <c r="AL163" t="s">
        <v>496</v>
      </c>
      <c r="AM163" t="s">
        <v>398</v>
      </c>
      <c r="AN163" t="s">
        <v>497</v>
      </c>
      <c r="AO163" t="s">
        <v>3483</v>
      </c>
      <c r="AP163" t="s">
        <v>3484</v>
      </c>
      <c r="AQ163" t="s">
        <v>74</v>
      </c>
      <c r="AR163" t="s">
        <v>3485</v>
      </c>
      <c r="AS163" t="s">
        <v>3486</v>
      </c>
      <c r="AT163" t="s">
        <v>2170</v>
      </c>
      <c r="AU163">
        <v>2015</v>
      </c>
      <c r="AV163">
        <v>50</v>
      </c>
      <c r="AW163">
        <v>10</v>
      </c>
      <c r="AX163" t="s">
        <v>74</v>
      </c>
      <c r="AY163" t="s">
        <v>74</v>
      </c>
      <c r="AZ163" t="s">
        <v>74</v>
      </c>
      <c r="BA163" t="s">
        <v>74</v>
      </c>
      <c r="BB163">
        <v>1581</v>
      </c>
      <c r="BC163">
        <v>1590</v>
      </c>
      <c r="BD163" t="s">
        <v>74</v>
      </c>
      <c r="BE163" t="s">
        <v>3487</v>
      </c>
      <c r="BF163" t="str">
        <f>HYPERLINK("http://dx.doi.org/10.1016/j.procbio.2015.06.016","http://dx.doi.org/10.1016/j.procbio.2015.06.016")</f>
        <v>http://dx.doi.org/10.1016/j.procbio.2015.06.016</v>
      </c>
      <c r="BG163" t="s">
        <v>74</v>
      </c>
      <c r="BH163" t="s">
        <v>74</v>
      </c>
      <c r="BI163">
        <v>10</v>
      </c>
      <c r="BJ163" t="s">
        <v>3488</v>
      </c>
      <c r="BK163" t="s">
        <v>101</v>
      </c>
      <c r="BL163" t="s">
        <v>3489</v>
      </c>
      <c r="BM163" t="s">
        <v>3490</v>
      </c>
      <c r="BN163" t="s">
        <v>74</v>
      </c>
      <c r="BO163" t="s">
        <v>74</v>
      </c>
      <c r="BP163" t="s">
        <v>74</v>
      </c>
      <c r="BQ163" t="s">
        <v>74</v>
      </c>
      <c r="BR163" t="s">
        <v>103</v>
      </c>
      <c r="BS163" t="s">
        <v>3491</v>
      </c>
      <c r="BT163" t="str">
        <f>HYPERLINK("https%3A%2F%2Fwww.webofscience.com%2Fwos%2Fwoscc%2Ffull-record%2FWOS:000361775400011","View Full Record in Web of Science")</f>
        <v>View Full Record in Web of Science</v>
      </c>
    </row>
    <row r="164" spans="1:72" x14ac:dyDescent="0.15">
      <c r="A164" t="s">
        <v>72</v>
      </c>
      <c r="B164" t="s">
        <v>3492</v>
      </c>
      <c r="C164" t="s">
        <v>74</v>
      </c>
      <c r="D164" t="s">
        <v>74</v>
      </c>
      <c r="E164" t="s">
        <v>74</v>
      </c>
      <c r="F164" t="s">
        <v>3493</v>
      </c>
      <c r="G164" t="s">
        <v>74</v>
      </c>
      <c r="H164" t="s">
        <v>74</v>
      </c>
      <c r="I164" t="s">
        <v>3494</v>
      </c>
      <c r="J164" t="s">
        <v>3495</v>
      </c>
      <c r="K164" t="s">
        <v>74</v>
      </c>
      <c r="L164" t="s">
        <v>74</v>
      </c>
      <c r="M164" t="s">
        <v>78</v>
      </c>
      <c r="N164" t="s">
        <v>79</v>
      </c>
      <c r="O164" t="s">
        <v>74</v>
      </c>
      <c r="P164" t="s">
        <v>74</v>
      </c>
      <c r="Q164" t="s">
        <v>74</v>
      </c>
      <c r="R164" t="s">
        <v>74</v>
      </c>
      <c r="S164" t="s">
        <v>74</v>
      </c>
      <c r="T164" t="s">
        <v>3496</v>
      </c>
      <c r="U164" t="s">
        <v>3497</v>
      </c>
      <c r="V164" t="s">
        <v>3498</v>
      </c>
      <c r="W164" t="s">
        <v>3499</v>
      </c>
      <c r="X164" t="s">
        <v>3500</v>
      </c>
      <c r="Y164" t="s">
        <v>3501</v>
      </c>
      <c r="Z164" t="s">
        <v>3502</v>
      </c>
      <c r="AA164" t="s">
        <v>3503</v>
      </c>
      <c r="AB164" t="s">
        <v>3504</v>
      </c>
      <c r="AC164" t="s">
        <v>3505</v>
      </c>
      <c r="AD164" t="s">
        <v>3506</v>
      </c>
      <c r="AE164" t="s">
        <v>3507</v>
      </c>
      <c r="AF164" t="s">
        <v>74</v>
      </c>
      <c r="AG164">
        <v>31</v>
      </c>
      <c r="AH164">
        <v>12</v>
      </c>
      <c r="AI164">
        <v>16</v>
      </c>
      <c r="AJ164">
        <v>2</v>
      </c>
      <c r="AK164">
        <v>109</v>
      </c>
      <c r="AL164" t="s">
        <v>883</v>
      </c>
      <c r="AM164" t="s">
        <v>884</v>
      </c>
      <c r="AN164" t="s">
        <v>885</v>
      </c>
      <c r="AO164" t="s">
        <v>3508</v>
      </c>
      <c r="AP164" t="s">
        <v>3509</v>
      </c>
      <c r="AQ164" t="s">
        <v>74</v>
      </c>
      <c r="AR164" t="s">
        <v>3510</v>
      </c>
      <c r="AS164" t="s">
        <v>3511</v>
      </c>
      <c r="AT164" t="s">
        <v>2170</v>
      </c>
      <c r="AU164">
        <v>2015</v>
      </c>
      <c r="AV164">
        <v>221</v>
      </c>
      <c r="AW164" t="s">
        <v>74</v>
      </c>
      <c r="AX164" t="s">
        <v>74</v>
      </c>
      <c r="AY164" t="s">
        <v>74</v>
      </c>
      <c r="AZ164" t="s">
        <v>74</v>
      </c>
      <c r="BA164" t="s">
        <v>74</v>
      </c>
      <c r="BB164">
        <v>138</v>
      </c>
      <c r="BC164">
        <v>143</v>
      </c>
      <c r="BD164" t="s">
        <v>74</v>
      </c>
      <c r="BE164" t="s">
        <v>3512</v>
      </c>
      <c r="BF164" t="str">
        <f>HYPERLINK("http://dx.doi.org/10.1016/j.revpalbo.2015.06.003","http://dx.doi.org/10.1016/j.revpalbo.2015.06.003")</f>
        <v>http://dx.doi.org/10.1016/j.revpalbo.2015.06.003</v>
      </c>
      <c r="BG164" t="s">
        <v>74</v>
      </c>
      <c r="BH164" t="s">
        <v>74</v>
      </c>
      <c r="BI164">
        <v>6</v>
      </c>
      <c r="BJ164" t="s">
        <v>3513</v>
      </c>
      <c r="BK164" t="s">
        <v>101</v>
      </c>
      <c r="BL164" t="s">
        <v>3513</v>
      </c>
      <c r="BM164" t="s">
        <v>3514</v>
      </c>
      <c r="BN164" t="s">
        <v>74</v>
      </c>
      <c r="BO164" t="s">
        <v>74</v>
      </c>
      <c r="BP164" t="s">
        <v>74</v>
      </c>
      <c r="BQ164" t="s">
        <v>74</v>
      </c>
      <c r="BR164" t="s">
        <v>103</v>
      </c>
      <c r="BS164" t="s">
        <v>3515</v>
      </c>
      <c r="BT164" t="str">
        <f>HYPERLINK("https%3A%2F%2Fwww.webofscience.com%2Fwos%2Fwoscc%2Ffull-record%2FWOS:000361777900013","View Full Record in Web of Science")</f>
        <v>View Full Record in Web of Science</v>
      </c>
    </row>
    <row r="165" spans="1:72" x14ac:dyDescent="0.15">
      <c r="A165" t="s">
        <v>72</v>
      </c>
      <c r="B165" t="s">
        <v>3516</v>
      </c>
      <c r="C165" t="s">
        <v>74</v>
      </c>
      <c r="D165" t="s">
        <v>74</v>
      </c>
      <c r="E165" t="s">
        <v>74</v>
      </c>
      <c r="F165" t="s">
        <v>3517</v>
      </c>
      <c r="G165" t="s">
        <v>74</v>
      </c>
      <c r="H165" t="s">
        <v>74</v>
      </c>
      <c r="I165" t="s">
        <v>3518</v>
      </c>
      <c r="J165" t="s">
        <v>1665</v>
      </c>
      <c r="K165" t="s">
        <v>74</v>
      </c>
      <c r="L165" t="s">
        <v>74</v>
      </c>
      <c r="M165" t="s">
        <v>78</v>
      </c>
      <c r="N165" t="s">
        <v>79</v>
      </c>
      <c r="O165" t="s">
        <v>74</v>
      </c>
      <c r="P165" t="s">
        <v>74</v>
      </c>
      <c r="Q165" t="s">
        <v>74</v>
      </c>
      <c r="R165" t="s">
        <v>74</v>
      </c>
      <c r="S165" t="s">
        <v>74</v>
      </c>
      <c r="T165" t="s">
        <v>3519</v>
      </c>
      <c r="U165" t="s">
        <v>3520</v>
      </c>
      <c r="V165" t="s">
        <v>3521</v>
      </c>
      <c r="W165" t="s">
        <v>3522</v>
      </c>
      <c r="X165" t="s">
        <v>3523</v>
      </c>
      <c r="Y165" t="s">
        <v>3524</v>
      </c>
      <c r="Z165" t="s">
        <v>3525</v>
      </c>
      <c r="AA165" t="s">
        <v>3526</v>
      </c>
      <c r="AB165" t="s">
        <v>3527</v>
      </c>
      <c r="AC165" t="s">
        <v>3528</v>
      </c>
      <c r="AD165" t="s">
        <v>3529</v>
      </c>
      <c r="AE165" t="s">
        <v>3530</v>
      </c>
      <c r="AF165" t="s">
        <v>74</v>
      </c>
      <c r="AG165">
        <v>23</v>
      </c>
      <c r="AH165">
        <v>8</v>
      </c>
      <c r="AI165">
        <v>8</v>
      </c>
      <c r="AJ165">
        <v>0</v>
      </c>
      <c r="AK165">
        <v>7</v>
      </c>
      <c r="AL165" t="s">
        <v>496</v>
      </c>
      <c r="AM165" t="s">
        <v>398</v>
      </c>
      <c r="AN165" t="s">
        <v>497</v>
      </c>
      <c r="AO165" t="s">
        <v>1678</v>
      </c>
      <c r="AP165" t="s">
        <v>1679</v>
      </c>
      <c r="AQ165" t="s">
        <v>74</v>
      </c>
      <c r="AR165" t="s">
        <v>1680</v>
      </c>
      <c r="AS165" t="s">
        <v>1681</v>
      </c>
      <c r="AT165" t="s">
        <v>2847</v>
      </c>
      <c r="AU165">
        <v>2015</v>
      </c>
      <c r="AV165">
        <v>56</v>
      </c>
      <c r="AW165">
        <v>7</v>
      </c>
      <c r="AX165" t="s">
        <v>74</v>
      </c>
      <c r="AY165" t="s">
        <v>74</v>
      </c>
      <c r="AZ165" t="s">
        <v>74</v>
      </c>
      <c r="BA165" t="s">
        <v>74</v>
      </c>
      <c r="BB165">
        <v>1343</v>
      </c>
      <c r="BC165">
        <v>1353</v>
      </c>
      <c r="BD165" t="s">
        <v>74</v>
      </c>
      <c r="BE165" t="s">
        <v>3531</v>
      </c>
      <c r="BF165" t="str">
        <f>HYPERLINK("http://dx.doi.org/10.1016/j.asr.2015.06.025","http://dx.doi.org/10.1016/j.asr.2015.06.025")</f>
        <v>http://dx.doi.org/10.1016/j.asr.2015.06.025</v>
      </c>
      <c r="BG165" t="s">
        <v>74</v>
      </c>
      <c r="BH165" t="s">
        <v>74</v>
      </c>
      <c r="BI165">
        <v>11</v>
      </c>
      <c r="BJ165" t="s">
        <v>1683</v>
      </c>
      <c r="BK165" t="s">
        <v>101</v>
      </c>
      <c r="BL165" t="s">
        <v>1684</v>
      </c>
      <c r="BM165" t="s">
        <v>3532</v>
      </c>
      <c r="BN165" t="s">
        <v>74</v>
      </c>
      <c r="BO165" t="s">
        <v>74</v>
      </c>
      <c r="BP165" t="s">
        <v>74</v>
      </c>
      <c r="BQ165" t="s">
        <v>74</v>
      </c>
      <c r="BR165" t="s">
        <v>103</v>
      </c>
      <c r="BS165" t="s">
        <v>3533</v>
      </c>
      <c r="BT165" t="str">
        <f>HYPERLINK("https%3A%2F%2Fwww.webofscience.com%2Fwos%2Fwoscc%2Ffull-record%2FWOS:000361402300007","View Full Record in Web of Science")</f>
        <v>View Full Record in Web of Science</v>
      </c>
    </row>
    <row r="166" spans="1:72" x14ac:dyDescent="0.15">
      <c r="A166" t="s">
        <v>72</v>
      </c>
      <c r="B166" t="s">
        <v>3534</v>
      </c>
      <c r="C166" t="s">
        <v>74</v>
      </c>
      <c r="D166" t="s">
        <v>74</v>
      </c>
      <c r="E166" t="s">
        <v>74</v>
      </c>
      <c r="F166" t="s">
        <v>3535</v>
      </c>
      <c r="G166" t="s">
        <v>74</v>
      </c>
      <c r="H166" t="s">
        <v>74</v>
      </c>
      <c r="I166" t="s">
        <v>3536</v>
      </c>
      <c r="J166" t="s">
        <v>3537</v>
      </c>
      <c r="K166" t="s">
        <v>74</v>
      </c>
      <c r="L166" t="s">
        <v>74</v>
      </c>
      <c r="M166" t="s">
        <v>78</v>
      </c>
      <c r="N166" t="s">
        <v>79</v>
      </c>
      <c r="O166" t="s">
        <v>74</v>
      </c>
      <c r="P166" t="s">
        <v>74</v>
      </c>
      <c r="Q166" t="s">
        <v>74</v>
      </c>
      <c r="R166" t="s">
        <v>74</v>
      </c>
      <c r="S166" t="s">
        <v>74</v>
      </c>
      <c r="T166" t="s">
        <v>3538</v>
      </c>
      <c r="U166" t="s">
        <v>3539</v>
      </c>
      <c r="V166" t="s">
        <v>3540</v>
      </c>
      <c r="W166" t="s">
        <v>3541</v>
      </c>
      <c r="X166" t="s">
        <v>3542</v>
      </c>
      <c r="Y166" t="s">
        <v>3543</v>
      </c>
      <c r="Z166" t="s">
        <v>3544</v>
      </c>
      <c r="AA166" t="s">
        <v>3545</v>
      </c>
      <c r="AB166" t="s">
        <v>3546</v>
      </c>
      <c r="AC166" t="s">
        <v>3547</v>
      </c>
      <c r="AD166" t="s">
        <v>3548</v>
      </c>
      <c r="AE166" t="s">
        <v>3549</v>
      </c>
      <c r="AF166" t="s">
        <v>74</v>
      </c>
      <c r="AG166">
        <v>103</v>
      </c>
      <c r="AH166">
        <v>14</v>
      </c>
      <c r="AI166">
        <v>15</v>
      </c>
      <c r="AJ166">
        <v>0</v>
      </c>
      <c r="AK166">
        <v>39</v>
      </c>
      <c r="AL166" t="s">
        <v>92</v>
      </c>
      <c r="AM166" t="s">
        <v>93</v>
      </c>
      <c r="AN166" t="s">
        <v>94</v>
      </c>
      <c r="AO166" t="s">
        <v>3550</v>
      </c>
      <c r="AP166" t="s">
        <v>3551</v>
      </c>
      <c r="AQ166" t="s">
        <v>74</v>
      </c>
      <c r="AR166" t="s">
        <v>3552</v>
      </c>
      <c r="AS166" t="s">
        <v>3553</v>
      </c>
      <c r="AT166" t="s">
        <v>2170</v>
      </c>
      <c r="AU166">
        <v>2015</v>
      </c>
      <c r="AV166">
        <v>41</v>
      </c>
      <c r="AW166">
        <v>5</v>
      </c>
      <c r="AX166" t="s">
        <v>74</v>
      </c>
      <c r="AY166" t="s">
        <v>74</v>
      </c>
      <c r="AZ166" t="s">
        <v>74</v>
      </c>
      <c r="BA166" t="s">
        <v>74</v>
      </c>
      <c r="BB166">
        <v>1205</v>
      </c>
      <c r="BC166">
        <v>1220</v>
      </c>
      <c r="BD166" t="s">
        <v>74</v>
      </c>
      <c r="BE166" t="s">
        <v>3554</v>
      </c>
      <c r="BF166" t="str">
        <f>HYPERLINK("http://dx.doi.org/10.1007/s10695-015-0080-7","http://dx.doi.org/10.1007/s10695-015-0080-7")</f>
        <v>http://dx.doi.org/10.1007/s10695-015-0080-7</v>
      </c>
      <c r="BG166" t="s">
        <v>74</v>
      </c>
      <c r="BH166" t="s">
        <v>74</v>
      </c>
      <c r="BI166">
        <v>16</v>
      </c>
      <c r="BJ166" t="s">
        <v>3555</v>
      </c>
      <c r="BK166" t="s">
        <v>101</v>
      </c>
      <c r="BL166" t="s">
        <v>3555</v>
      </c>
      <c r="BM166" t="s">
        <v>3556</v>
      </c>
      <c r="BN166">
        <v>26031510</v>
      </c>
      <c r="BO166" t="s">
        <v>74</v>
      </c>
      <c r="BP166" t="s">
        <v>74</v>
      </c>
      <c r="BQ166" t="s">
        <v>74</v>
      </c>
      <c r="BR166" t="s">
        <v>103</v>
      </c>
      <c r="BS166" t="s">
        <v>3557</v>
      </c>
      <c r="BT166" t="str">
        <f>HYPERLINK("https%3A%2F%2Fwww.webofscience.com%2Fwos%2Fwoscc%2Ffull-record%2FWOS:000361539100010","View Full Record in Web of Science")</f>
        <v>View Full Record in Web of Science</v>
      </c>
    </row>
    <row r="167" spans="1:72" x14ac:dyDescent="0.15">
      <c r="A167" t="s">
        <v>72</v>
      </c>
      <c r="B167" t="s">
        <v>3558</v>
      </c>
      <c r="C167" t="s">
        <v>74</v>
      </c>
      <c r="D167" t="s">
        <v>74</v>
      </c>
      <c r="E167" t="s">
        <v>74</v>
      </c>
      <c r="F167" t="s">
        <v>3559</v>
      </c>
      <c r="G167" t="s">
        <v>74</v>
      </c>
      <c r="H167" t="s">
        <v>74</v>
      </c>
      <c r="I167" t="s">
        <v>3560</v>
      </c>
      <c r="J167" t="s">
        <v>3561</v>
      </c>
      <c r="K167" t="s">
        <v>74</v>
      </c>
      <c r="L167" t="s">
        <v>74</v>
      </c>
      <c r="M167" t="s">
        <v>78</v>
      </c>
      <c r="N167" t="s">
        <v>79</v>
      </c>
      <c r="O167" t="s">
        <v>74</v>
      </c>
      <c r="P167" t="s">
        <v>74</v>
      </c>
      <c r="Q167" t="s">
        <v>74</v>
      </c>
      <c r="R167" t="s">
        <v>74</v>
      </c>
      <c r="S167" t="s">
        <v>74</v>
      </c>
      <c r="T167" t="s">
        <v>3562</v>
      </c>
      <c r="U167" t="s">
        <v>3563</v>
      </c>
      <c r="V167" t="s">
        <v>3564</v>
      </c>
      <c r="W167" t="s">
        <v>3565</v>
      </c>
      <c r="X167" t="s">
        <v>3566</v>
      </c>
      <c r="Y167" t="s">
        <v>3567</v>
      </c>
      <c r="Z167" t="s">
        <v>3280</v>
      </c>
      <c r="AA167" t="s">
        <v>3568</v>
      </c>
      <c r="AB167" t="s">
        <v>3569</v>
      </c>
      <c r="AC167" t="s">
        <v>3570</v>
      </c>
      <c r="AD167" t="s">
        <v>3571</v>
      </c>
      <c r="AE167" t="s">
        <v>3572</v>
      </c>
      <c r="AF167" t="s">
        <v>74</v>
      </c>
      <c r="AG167">
        <v>104</v>
      </c>
      <c r="AH167">
        <v>6</v>
      </c>
      <c r="AI167">
        <v>8</v>
      </c>
      <c r="AJ167">
        <v>2</v>
      </c>
      <c r="AK167">
        <v>74</v>
      </c>
      <c r="AL167" t="s">
        <v>3146</v>
      </c>
      <c r="AM167" t="s">
        <v>3147</v>
      </c>
      <c r="AN167" t="s">
        <v>3148</v>
      </c>
      <c r="AO167" t="s">
        <v>3573</v>
      </c>
      <c r="AP167" t="s">
        <v>3574</v>
      </c>
      <c r="AQ167" t="s">
        <v>74</v>
      </c>
      <c r="AR167" t="s">
        <v>3575</v>
      </c>
      <c r="AS167" t="s">
        <v>3576</v>
      </c>
      <c r="AT167" t="s">
        <v>2170</v>
      </c>
      <c r="AU167">
        <v>2015</v>
      </c>
      <c r="AV167">
        <v>185</v>
      </c>
      <c r="AW167">
        <v>7</v>
      </c>
      <c r="AX167" t="s">
        <v>74</v>
      </c>
      <c r="AY167" t="s">
        <v>74</v>
      </c>
      <c r="AZ167" t="s">
        <v>74</v>
      </c>
      <c r="BA167" t="s">
        <v>74</v>
      </c>
      <c r="BB167">
        <v>811</v>
      </c>
      <c r="BC167">
        <v>824</v>
      </c>
      <c r="BD167" t="s">
        <v>74</v>
      </c>
      <c r="BE167" t="s">
        <v>3577</v>
      </c>
      <c r="BF167" t="str">
        <f>HYPERLINK("http://dx.doi.org/10.1007/s00360-015-0922-8","http://dx.doi.org/10.1007/s00360-015-0922-8")</f>
        <v>http://dx.doi.org/10.1007/s00360-015-0922-8</v>
      </c>
      <c r="BG167" t="s">
        <v>74</v>
      </c>
      <c r="BH167" t="s">
        <v>74</v>
      </c>
      <c r="BI167">
        <v>14</v>
      </c>
      <c r="BJ167" t="s">
        <v>3578</v>
      </c>
      <c r="BK167" t="s">
        <v>101</v>
      </c>
      <c r="BL167" t="s">
        <v>3578</v>
      </c>
      <c r="BM167" t="s">
        <v>3579</v>
      </c>
      <c r="BN167">
        <v>26164426</v>
      </c>
      <c r="BO167" t="s">
        <v>1213</v>
      </c>
      <c r="BP167" t="s">
        <v>74</v>
      </c>
      <c r="BQ167" t="s">
        <v>74</v>
      </c>
      <c r="BR167" t="s">
        <v>103</v>
      </c>
      <c r="BS167" t="s">
        <v>3580</v>
      </c>
      <c r="BT167" t="str">
        <f>HYPERLINK("https%3A%2F%2Fwww.webofscience.com%2Fwos%2Fwoscc%2Ffull-record%2FWOS:000361471600008","View Full Record in Web of Science")</f>
        <v>View Full Record in Web of Science</v>
      </c>
    </row>
    <row r="168" spans="1:72" x14ac:dyDescent="0.15">
      <c r="A168" t="s">
        <v>72</v>
      </c>
      <c r="B168" t="s">
        <v>3581</v>
      </c>
      <c r="C168" t="s">
        <v>74</v>
      </c>
      <c r="D168" t="s">
        <v>74</v>
      </c>
      <c r="E168" t="s">
        <v>74</v>
      </c>
      <c r="F168" t="s">
        <v>3582</v>
      </c>
      <c r="G168" t="s">
        <v>74</v>
      </c>
      <c r="H168" t="s">
        <v>74</v>
      </c>
      <c r="I168" t="s">
        <v>3583</v>
      </c>
      <c r="J168" t="s">
        <v>3584</v>
      </c>
      <c r="K168" t="s">
        <v>74</v>
      </c>
      <c r="L168" t="s">
        <v>74</v>
      </c>
      <c r="M168" t="s">
        <v>78</v>
      </c>
      <c r="N168" t="s">
        <v>79</v>
      </c>
      <c r="O168" t="s">
        <v>74</v>
      </c>
      <c r="P168" t="s">
        <v>74</v>
      </c>
      <c r="Q168" t="s">
        <v>74</v>
      </c>
      <c r="R168" t="s">
        <v>74</v>
      </c>
      <c r="S168" t="s">
        <v>74</v>
      </c>
      <c r="T168" t="s">
        <v>3585</v>
      </c>
      <c r="U168" t="s">
        <v>3586</v>
      </c>
      <c r="V168" t="s">
        <v>3587</v>
      </c>
      <c r="W168" t="s">
        <v>3588</v>
      </c>
      <c r="X168" t="s">
        <v>3589</v>
      </c>
      <c r="Y168" t="s">
        <v>3590</v>
      </c>
      <c r="Z168" t="s">
        <v>74</v>
      </c>
      <c r="AA168" t="s">
        <v>3591</v>
      </c>
      <c r="AB168" t="s">
        <v>3592</v>
      </c>
      <c r="AC168" t="s">
        <v>3593</v>
      </c>
      <c r="AD168" t="s">
        <v>3594</v>
      </c>
      <c r="AE168" t="s">
        <v>3595</v>
      </c>
      <c r="AF168" t="s">
        <v>74</v>
      </c>
      <c r="AG168">
        <v>51</v>
      </c>
      <c r="AH168">
        <v>20</v>
      </c>
      <c r="AI168">
        <v>26</v>
      </c>
      <c r="AJ168">
        <v>0</v>
      </c>
      <c r="AK168">
        <v>24</v>
      </c>
      <c r="AL168" t="s">
        <v>741</v>
      </c>
      <c r="AM168" t="s">
        <v>550</v>
      </c>
      <c r="AN168" t="s">
        <v>742</v>
      </c>
      <c r="AO168" t="s">
        <v>3596</v>
      </c>
      <c r="AP168" t="s">
        <v>3597</v>
      </c>
      <c r="AQ168" t="s">
        <v>74</v>
      </c>
      <c r="AR168" t="s">
        <v>3598</v>
      </c>
      <c r="AS168" t="s">
        <v>3599</v>
      </c>
      <c r="AT168" t="s">
        <v>2170</v>
      </c>
      <c r="AU168">
        <v>2015</v>
      </c>
      <c r="AV168">
        <v>781</v>
      </c>
      <c r="AW168" t="s">
        <v>74</v>
      </c>
      <c r="AX168" t="s">
        <v>74</v>
      </c>
      <c r="AY168" t="s">
        <v>74</v>
      </c>
      <c r="AZ168" t="s">
        <v>74</v>
      </c>
      <c r="BA168" t="s">
        <v>74</v>
      </c>
      <c r="BB168">
        <v>353</v>
      </c>
      <c r="BC168">
        <v>387</v>
      </c>
      <c r="BD168" t="s">
        <v>74</v>
      </c>
      <c r="BE168" t="s">
        <v>3600</v>
      </c>
      <c r="BF168" t="str">
        <f>HYPERLINK("http://dx.doi.org/10.1017/jfm.2015.503","http://dx.doi.org/10.1017/jfm.2015.503")</f>
        <v>http://dx.doi.org/10.1017/jfm.2015.503</v>
      </c>
      <c r="BG168" t="s">
        <v>74</v>
      </c>
      <c r="BH168" t="s">
        <v>74</v>
      </c>
      <c r="BI168">
        <v>35</v>
      </c>
      <c r="BJ168" t="s">
        <v>3601</v>
      </c>
      <c r="BK168" t="s">
        <v>101</v>
      </c>
      <c r="BL168" t="s">
        <v>3602</v>
      </c>
      <c r="BM168" t="s">
        <v>3603</v>
      </c>
      <c r="BN168" t="s">
        <v>74</v>
      </c>
      <c r="BO168" t="s">
        <v>74</v>
      </c>
      <c r="BP168" t="s">
        <v>74</v>
      </c>
      <c r="BQ168" t="s">
        <v>74</v>
      </c>
      <c r="BR168" t="s">
        <v>103</v>
      </c>
      <c r="BS168" t="s">
        <v>3604</v>
      </c>
      <c r="BT168" t="str">
        <f>HYPERLINK("https%3A%2F%2Fwww.webofscience.com%2Fwos%2Fwoscc%2Ffull-record%2FWOS:000361479600020","View Full Record in Web of Science")</f>
        <v>View Full Record in Web of Science</v>
      </c>
    </row>
    <row r="169" spans="1:72" x14ac:dyDescent="0.15">
      <c r="A169" t="s">
        <v>72</v>
      </c>
      <c r="B169" t="s">
        <v>3605</v>
      </c>
      <c r="C169" t="s">
        <v>74</v>
      </c>
      <c r="D169" t="s">
        <v>74</v>
      </c>
      <c r="E169" t="s">
        <v>74</v>
      </c>
      <c r="F169" t="s">
        <v>3606</v>
      </c>
      <c r="G169" t="s">
        <v>74</v>
      </c>
      <c r="H169" t="s">
        <v>74</v>
      </c>
      <c r="I169" t="s">
        <v>3607</v>
      </c>
      <c r="J169" t="s">
        <v>3608</v>
      </c>
      <c r="K169" t="s">
        <v>74</v>
      </c>
      <c r="L169" t="s">
        <v>74</v>
      </c>
      <c r="M169" t="s">
        <v>78</v>
      </c>
      <c r="N169" t="s">
        <v>79</v>
      </c>
      <c r="O169" t="s">
        <v>74</v>
      </c>
      <c r="P169" t="s">
        <v>74</v>
      </c>
      <c r="Q169" t="s">
        <v>74</v>
      </c>
      <c r="R169" t="s">
        <v>74</v>
      </c>
      <c r="S169" t="s">
        <v>74</v>
      </c>
      <c r="T169" t="s">
        <v>3609</v>
      </c>
      <c r="U169" t="s">
        <v>3610</v>
      </c>
      <c r="V169" t="s">
        <v>3611</v>
      </c>
      <c r="W169" t="s">
        <v>3612</v>
      </c>
      <c r="X169" t="s">
        <v>3613</v>
      </c>
      <c r="Y169" t="s">
        <v>3614</v>
      </c>
      <c r="Z169" t="s">
        <v>3615</v>
      </c>
      <c r="AA169" t="s">
        <v>3616</v>
      </c>
      <c r="AB169" t="s">
        <v>3617</v>
      </c>
      <c r="AC169" t="s">
        <v>3618</v>
      </c>
      <c r="AD169" t="s">
        <v>3619</v>
      </c>
      <c r="AE169" t="s">
        <v>3620</v>
      </c>
      <c r="AF169" t="s">
        <v>74</v>
      </c>
      <c r="AG169">
        <v>56</v>
      </c>
      <c r="AH169">
        <v>12</v>
      </c>
      <c r="AI169">
        <v>12</v>
      </c>
      <c r="AJ169">
        <v>0</v>
      </c>
      <c r="AK169">
        <v>53</v>
      </c>
      <c r="AL169" t="s">
        <v>1974</v>
      </c>
      <c r="AM169" t="s">
        <v>180</v>
      </c>
      <c r="AN169" t="s">
        <v>1975</v>
      </c>
      <c r="AO169" t="s">
        <v>3621</v>
      </c>
      <c r="AP169" t="s">
        <v>3622</v>
      </c>
      <c r="AQ169" t="s">
        <v>74</v>
      </c>
      <c r="AR169" t="s">
        <v>3623</v>
      </c>
      <c r="AS169" t="s">
        <v>3624</v>
      </c>
      <c r="AT169" t="s">
        <v>2170</v>
      </c>
      <c r="AU169">
        <v>2015</v>
      </c>
      <c r="AV169">
        <v>108</v>
      </c>
      <c r="AW169" t="s">
        <v>74</v>
      </c>
      <c r="AX169" t="s">
        <v>74</v>
      </c>
      <c r="AY169" t="s">
        <v>74</v>
      </c>
      <c r="AZ169" t="s">
        <v>74</v>
      </c>
      <c r="BA169" t="s">
        <v>74</v>
      </c>
      <c r="BB169">
        <v>9</v>
      </c>
      <c r="BC169">
        <v>16</v>
      </c>
      <c r="BD169" t="s">
        <v>74</v>
      </c>
      <c r="BE169" t="s">
        <v>3625</v>
      </c>
      <c r="BF169" t="str">
        <f>HYPERLINK("http://dx.doi.org/10.1016/j.anbehav.2015.06.025","http://dx.doi.org/10.1016/j.anbehav.2015.06.025")</f>
        <v>http://dx.doi.org/10.1016/j.anbehav.2015.06.025</v>
      </c>
      <c r="BG169" t="s">
        <v>74</v>
      </c>
      <c r="BH169" t="s">
        <v>74</v>
      </c>
      <c r="BI169">
        <v>8</v>
      </c>
      <c r="BJ169" t="s">
        <v>3626</v>
      </c>
      <c r="BK169" t="s">
        <v>101</v>
      </c>
      <c r="BL169" t="s">
        <v>3626</v>
      </c>
      <c r="BM169" t="s">
        <v>3627</v>
      </c>
      <c r="BN169" t="s">
        <v>74</v>
      </c>
      <c r="BO169" t="s">
        <v>74</v>
      </c>
      <c r="BP169" t="s">
        <v>74</v>
      </c>
      <c r="BQ169" t="s">
        <v>74</v>
      </c>
      <c r="BR169" t="s">
        <v>103</v>
      </c>
      <c r="BS169" t="s">
        <v>3628</v>
      </c>
      <c r="BT169" t="str">
        <f>HYPERLINK("https%3A%2F%2Fwww.webofscience.com%2Fwos%2Fwoscc%2Ffull-record%2FWOS:000361570000003","View Full Record in Web of Science")</f>
        <v>View Full Record in Web of Science</v>
      </c>
    </row>
    <row r="170" spans="1:72" x14ac:dyDescent="0.15">
      <c r="A170" t="s">
        <v>72</v>
      </c>
      <c r="B170" t="s">
        <v>3629</v>
      </c>
      <c r="C170" t="s">
        <v>74</v>
      </c>
      <c r="D170" t="s">
        <v>74</v>
      </c>
      <c r="E170" t="s">
        <v>74</v>
      </c>
      <c r="F170" t="s">
        <v>3630</v>
      </c>
      <c r="G170" t="s">
        <v>74</v>
      </c>
      <c r="H170" t="s">
        <v>74</v>
      </c>
      <c r="I170" t="s">
        <v>3631</v>
      </c>
      <c r="J170" t="s">
        <v>2691</v>
      </c>
      <c r="K170" t="s">
        <v>74</v>
      </c>
      <c r="L170" t="s">
        <v>74</v>
      </c>
      <c r="M170" t="s">
        <v>78</v>
      </c>
      <c r="N170" t="s">
        <v>754</v>
      </c>
      <c r="O170" t="s">
        <v>74</v>
      </c>
      <c r="P170" t="s">
        <v>74</v>
      </c>
      <c r="Q170" t="s">
        <v>74</v>
      </c>
      <c r="R170" t="s">
        <v>74</v>
      </c>
      <c r="S170" t="s">
        <v>74</v>
      </c>
      <c r="T170" t="s">
        <v>74</v>
      </c>
      <c r="U170" t="s">
        <v>74</v>
      </c>
      <c r="V170" t="s">
        <v>74</v>
      </c>
      <c r="W170" t="s">
        <v>74</v>
      </c>
      <c r="X170" t="s">
        <v>74</v>
      </c>
      <c r="Y170" t="s">
        <v>74</v>
      </c>
      <c r="Z170" t="s">
        <v>74</v>
      </c>
      <c r="AA170" t="s">
        <v>74</v>
      </c>
      <c r="AB170" t="s">
        <v>74</v>
      </c>
      <c r="AC170" t="s">
        <v>74</v>
      </c>
      <c r="AD170" t="s">
        <v>74</v>
      </c>
      <c r="AE170" t="s">
        <v>74</v>
      </c>
      <c r="AF170" t="s">
        <v>74</v>
      </c>
      <c r="AG170">
        <v>0</v>
      </c>
      <c r="AH170">
        <v>0</v>
      </c>
      <c r="AI170">
        <v>0</v>
      </c>
      <c r="AJ170">
        <v>0</v>
      </c>
      <c r="AK170">
        <v>5</v>
      </c>
      <c r="AL170" t="s">
        <v>741</v>
      </c>
      <c r="AM170" t="s">
        <v>550</v>
      </c>
      <c r="AN170" t="s">
        <v>742</v>
      </c>
      <c r="AO170" t="s">
        <v>2704</v>
      </c>
      <c r="AP170" t="s">
        <v>2705</v>
      </c>
      <c r="AQ170" t="s">
        <v>74</v>
      </c>
      <c r="AR170" t="s">
        <v>2706</v>
      </c>
      <c r="AS170" t="s">
        <v>2707</v>
      </c>
      <c r="AT170" t="s">
        <v>2170</v>
      </c>
      <c r="AU170">
        <v>2015</v>
      </c>
      <c r="AV170">
        <v>27</v>
      </c>
      <c r="AW170">
        <v>5</v>
      </c>
      <c r="AX170" t="s">
        <v>74</v>
      </c>
      <c r="AY170" t="s">
        <v>74</v>
      </c>
      <c r="AZ170" t="s">
        <v>74</v>
      </c>
      <c r="BA170" t="s">
        <v>74</v>
      </c>
      <c r="BB170">
        <v>419</v>
      </c>
      <c r="BC170">
        <v>419</v>
      </c>
      <c r="BD170" t="s">
        <v>74</v>
      </c>
      <c r="BE170" t="s">
        <v>3632</v>
      </c>
      <c r="BF170" t="str">
        <f>HYPERLINK("http://dx.doi.org/10.1017/S0954102015000358","http://dx.doi.org/10.1017/S0954102015000358")</f>
        <v>http://dx.doi.org/10.1017/S0954102015000358</v>
      </c>
      <c r="BG170" t="s">
        <v>74</v>
      </c>
      <c r="BH170" t="s">
        <v>74</v>
      </c>
      <c r="BI170">
        <v>1</v>
      </c>
      <c r="BJ170" t="s">
        <v>2709</v>
      </c>
      <c r="BK170" t="s">
        <v>101</v>
      </c>
      <c r="BL170" t="s">
        <v>2710</v>
      </c>
      <c r="BM170" t="s">
        <v>2711</v>
      </c>
      <c r="BN170" t="s">
        <v>74</v>
      </c>
      <c r="BO170" t="s">
        <v>162</v>
      </c>
      <c r="BP170" t="s">
        <v>74</v>
      </c>
      <c r="BQ170" t="s">
        <v>74</v>
      </c>
      <c r="BR170" t="s">
        <v>103</v>
      </c>
      <c r="BS170" t="s">
        <v>3633</v>
      </c>
      <c r="BT170" t="str">
        <f>HYPERLINK("https%3A%2F%2Fwww.webofscience.com%2Fwos%2Fwoscc%2Ffull-record%2FWOS:000363942300001","View Full Record in Web of Science")</f>
        <v>View Full Record in Web of Science</v>
      </c>
    </row>
    <row r="171" spans="1:72" x14ac:dyDescent="0.15">
      <c r="A171" t="s">
        <v>72</v>
      </c>
      <c r="B171" t="s">
        <v>3634</v>
      </c>
      <c r="C171" t="s">
        <v>74</v>
      </c>
      <c r="D171" t="s">
        <v>74</v>
      </c>
      <c r="E171" t="s">
        <v>74</v>
      </c>
      <c r="F171" t="s">
        <v>3635</v>
      </c>
      <c r="G171" t="s">
        <v>74</v>
      </c>
      <c r="H171" t="s">
        <v>74</v>
      </c>
      <c r="I171" t="s">
        <v>3636</v>
      </c>
      <c r="J171" t="s">
        <v>2691</v>
      </c>
      <c r="K171" t="s">
        <v>74</v>
      </c>
      <c r="L171" t="s">
        <v>74</v>
      </c>
      <c r="M171" t="s">
        <v>78</v>
      </c>
      <c r="N171" t="s">
        <v>79</v>
      </c>
      <c r="O171" t="s">
        <v>74</v>
      </c>
      <c r="P171" t="s">
        <v>74</v>
      </c>
      <c r="Q171" t="s">
        <v>74</v>
      </c>
      <c r="R171" t="s">
        <v>74</v>
      </c>
      <c r="S171" t="s">
        <v>74</v>
      </c>
      <c r="T171" t="s">
        <v>3637</v>
      </c>
      <c r="U171" t="s">
        <v>3638</v>
      </c>
      <c r="V171" t="s">
        <v>3639</v>
      </c>
      <c r="W171" t="s">
        <v>3640</v>
      </c>
      <c r="X171" t="s">
        <v>3641</v>
      </c>
      <c r="Y171" t="s">
        <v>3642</v>
      </c>
      <c r="Z171" t="s">
        <v>3643</v>
      </c>
      <c r="AA171" t="s">
        <v>3644</v>
      </c>
      <c r="AB171" t="s">
        <v>3645</v>
      </c>
      <c r="AC171" t="s">
        <v>3646</v>
      </c>
      <c r="AD171" t="s">
        <v>3647</v>
      </c>
      <c r="AE171" t="s">
        <v>3648</v>
      </c>
      <c r="AF171" t="s">
        <v>74</v>
      </c>
      <c r="AG171">
        <v>33</v>
      </c>
      <c r="AH171">
        <v>31</v>
      </c>
      <c r="AI171">
        <v>31</v>
      </c>
      <c r="AJ171">
        <v>0</v>
      </c>
      <c r="AK171">
        <v>15</v>
      </c>
      <c r="AL171" t="s">
        <v>741</v>
      </c>
      <c r="AM171" t="s">
        <v>550</v>
      </c>
      <c r="AN171" t="s">
        <v>742</v>
      </c>
      <c r="AO171" t="s">
        <v>2704</v>
      </c>
      <c r="AP171" t="s">
        <v>2705</v>
      </c>
      <c r="AQ171" t="s">
        <v>74</v>
      </c>
      <c r="AR171" t="s">
        <v>2706</v>
      </c>
      <c r="AS171" t="s">
        <v>2707</v>
      </c>
      <c r="AT171" t="s">
        <v>2170</v>
      </c>
      <c r="AU171">
        <v>2015</v>
      </c>
      <c r="AV171">
        <v>27</v>
      </c>
      <c r="AW171">
        <v>5</v>
      </c>
      <c r="AX171" t="s">
        <v>74</v>
      </c>
      <c r="AY171" t="s">
        <v>74</v>
      </c>
      <c r="AZ171" t="s">
        <v>74</v>
      </c>
      <c r="BA171" t="s">
        <v>74</v>
      </c>
      <c r="BB171">
        <v>500</v>
      </c>
      <c r="BC171">
        <v>510</v>
      </c>
      <c r="BD171" t="s">
        <v>74</v>
      </c>
      <c r="BE171" t="s">
        <v>3649</v>
      </c>
      <c r="BF171" t="str">
        <f>HYPERLINK("http://dx.doi.org/10.1017/S0954102015000188","http://dx.doi.org/10.1017/S0954102015000188")</f>
        <v>http://dx.doi.org/10.1017/S0954102015000188</v>
      </c>
      <c r="BG171" t="s">
        <v>74</v>
      </c>
      <c r="BH171" t="s">
        <v>74</v>
      </c>
      <c r="BI171">
        <v>11</v>
      </c>
      <c r="BJ171" t="s">
        <v>2709</v>
      </c>
      <c r="BK171" t="s">
        <v>101</v>
      </c>
      <c r="BL171" t="s">
        <v>2710</v>
      </c>
      <c r="BM171" t="s">
        <v>2711</v>
      </c>
      <c r="BN171" t="s">
        <v>74</v>
      </c>
      <c r="BO171" t="s">
        <v>74</v>
      </c>
      <c r="BP171" t="s">
        <v>74</v>
      </c>
      <c r="BQ171" t="s">
        <v>74</v>
      </c>
      <c r="BR171" t="s">
        <v>103</v>
      </c>
      <c r="BS171" t="s">
        <v>3650</v>
      </c>
      <c r="BT171" t="str">
        <f>HYPERLINK("https%3A%2F%2Fwww.webofscience.com%2Fwos%2Fwoscc%2Ffull-record%2FWOS:000363942300009","View Full Record in Web of Science")</f>
        <v>View Full Record in Web of Science</v>
      </c>
    </row>
    <row r="172" spans="1:72" x14ac:dyDescent="0.15">
      <c r="A172" t="s">
        <v>72</v>
      </c>
      <c r="B172" t="s">
        <v>3651</v>
      </c>
      <c r="C172" t="s">
        <v>74</v>
      </c>
      <c r="D172" t="s">
        <v>74</v>
      </c>
      <c r="E172" t="s">
        <v>74</v>
      </c>
      <c r="F172" t="s">
        <v>3652</v>
      </c>
      <c r="G172" t="s">
        <v>74</v>
      </c>
      <c r="H172" t="s">
        <v>74</v>
      </c>
      <c r="I172" t="s">
        <v>3653</v>
      </c>
      <c r="J172" t="s">
        <v>3654</v>
      </c>
      <c r="K172" t="s">
        <v>74</v>
      </c>
      <c r="L172" t="s">
        <v>74</v>
      </c>
      <c r="M172" t="s">
        <v>78</v>
      </c>
      <c r="N172" t="s">
        <v>79</v>
      </c>
      <c r="O172" t="s">
        <v>74</v>
      </c>
      <c r="P172" t="s">
        <v>74</v>
      </c>
      <c r="Q172" t="s">
        <v>74</v>
      </c>
      <c r="R172" t="s">
        <v>74</v>
      </c>
      <c r="S172" t="s">
        <v>74</v>
      </c>
      <c r="T172" t="s">
        <v>3655</v>
      </c>
      <c r="U172" t="s">
        <v>3656</v>
      </c>
      <c r="V172" t="s">
        <v>3657</v>
      </c>
      <c r="W172" t="s">
        <v>3658</v>
      </c>
      <c r="X172" t="s">
        <v>3659</v>
      </c>
      <c r="Y172" t="s">
        <v>3660</v>
      </c>
      <c r="Z172" t="s">
        <v>3661</v>
      </c>
      <c r="AA172" t="s">
        <v>3662</v>
      </c>
      <c r="AB172" t="s">
        <v>3663</v>
      </c>
      <c r="AC172" t="s">
        <v>3664</v>
      </c>
      <c r="AD172" t="s">
        <v>3665</v>
      </c>
      <c r="AE172" t="s">
        <v>3666</v>
      </c>
      <c r="AF172" t="s">
        <v>74</v>
      </c>
      <c r="AG172">
        <v>46</v>
      </c>
      <c r="AH172">
        <v>45</v>
      </c>
      <c r="AI172">
        <v>53</v>
      </c>
      <c r="AJ172">
        <v>0</v>
      </c>
      <c r="AK172">
        <v>11</v>
      </c>
      <c r="AL172" t="s">
        <v>925</v>
      </c>
      <c r="AM172" t="s">
        <v>884</v>
      </c>
      <c r="AN172" t="s">
        <v>926</v>
      </c>
      <c r="AO172" t="s">
        <v>3667</v>
      </c>
      <c r="AP172" t="s">
        <v>3668</v>
      </c>
      <c r="AQ172" t="s">
        <v>74</v>
      </c>
      <c r="AR172" t="s">
        <v>3669</v>
      </c>
      <c r="AS172" t="s">
        <v>3670</v>
      </c>
      <c r="AT172" t="s">
        <v>2170</v>
      </c>
      <c r="AU172">
        <v>2015</v>
      </c>
      <c r="AV172">
        <v>70</v>
      </c>
      <c r="AW172" t="s">
        <v>74</v>
      </c>
      <c r="AX172" t="s">
        <v>74</v>
      </c>
      <c r="AY172" t="s">
        <v>74</v>
      </c>
      <c r="AZ172" t="s">
        <v>74</v>
      </c>
      <c r="BA172" t="s">
        <v>74</v>
      </c>
      <c r="BB172">
        <v>62</v>
      </c>
      <c r="BC172">
        <v>80</v>
      </c>
      <c r="BD172" t="s">
        <v>74</v>
      </c>
      <c r="BE172" t="s">
        <v>3671</v>
      </c>
      <c r="BF172" t="str">
        <f>HYPERLINK("http://dx.doi.org/10.1016/j.astropartphys.2015.04.006","http://dx.doi.org/10.1016/j.astropartphys.2015.04.006")</f>
        <v>http://dx.doi.org/10.1016/j.astropartphys.2015.04.006</v>
      </c>
      <c r="BG172" t="s">
        <v>74</v>
      </c>
      <c r="BH172" t="s">
        <v>74</v>
      </c>
      <c r="BI172">
        <v>19</v>
      </c>
      <c r="BJ172" t="s">
        <v>3672</v>
      </c>
      <c r="BK172" t="s">
        <v>101</v>
      </c>
      <c r="BL172" t="s">
        <v>3673</v>
      </c>
      <c r="BM172" t="s">
        <v>3674</v>
      </c>
      <c r="BN172" t="s">
        <v>74</v>
      </c>
      <c r="BO172" t="s">
        <v>559</v>
      </c>
      <c r="BP172" t="s">
        <v>74</v>
      </c>
      <c r="BQ172" t="s">
        <v>74</v>
      </c>
      <c r="BR172" t="s">
        <v>103</v>
      </c>
      <c r="BS172" t="s">
        <v>3675</v>
      </c>
      <c r="BT172" t="str">
        <f>HYPERLINK("https%3A%2F%2Fwww.webofscience.com%2Fwos%2Fwoscc%2Ffull-record%2FWOS:000356755400007","View Full Record in Web of Science")</f>
        <v>View Full Record in Web of Science</v>
      </c>
    </row>
    <row r="173" spans="1:72" x14ac:dyDescent="0.15">
      <c r="A173" t="s">
        <v>72</v>
      </c>
      <c r="B173" t="s">
        <v>3676</v>
      </c>
      <c r="C173" t="s">
        <v>74</v>
      </c>
      <c r="D173" t="s">
        <v>74</v>
      </c>
      <c r="E173" t="s">
        <v>74</v>
      </c>
      <c r="F173" t="s">
        <v>3677</v>
      </c>
      <c r="G173" t="s">
        <v>74</v>
      </c>
      <c r="H173" t="s">
        <v>74</v>
      </c>
      <c r="I173" t="s">
        <v>3678</v>
      </c>
      <c r="J173" t="s">
        <v>3679</v>
      </c>
      <c r="K173" t="s">
        <v>74</v>
      </c>
      <c r="L173" t="s">
        <v>74</v>
      </c>
      <c r="M173" t="s">
        <v>78</v>
      </c>
      <c r="N173" t="s">
        <v>79</v>
      </c>
      <c r="O173" t="s">
        <v>74</v>
      </c>
      <c r="P173" t="s">
        <v>74</v>
      </c>
      <c r="Q173" t="s">
        <v>74</v>
      </c>
      <c r="R173" t="s">
        <v>74</v>
      </c>
      <c r="S173" t="s">
        <v>74</v>
      </c>
      <c r="T173" t="s">
        <v>3680</v>
      </c>
      <c r="U173" t="s">
        <v>3681</v>
      </c>
      <c r="V173" t="s">
        <v>3682</v>
      </c>
      <c r="W173" t="s">
        <v>3683</v>
      </c>
      <c r="X173" t="s">
        <v>3684</v>
      </c>
      <c r="Y173" t="s">
        <v>3685</v>
      </c>
      <c r="Z173" t="s">
        <v>3686</v>
      </c>
      <c r="AA173" t="s">
        <v>3687</v>
      </c>
      <c r="AB173" t="s">
        <v>3688</v>
      </c>
      <c r="AC173" t="s">
        <v>3689</v>
      </c>
      <c r="AD173" t="s">
        <v>3690</v>
      </c>
      <c r="AE173" t="s">
        <v>3691</v>
      </c>
      <c r="AF173" t="s">
        <v>74</v>
      </c>
      <c r="AG173">
        <v>49</v>
      </c>
      <c r="AH173">
        <v>42</v>
      </c>
      <c r="AI173">
        <v>46</v>
      </c>
      <c r="AJ173">
        <v>11</v>
      </c>
      <c r="AK173">
        <v>129</v>
      </c>
      <c r="AL173" t="s">
        <v>397</v>
      </c>
      <c r="AM173" t="s">
        <v>398</v>
      </c>
      <c r="AN173" t="s">
        <v>399</v>
      </c>
      <c r="AO173" t="s">
        <v>3692</v>
      </c>
      <c r="AP173" t="s">
        <v>3693</v>
      </c>
      <c r="AQ173" t="s">
        <v>74</v>
      </c>
      <c r="AR173" t="s">
        <v>3694</v>
      </c>
      <c r="AS173" t="s">
        <v>3695</v>
      </c>
      <c r="AT173" t="s">
        <v>2170</v>
      </c>
      <c r="AU173">
        <v>2015</v>
      </c>
      <c r="AV173">
        <v>118</v>
      </c>
      <c r="AW173" t="s">
        <v>74</v>
      </c>
      <c r="AX173" t="s">
        <v>74</v>
      </c>
      <c r="AY173" t="s">
        <v>74</v>
      </c>
      <c r="AZ173" t="s">
        <v>74</v>
      </c>
      <c r="BA173" t="s">
        <v>74</v>
      </c>
      <c r="BB173">
        <v>135</v>
      </c>
      <c r="BC173">
        <v>144</v>
      </c>
      <c r="BD173" t="s">
        <v>74</v>
      </c>
      <c r="BE173" t="s">
        <v>3696</v>
      </c>
      <c r="BF173" t="str">
        <f>HYPERLINK("http://dx.doi.org/10.1016/j.atmosenv.2015.07.047","http://dx.doi.org/10.1016/j.atmosenv.2015.07.047")</f>
        <v>http://dx.doi.org/10.1016/j.atmosenv.2015.07.047</v>
      </c>
      <c r="BG173" t="s">
        <v>74</v>
      </c>
      <c r="BH173" t="s">
        <v>74</v>
      </c>
      <c r="BI173">
        <v>10</v>
      </c>
      <c r="BJ173" t="s">
        <v>1837</v>
      </c>
      <c r="BK173" t="s">
        <v>101</v>
      </c>
      <c r="BL173" t="s">
        <v>1838</v>
      </c>
      <c r="BM173" t="s">
        <v>3697</v>
      </c>
      <c r="BN173" t="s">
        <v>74</v>
      </c>
      <c r="BO173" t="s">
        <v>559</v>
      </c>
      <c r="BP173" t="s">
        <v>74</v>
      </c>
      <c r="BQ173" t="s">
        <v>74</v>
      </c>
      <c r="BR173" t="s">
        <v>103</v>
      </c>
      <c r="BS173" t="s">
        <v>3698</v>
      </c>
      <c r="BT173" t="str">
        <f>HYPERLINK("https%3A%2F%2Fwww.webofscience.com%2Fwos%2Fwoscc%2Ffull-record%2FWOS:000361409900013","View Full Record in Web of Science")</f>
        <v>View Full Record in Web of Science</v>
      </c>
    </row>
    <row r="174" spans="1:72" x14ac:dyDescent="0.15">
      <c r="A174" t="s">
        <v>72</v>
      </c>
      <c r="B174" t="s">
        <v>3699</v>
      </c>
      <c r="C174" t="s">
        <v>74</v>
      </c>
      <c r="D174" t="s">
        <v>74</v>
      </c>
      <c r="E174" t="s">
        <v>74</v>
      </c>
      <c r="F174" t="s">
        <v>3700</v>
      </c>
      <c r="G174" t="s">
        <v>74</v>
      </c>
      <c r="H174" t="s">
        <v>74</v>
      </c>
      <c r="I174" t="s">
        <v>3701</v>
      </c>
      <c r="J174" t="s">
        <v>3702</v>
      </c>
      <c r="K174" t="s">
        <v>74</v>
      </c>
      <c r="L174" t="s">
        <v>74</v>
      </c>
      <c r="M174" t="s">
        <v>78</v>
      </c>
      <c r="N174" t="s">
        <v>79</v>
      </c>
      <c r="O174" t="s">
        <v>74</v>
      </c>
      <c r="P174" t="s">
        <v>74</v>
      </c>
      <c r="Q174" t="s">
        <v>74</v>
      </c>
      <c r="R174" t="s">
        <v>74</v>
      </c>
      <c r="S174" t="s">
        <v>74</v>
      </c>
      <c r="T174" t="s">
        <v>3703</v>
      </c>
      <c r="U174" t="s">
        <v>3704</v>
      </c>
      <c r="V174" t="s">
        <v>3705</v>
      </c>
      <c r="W174" t="s">
        <v>3706</v>
      </c>
      <c r="X174" t="s">
        <v>3707</v>
      </c>
      <c r="Y174" t="s">
        <v>3708</v>
      </c>
      <c r="Z174" t="s">
        <v>3709</v>
      </c>
      <c r="AA174" t="s">
        <v>3710</v>
      </c>
      <c r="AB174" t="s">
        <v>3711</v>
      </c>
      <c r="AC174" t="s">
        <v>3712</v>
      </c>
      <c r="AD174" t="s">
        <v>3713</v>
      </c>
      <c r="AE174" t="s">
        <v>3714</v>
      </c>
      <c r="AF174" t="s">
        <v>74</v>
      </c>
      <c r="AG174">
        <v>15</v>
      </c>
      <c r="AH174">
        <v>11</v>
      </c>
      <c r="AI174">
        <v>12</v>
      </c>
      <c r="AJ174">
        <v>0</v>
      </c>
      <c r="AK174">
        <v>18</v>
      </c>
      <c r="AL174" t="s">
        <v>236</v>
      </c>
      <c r="AM174" t="s">
        <v>209</v>
      </c>
      <c r="AN174" t="s">
        <v>210</v>
      </c>
      <c r="AO174" t="s">
        <v>3715</v>
      </c>
      <c r="AP174" t="s">
        <v>74</v>
      </c>
      <c r="AQ174" t="s">
        <v>74</v>
      </c>
      <c r="AR174" t="s">
        <v>3716</v>
      </c>
      <c r="AS174" t="s">
        <v>3717</v>
      </c>
      <c r="AT174" t="s">
        <v>2196</v>
      </c>
      <c r="AU174">
        <v>2015</v>
      </c>
      <c r="AV174">
        <v>16</v>
      </c>
      <c r="AW174">
        <v>4</v>
      </c>
      <c r="AX174" t="s">
        <v>74</v>
      </c>
      <c r="AY174" t="s">
        <v>74</v>
      </c>
      <c r="AZ174" t="s">
        <v>74</v>
      </c>
      <c r="BA174" t="s">
        <v>74</v>
      </c>
      <c r="BB174">
        <v>445</v>
      </c>
      <c r="BC174">
        <v>452</v>
      </c>
      <c r="BD174" t="s">
        <v>74</v>
      </c>
      <c r="BE174" t="s">
        <v>3718</v>
      </c>
      <c r="BF174" t="str">
        <f>HYPERLINK("http://dx.doi.org/10.1002/asl.580","http://dx.doi.org/10.1002/asl.580")</f>
        <v>http://dx.doi.org/10.1002/asl.580</v>
      </c>
      <c r="BG174" t="s">
        <v>74</v>
      </c>
      <c r="BH174" t="s">
        <v>74</v>
      </c>
      <c r="BI174">
        <v>8</v>
      </c>
      <c r="BJ174" t="s">
        <v>3719</v>
      </c>
      <c r="BK174" t="s">
        <v>101</v>
      </c>
      <c r="BL174" t="s">
        <v>3719</v>
      </c>
      <c r="BM174" t="s">
        <v>3720</v>
      </c>
      <c r="BN174" t="s">
        <v>74</v>
      </c>
      <c r="BO174" t="s">
        <v>3721</v>
      </c>
      <c r="BP174" t="s">
        <v>74</v>
      </c>
      <c r="BQ174" t="s">
        <v>74</v>
      </c>
      <c r="BR174" t="s">
        <v>103</v>
      </c>
      <c r="BS174" t="s">
        <v>3722</v>
      </c>
      <c r="BT174" t="str">
        <f>HYPERLINK("https%3A%2F%2Fwww.webofscience.com%2Fwos%2Fwoscc%2Ffull-record%2FWOS:000363203100004","View Full Record in Web of Science")</f>
        <v>View Full Record in Web of Science</v>
      </c>
    </row>
    <row r="175" spans="1:72" x14ac:dyDescent="0.15">
      <c r="A175" t="s">
        <v>72</v>
      </c>
      <c r="B175" t="s">
        <v>3723</v>
      </c>
      <c r="C175" t="s">
        <v>74</v>
      </c>
      <c r="D175" t="s">
        <v>74</v>
      </c>
      <c r="E175" t="s">
        <v>74</v>
      </c>
      <c r="F175" t="s">
        <v>3724</v>
      </c>
      <c r="G175" t="s">
        <v>74</v>
      </c>
      <c r="H175" t="s">
        <v>74</v>
      </c>
      <c r="I175" t="s">
        <v>3725</v>
      </c>
      <c r="J175" t="s">
        <v>3726</v>
      </c>
      <c r="K175" t="s">
        <v>74</v>
      </c>
      <c r="L175" t="s">
        <v>74</v>
      </c>
      <c r="M175" t="s">
        <v>78</v>
      </c>
      <c r="N175" t="s">
        <v>79</v>
      </c>
      <c r="O175" t="s">
        <v>74</v>
      </c>
      <c r="P175" t="s">
        <v>74</v>
      </c>
      <c r="Q175" t="s">
        <v>74</v>
      </c>
      <c r="R175" t="s">
        <v>74</v>
      </c>
      <c r="S175" t="s">
        <v>74</v>
      </c>
      <c r="T175" t="s">
        <v>3727</v>
      </c>
      <c r="U175" t="s">
        <v>3728</v>
      </c>
      <c r="V175" t="s">
        <v>3729</v>
      </c>
      <c r="W175" t="s">
        <v>3730</v>
      </c>
      <c r="X175" t="s">
        <v>3731</v>
      </c>
      <c r="Y175" t="s">
        <v>3732</v>
      </c>
      <c r="Z175" t="s">
        <v>3733</v>
      </c>
      <c r="AA175" t="s">
        <v>74</v>
      </c>
      <c r="AB175" t="s">
        <v>3734</v>
      </c>
      <c r="AC175" t="s">
        <v>3735</v>
      </c>
      <c r="AD175" t="s">
        <v>3736</v>
      </c>
      <c r="AE175" t="s">
        <v>3737</v>
      </c>
      <c r="AF175" t="s">
        <v>74</v>
      </c>
      <c r="AG175">
        <v>29</v>
      </c>
      <c r="AH175">
        <v>20</v>
      </c>
      <c r="AI175">
        <v>22</v>
      </c>
      <c r="AJ175">
        <v>6</v>
      </c>
      <c r="AK175">
        <v>81</v>
      </c>
      <c r="AL175" t="s">
        <v>397</v>
      </c>
      <c r="AM175" t="s">
        <v>398</v>
      </c>
      <c r="AN175" t="s">
        <v>399</v>
      </c>
      <c r="AO175" t="s">
        <v>3738</v>
      </c>
      <c r="AP175" t="s">
        <v>3739</v>
      </c>
      <c r="AQ175" t="s">
        <v>74</v>
      </c>
      <c r="AR175" t="s">
        <v>3726</v>
      </c>
      <c r="AS175" t="s">
        <v>3740</v>
      </c>
      <c r="AT175" t="s">
        <v>2170</v>
      </c>
      <c r="AU175">
        <v>2015</v>
      </c>
      <c r="AV175">
        <v>137</v>
      </c>
      <c r="AW175" t="s">
        <v>74</v>
      </c>
      <c r="AX175" t="s">
        <v>74</v>
      </c>
      <c r="AY175" t="s">
        <v>74</v>
      </c>
      <c r="AZ175" t="s">
        <v>74</v>
      </c>
      <c r="BA175" t="s">
        <v>74</v>
      </c>
      <c r="BB175">
        <v>9</v>
      </c>
      <c r="BC175">
        <v>13</v>
      </c>
      <c r="BD175" t="s">
        <v>74</v>
      </c>
      <c r="BE175" t="s">
        <v>3741</v>
      </c>
      <c r="BF175" t="str">
        <f>HYPERLINK("http://dx.doi.org/10.1016/j.chemosphere.2015.04.030","http://dx.doi.org/10.1016/j.chemosphere.2015.04.030")</f>
        <v>http://dx.doi.org/10.1016/j.chemosphere.2015.04.030</v>
      </c>
      <c r="BG175" t="s">
        <v>74</v>
      </c>
      <c r="BH175" t="s">
        <v>74</v>
      </c>
      <c r="BI175">
        <v>5</v>
      </c>
      <c r="BJ175" t="s">
        <v>3267</v>
      </c>
      <c r="BK175" t="s">
        <v>101</v>
      </c>
      <c r="BL175" t="s">
        <v>644</v>
      </c>
      <c r="BM175" t="s">
        <v>3742</v>
      </c>
      <c r="BN175">
        <v>25965290</v>
      </c>
      <c r="BO175" t="s">
        <v>74</v>
      </c>
      <c r="BP175" t="s">
        <v>74</v>
      </c>
      <c r="BQ175" t="s">
        <v>74</v>
      </c>
      <c r="BR175" t="s">
        <v>103</v>
      </c>
      <c r="BS175" t="s">
        <v>3743</v>
      </c>
      <c r="BT175" t="str">
        <f>HYPERLINK("https%3A%2F%2Fwww.webofscience.com%2Fwos%2Fwoscc%2Ffull-record%2FWOS:000360867100002","View Full Record in Web of Science")</f>
        <v>View Full Record in Web of Science</v>
      </c>
    </row>
    <row r="176" spans="1:72" x14ac:dyDescent="0.15">
      <c r="A176" t="s">
        <v>72</v>
      </c>
      <c r="B176" t="s">
        <v>3744</v>
      </c>
      <c r="C176" t="s">
        <v>74</v>
      </c>
      <c r="D176" t="s">
        <v>74</v>
      </c>
      <c r="E176" t="s">
        <v>74</v>
      </c>
      <c r="F176" t="s">
        <v>3745</v>
      </c>
      <c r="G176" t="s">
        <v>74</v>
      </c>
      <c r="H176" t="s">
        <v>74</v>
      </c>
      <c r="I176" t="s">
        <v>3746</v>
      </c>
      <c r="J176" t="s">
        <v>3747</v>
      </c>
      <c r="K176" t="s">
        <v>74</v>
      </c>
      <c r="L176" t="s">
        <v>74</v>
      </c>
      <c r="M176" t="s">
        <v>78</v>
      </c>
      <c r="N176" t="s">
        <v>79</v>
      </c>
      <c r="O176" t="s">
        <v>74</v>
      </c>
      <c r="P176" t="s">
        <v>74</v>
      </c>
      <c r="Q176" t="s">
        <v>74</v>
      </c>
      <c r="R176" t="s">
        <v>74</v>
      </c>
      <c r="S176" t="s">
        <v>74</v>
      </c>
      <c r="T176" t="s">
        <v>3748</v>
      </c>
      <c r="U176" t="s">
        <v>3749</v>
      </c>
      <c r="V176" t="s">
        <v>3750</v>
      </c>
      <c r="W176" t="s">
        <v>3751</v>
      </c>
      <c r="X176" t="s">
        <v>3752</v>
      </c>
      <c r="Y176" t="s">
        <v>3753</v>
      </c>
      <c r="Z176" t="s">
        <v>3754</v>
      </c>
      <c r="AA176" t="s">
        <v>74</v>
      </c>
      <c r="AB176" t="s">
        <v>3755</v>
      </c>
      <c r="AC176" t="s">
        <v>3756</v>
      </c>
      <c r="AD176" t="s">
        <v>3757</v>
      </c>
      <c r="AE176" t="s">
        <v>3758</v>
      </c>
      <c r="AF176" t="s">
        <v>74</v>
      </c>
      <c r="AG176">
        <v>39</v>
      </c>
      <c r="AH176">
        <v>7</v>
      </c>
      <c r="AI176">
        <v>7</v>
      </c>
      <c r="AJ176">
        <v>1</v>
      </c>
      <c r="AK176">
        <v>12</v>
      </c>
      <c r="AL176" t="s">
        <v>397</v>
      </c>
      <c r="AM176" t="s">
        <v>398</v>
      </c>
      <c r="AN176" t="s">
        <v>399</v>
      </c>
      <c r="AO176" t="s">
        <v>3759</v>
      </c>
      <c r="AP176" t="s">
        <v>3760</v>
      </c>
      <c r="AQ176" t="s">
        <v>74</v>
      </c>
      <c r="AR176" t="s">
        <v>3761</v>
      </c>
      <c r="AS176" t="s">
        <v>3762</v>
      </c>
      <c r="AT176" t="s">
        <v>2170</v>
      </c>
      <c r="AU176">
        <v>2015</v>
      </c>
      <c r="AV176">
        <v>120</v>
      </c>
      <c r="AW176" t="s">
        <v>74</v>
      </c>
      <c r="AX176" t="s">
        <v>74</v>
      </c>
      <c r="AY176" t="s">
        <v>74</v>
      </c>
      <c r="AZ176" t="s">
        <v>931</v>
      </c>
      <c r="BA176" t="s">
        <v>74</v>
      </c>
      <c r="BB176">
        <v>3</v>
      </c>
      <c r="BC176">
        <v>20</v>
      </c>
      <c r="BD176" t="s">
        <v>74</v>
      </c>
      <c r="BE176" t="s">
        <v>3763</v>
      </c>
      <c r="BF176" t="str">
        <f>HYPERLINK("http://dx.doi.org/10.1016/j.dsr2.2015.01.007","http://dx.doi.org/10.1016/j.dsr2.2015.01.007")</f>
        <v>http://dx.doi.org/10.1016/j.dsr2.2015.01.007</v>
      </c>
      <c r="BG176" t="s">
        <v>74</v>
      </c>
      <c r="BH176" t="s">
        <v>74</v>
      </c>
      <c r="BI176">
        <v>18</v>
      </c>
      <c r="BJ176" t="s">
        <v>339</v>
      </c>
      <c r="BK176" t="s">
        <v>101</v>
      </c>
      <c r="BL176" t="s">
        <v>339</v>
      </c>
      <c r="BM176" t="s">
        <v>3764</v>
      </c>
      <c r="BN176" t="s">
        <v>74</v>
      </c>
      <c r="BO176" t="s">
        <v>684</v>
      </c>
      <c r="BP176" t="s">
        <v>74</v>
      </c>
      <c r="BQ176" t="s">
        <v>74</v>
      </c>
      <c r="BR176" t="s">
        <v>103</v>
      </c>
      <c r="BS176" t="s">
        <v>3765</v>
      </c>
      <c r="BT176" t="str">
        <f>HYPERLINK("https%3A%2F%2Fwww.webofscience.com%2Fwos%2Fwoscc%2Ffull-record%2FWOS:000362610700002","View Full Record in Web of Science")</f>
        <v>View Full Record in Web of Science</v>
      </c>
    </row>
    <row r="177" spans="1:72" x14ac:dyDescent="0.15">
      <c r="A177" t="s">
        <v>72</v>
      </c>
      <c r="B177" t="s">
        <v>3766</v>
      </c>
      <c r="C177" t="s">
        <v>74</v>
      </c>
      <c r="D177" t="s">
        <v>74</v>
      </c>
      <c r="E177" t="s">
        <v>74</v>
      </c>
      <c r="F177" t="s">
        <v>3767</v>
      </c>
      <c r="G177" t="s">
        <v>74</v>
      </c>
      <c r="H177" t="s">
        <v>74</v>
      </c>
      <c r="I177" t="s">
        <v>3768</v>
      </c>
      <c r="J177" t="s">
        <v>1690</v>
      </c>
      <c r="K177" t="s">
        <v>74</v>
      </c>
      <c r="L177" t="s">
        <v>74</v>
      </c>
      <c r="M177" t="s">
        <v>78</v>
      </c>
      <c r="N177" t="s">
        <v>79</v>
      </c>
      <c r="O177" t="s">
        <v>74</v>
      </c>
      <c r="P177" t="s">
        <v>74</v>
      </c>
      <c r="Q177" t="s">
        <v>74</v>
      </c>
      <c r="R177" t="s">
        <v>74</v>
      </c>
      <c r="S177" t="s">
        <v>74</v>
      </c>
      <c r="T177" t="s">
        <v>3769</v>
      </c>
      <c r="U177" t="s">
        <v>3770</v>
      </c>
      <c r="V177" t="s">
        <v>3771</v>
      </c>
      <c r="W177" t="s">
        <v>3772</v>
      </c>
      <c r="X177" t="s">
        <v>3773</v>
      </c>
      <c r="Y177" t="s">
        <v>3774</v>
      </c>
      <c r="Z177" t="s">
        <v>3775</v>
      </c>
      <c r="AA177" t="s">
        <v>3776</v>
      </c>
      <c r="AB177" t="s">
        <v>3777</v>
      </c>
      <c r="AC177" t="s">
        <v>3778</v>
      </c>
      <c r="AD177" t="s">
        <v>3779</v>
      </c>
      <c r="AE177" t="s">
        <v>3780</v>
      </c>
      <c r="AF177" t="s">
        <v>74</v>
      </c>
      <c r="AG177">
        <v>76</v>
      </c>
      <c r="AH177">
        <v>19</v>
      </c>
      <c r="AI177">
        <v>23</v>
      </c>
      <c r="AJ177">
        <v>3</v>
      </c>
      <c r="AK177">
        <v>31</v>
      </c>
      <c r="AL177" t="s">
        <v>883</v>
      </c>
      <c r="AM177" t="s">
        <v>884</v>
      </c>
      <c r="AN177" t="s">
        <v>885</v>
      </c>
      <c r="AO177" t="s">
        <v>1702</v>
      </c>
      <c r="AP177" t="s">
        <v>1703</v>
      </c>
      <c r="AQ177" t="s">
        <v>74</v>
      </c>
      <c r="AR177" t="s">
        <v>1704</v>
      </c>
      <c r="AS177" t="s">
        <v>1705</v>
      </c>
      <c r="AT177" t="s">
        <v>2847</v>
      </c>
      <c r="AU177">
        <v>2015</v>
      </c>
      <c r="AV177">
        <v>427</v>
      </c>
      <c r="AW177" t="s">
        <v>74</v>
      </c>
      <c r="AX177" t="s">
        <v>74</v>
      </c>
      <c r="AY177" t="s">
        <v>74</v>
      </c>
      <c r="AZ177" t="s">
        <v>74</v>
      </c>
      <c r="BA177" t="s">
        <v>74</v>
      </c>
      <c r="BB177">
        <v>171</v>
      </c>
      <c r="BC177">
        <v>182</v>
      </c>
      <c r="BD177" t="s">
        <v>74</v>
      </c>
      <c r="BE177" t="s">
        <v>3781</v>
      </c>
      <c r="BF177" t="str">
        <f>HYPERLINK("http://dx.doi.org/10.1016/j.epsl.2015.06.057","http://dx.doi.org/10.1016/j.epsl.2015.06.057")</f>
        <v>http://dx.doi.org/10.1016/j.epsl.2015.06.057</v>
      </c>
      <c r="BG177" t="s">
        <v>74</v>
      </c>
      <c r="BH177" t="s">
        <v>74</v>
      </c>
      <c r="BI177">
        <v>12</v>
      </c>
      <c r="BJ177" t="s">
        <v>1707</v>
      </c>
      <c r="BK177" t="s">
        <v>101</v>
      </c>
      <c r="BL177" t="s">
        <v>1707</v>
      </c>
      <c r="BM177" t="s">
        <v>3782</v>
      </c>
      <c r="BN177" t="s">
        <v>74</v>
      </c>
      <c r="BO177" t="s">
        <v>1801</v>
      </c>
      <c r="BP177" t="s">
        <v>74</v>
      </c>
      <c r="BQ177" t="s">
        <v>74</v>
      </c>
      <c r="BR177" t="s">
        <v>103</v>
      </c>
      <c r="BS177" t="s">
        <v>3783</v>
      </c>
      <c r="BT177" t="str">
        <f>HYPERLINK("https%3A%2F%2Fwww.webofscience.com%2Fwos%2Fwoscc%2Ffull-record%2FWOS:000359330800018","View Full Record in Web of Science")</f>
        <v>View Full Record in Web of Science</v>
      </c>
    </row>
    <row r="178" spans="1:72" x14ac:dyDescent="0.15">
      <c r="A178" t="s">
        <v>72</v>
      </c>
      <c r="B178" t="s">
        <v>3784</v>
      </c>
      <c r="C178" t="s">
        <v>74</v>
      </c>
      <c r="D178" t="s">
        <v>74</v>
      </c>
      <c r="E178" t="s">
        <v>74</v>
      </c>
      <c r="F178" t="s">
        <v>3785</v>
      </c>
      <c r="G178" t="s">
        <v>74</v>
      </c>
      <c r="H178" t="s">
        <v>74</v>
      </c>
      <c r="I178" t="s">
        <v>3786</v>
      </c>
      <c r="J178" t="s">
        <v>3787</v>
      </c>
      <c r="K178" t="s">
        <v>74</v>
      </c>
      <c r="L178" t="s">
        <v>74</v>
      </c>
      <c r="M178" t="s">
        <v>78</v>
      </c>
      <c r="N178" t="s">
        <v>79</v>
      </c>
      <c r="O178" t="s">
        <v>74</v>
      </c>
      <c r="P178" t="s">
        <v>74</v>
      </c>
      <c r="Q178" t="s">
        <v>74</v>
      </c>
      <c r="R178" t="s">
        <v>74</v>
      </c>
      <c r="S178" t="s">
        <v>74</v>
      </c>
      <c r="T178" t="s">
        <v>3788</v>
      </c>
      <c r="U178" t="s">
        <v>3789</v>
      </c>
      <c r="V178" t="s">
        <v>3790</v>
      </c>
      <c r="W178" t="s">
        <v>3791</v>
      </c>
      <c r="X178" t="s">
        <v>3792</v>
      </c>
      <c r="Y178" t="s">
        <v>3793</v>
      </c>
      <c r="Z178" t="s">
        <v>3794</v>
      </c>
      <c r="AA178" t="s">
        <v>3795</v>
      </c>
      <c r="AB178" t="s">
        <v>3796</v>
      </c>
      <c r="AC178" t="s">
        <v>3797</v>
      </c>
      <c r="AD178" t="s">
        <v>3798</v>
      </c>
      <c r="AE178" t="s">
        <v>3799</v>
      </c>
      <c r="AF178" t="s">
        <v>74</v>
      </c>
      <c r="AG178">
        <v>71</v>
      </c>
      <c r="AH178">
        <v>49</v>
      </c>
      <c r="AI178">
        <v>51</v>
      </c>
      <c r="AJ178">
        <v>1</v>
      </c>
      <c r="AK178">
        <v>60</v>
      </c>
      <c r="AL178" t="s">
        <v>883</v>
      </c>
      <c r="AM178" t="s">
        <v>884</v>
      </c>
      <c r="AN178" t="s">
        <v>885</v>
      </c>
      <c r="AO178" t="s">
        <v>3800</v>
      </c>
      <c r="AP178" t="s">
        <v>3801</v>
      </c>
      <c r="AQ178" t="s">
        <v>74</v>
      </c>
      <c r="AR178" t="s">
        <v>3802</v>
      </c>
      <c r="AS178" t="s">
        <v>3803</v>
      </c>
      <c r="AT178" t="s">
        <v>2170</v>
      </c>
      <c r="AU178">
        <v>2015</v>
      </c>
      <c r="AV178">
        <v>57</v>
      </c>
      <c r="AW178" t="s">
        <v>74</v>
      </c>
      <c r="AX178" t="s">
        <v>74</v>
      </c>
      <c r="AY178" t="s">
        <v>74</v>
      </c>
      <c r="AZ178" t="s">
        <v>74</v>
      </c>
      <c r="BA178" t="s">
        <v>74</v>
      </c>
      <c r="BB178">
        <v>280</v>
      </c>
      <c r="BC178">
        <v>292</v>
      </c>
      <c r="BD178" t="s">
        <v>74</v>
      </c>
      <c r="BE178" t="s">
        <v>3804</v>
      </c>
      <c r="BF178" t="str">
        <f>HYPERLINK("http://dx.doi.org/10.1016/j.ecolind.2015.04.031","http://dx.doi.org/10.1016/j.ecolind.2015.04.031")</f>
        <v>http://dx.doi.org/10.1016/j.ecolind.2015.04.031</v>
      </c>
      <c r="BG178" t="s">
        <v>74</v>
      </c>
      <c r="BH178" t="s">
        <v>74</v>
      </c>
      <c r="BI178">
        <v>13</v>
      </c>
      <c r="BJ178" t="s">
        <v>3805</v>
      </c>
      <c r="BK178" t="s">
        <v>101</v>
      </c>
      <c r="BL178" t="s">
        <v>3806</v>
      </c>
      <c r="BM178" t="s">
        <v>3807</v>
      </c>
      <c r="BN178" t="s">
        <v>74</v>
      </c>
      <c r="BO178" t="s">
        <v>74</v>
      </c>
      <c r="BP178" t="s">
        <v>74</v>
      </c>
      <c r="BQ178" t="s">
        <v>74</v>
      </c>
      <c r="BR178" t="s">
        <v>103</v>
      </c>
      <c r="BS178" t="s">
        <v>3808</v>
      </c>
      <c r="BT178" t="str">
        <f>HYPERLINK("https%3A%2F%2Fwww.webofscience.com%2Fwos%2Fwoscc%2Ffull-record%2FWOS:000358091800033","View Full Record in Web of Science")</f>
        <v>View Full Record in Web of Science</v>
      </c>
    </row>
    <row r="179" spans="1:72" x14ac:dyDescent="0.15">
      <c r="A179" t="s">
        <v>72</v>
      </c>
      <c r="B179" t="s">
        <v>3809</v>
      </c>
      <c r="C179" t="s">
        <v>74</v>
      </c>
      <c r="D179" t="s">
        <v>74</v>
      </c>
      <c r="E179" t="s">
        <v>74</v>
      </c>
      <c r="F179" t="s">
        <v>3810</v>
      </c>
      <c r="G179" t="s">
        <v>74</v>
      </c>
      <c r="H179" t="s">
        <v>74</v>
      </c>
      <c r="I179" t="s">
        <v>3811</v>
      </c>
      <c r="J179" t="s">
        <v>3787</v>
      </c>
      <c r="K179" t="s">
        <v>74</v>
      </c>
      <c r="L179" t="s">
        <v>74</v>
      </c>
      <c r="M179" t="s">
        <v>78</v>
      </c>
      <c r="N179" t="s">
        <v>79</v>
      </c>
      <c r="O179" t="s">
        <v>74</v>
      </c>
      <c r="P179" t="s">
        <v>74</v>
      </c>
      <c r="Q179" t="s">
        <v>74</v>
      </c>
      <c r="R179" t="s">
        <v>74</v>
      </c>
      <c r="S179" t="s">
        <v>74</v>
      </c>
      <c r="T179" t="s">
        <v>3812</v>
      </c>
      <c r="U179" t="s">
        <v>3813</v>
      </c>
      <c r="V179" t="s">
        <v>3814</v>
      </c>
      <c r="W179" t="s">
        <v>3815</v>
      </c>
      <c r="X179" t="s">
        <v>3816</v>
      </c>
      <c r="Y179" t="s">
        <v>3817</v>
      </c>
      <c r="Z179" t="s">
        <v>3818</v>
      </c>
      <c r="AA179" t="s">
        <v>3819</v>
      </c>
      <c r="AB179" t="s">
        <v>3820</v>
      </c>
      <c r="AC179" t="s">
        <v>3821</v>
      </c>
      <c r="AD179" t="s">
        <v>3822</v>
      </c>
      <c r="AE179" t="s">
        <v>3823</v>
      </c>
      <c r="AF179" t="s">
        <v>74</v>
      </c>
      <c r="AG179">
        <v>92</v>
      </c>
      <c r="AH179">
        <v>57</v>
      </c>
      <c r="AI179">
        <v>58</v>
      </c>
      <c r="AJ179">
        <v>2</v>
      </c>
      <c r="AK179">
        <v>91</v>
      </c>
      <c r="AL179" t="s">
        <v>883</v>
      </c>
      <c r="AM179" t="s">
        <v>884</v>
      </c>
      <c r="AN179" t="s">
        <v>885</v>
      </c>
      <c r="AO179" t="s">
        <v>3800</v>
      </c>
      <c r="AP179" t="s">
        <v>3801</v>
      </c>
      <c r="AQ179" t="s">
        <v>74</v>
      </c>
      <c r="AR179" t="s">
        <v>3802</v>
      </c>
      <c r="AS179" t="s">
        <v>3803</v>
      </c>
      <c r="AT179" t="s">
        <v>2170</v>
      </c>
      <c r="AU179">
        <v>2015</v>
      </c>
      <c r="AV179">
        <v>57</v>
      </c>
      <c r="AW179" t="s">
        <v>74</v>
      </c>
      <c r="AX179" t="s">
        <v>74</v>
      </c>
      <c r="AY179" t="s">
        <v>74</v>
      </c>
      <c r="AZ179" t="s">
        <v>74</v>
      </c>
      <c r="BA179" t="s">
        <v>74</v>
      </c>
      <c r="BB179">
        <v>409</v>
      </c>
      <c r="BC179">
        <v>419</v>
      </c>
      <c r="BD179" t="s">
        <v>74</v>
      </c>
      <c r="BE179" t="s">
        <v>3824</v>
      </c>
      <c r="BF179" t="str">
        <f>HYPERLINK("http://dx.doi.org/10.1016/j.ecolind.2015.05.006","http://dx.doi.org/10.1016/j.ecolind.2015.05.006")</f>
        <v>http://dx.doi.org/10.1016/j.ecolind.2015.05.006</v>
      </c>
      <c r="BG179" t="s">
        <v>74</v>
      </c>
      <c r="BH179" t="s">
        <v>74</v>
      </c>
      <c r="BI179">
        <v>11</v>
      </c>
      <c r="BJ179" t="s">
        <v>3805</v>
      </c>
      <c r="BK179" t="s">
        <v>101</v>
      </c>
      <c r="BL179" t="s">
        <v>3806</v>
      </c>
      <c r="BM179" t="s">
        <v>3807</v>
      </c>
      <c r="BN179" t="s">
        <v>74</v>
      </c>
      <c r="BO179" t="s">
        <v>74</v>
      </c>
      <c r="BP179" t="s">
        <v>74</v>
      </c>
      <c r="BQ179" t="s">
        <v>74</v>
      </c>
      <c r="BR179" t="s">
        <v>103</v>
      </c>
      <c r="BS179" t="s">
        <v>3825</v>
      </c>
      <c r="BT179" t="str">
        <f>HYPERLINK("https%3A%2F%2Fwww.webofscience.com%2Fwos%2Fwoscc%2Ffull-record%2FWOS:000358091800046","View Full Record in Web of Science")</f>
        <v>View Full Record in Web of Science</v>
      </c>
    </row>
    <row r="180" spans="1:72" x14ac:dyDescent="0.15">
      <c r="A180" t="s">
        <v>72</v>
      </c>
      <c r="B180" t="s">
        <v>3826</v>
      </c>
      <c r="C180" t="s">
        <v>74</v>
      </c>
      <c r="D180" t="s">
        <v>74</v>
      </c>
      <c r="E180" t="s">
        <v>74</v>
      </c>
      <c r="F180" t="s">
        <v>3827</v>
      </c>
      <c r="G180" t="s">
        <v>74</v>
      </c>
      <c r="H180" t="s">
        <v>74</v>
      </c>
      <c r="I180" t="s">
        <v>3828</v>
      </c>
      <c r="J180" t="s">
        <v>3829</v>
      </c>
      <c r="K180" t="s">
        <v>74</v>
      </c>
      <c r="L180" t="s">
        <v>74</v>
      </c>
      <c r="M180" t="s">
        <v>78</v>
      </c>
      <c r="N180" t="s">
        <v>79</v>
      </c>
      <c r="O180" t="s">
        <v>74</v>
      </c>
      <c r="P180" t="s">
        <v>74</v>
      </c>
      <c r="Q180" t="s">
        <v>74</v>
      </c>
      <c r="R180" t="s">
        <v>74</v>
      </c>
      <c r="S180" t="s">
        <v>74</v>
      </c>
      <c r="T180" t="s">
        <v>3830</v>
      </c>
      <c r="U180" t="s">
        <v>3831</v>
      </c>
      <c r="V180" t="s">
        <v>3832</v>
      </c>
      <c r="W180" t="s">
        <v>3833</v>
      </c>
      <c r="X180" t="s">
        <v>3834</v>
      </c>
      <c r="Y180" t="s">
        <v>3835</v>
      </c>
      <c r="Z180" t="s">
        <v>3836</v>
      </c>
      <c r="AA180" t="s">
        <v>3837</v>
      </c>
      <c r="AB180" t="s">
        <v>3838</v>
      </c>
      <c r="AC180" t="s">
        <v>3839</v>
      </c>
      <c r="AD180" t="s">
        <v>3840</v>
      </c>
      <c r="AE180" t="s">
        <v>3841</v>
      </c>
      <c r="AF180" t="s">
        <v>74</v>
      </c>
      <c r="AG180">
        <v>81</v>
      </c>
      <c r="AH180">
        <v>47</v>
      </c>
      <c r="AI180">
        <v>50</v>
      </c>
      <c r="AJ180">
        <v>2</v>
      </c>
      <c r="AK180">
        <v>93</v>
      </c>
      <c r="AL180" t="s">
        <v>208</v>
      </c>
      <c r="AM180" t="s">
        <v>209</v>
      </c>
      <c r="AN180" t="s">
        <v>210</v>
      </c>
      <c r="AO180" t="s">
        <v>3842</v>
      </c>
      <c r="AP180" t="s">
        <v>3843</v>
      </c>
      <c r="AQ180" t="s">
        <v>74</v>
      </c>
      <c r="AR180" t="s">
        <v>3829</v>
      </c>
      <c r="AS180" t="s">
        <v>643</v>
      </c>
      <c r="AT180" t="s">
        <v>2170</v>
      </c>
      <c r="AU180">
        <v>2015</v>
      </c>
      <c r="AV180">
        <v>96</v>
      </c>
      <c r="AW180">
        <v>10</v>
      </c>
      <c r="AX180" t="s">
        <v>74</v>
      </c>
      <c r="AY180" t="s">
        <v>74</v>
      </c>
      <c r="AZ180" t="s">
        <v>74</v>
      </c>
      <c r="BA180" t="s">
        <v>74</v>
      </c>
      <c r="BB180">
        <v>2834</v>
      </c>
      <c r="BC180">
        <v>2847</v>
      </c>
      <c r="BD180" t="s">
        <v>74</v>
      </c>
      <c r="BE180" t="s">
        <v>3844</v>
      </c>
      <c r="BF180" t="str">
        <f>HYPERLINK("http://dx.doi.org/10.1890/14-1948.1.sm","http://dx.doi.org/10.1890/14-1948.1.sm")</f>
        <v>http://dx.doi.org/10.1890/14-1948.1.sm</v>
      </c>
      <c r="BG180" t="s">
        <v>74</v>
      </c>
      <c r="BH180" t="s">
        <v>74</v>
      </c>
      <c r="BI180">
        <v>14</v>
      </c>
      <c r="BJ180" t="s">
        <v>643</v>
      </c>
      <c r="BK180" t="s">
        <v>101</v>
      </c>
      <c r="BL180" t="s">
        <v>644</v>
      </c>
      <c r="BM180" t="s">
        <v>3845</v>
      </c>
      <c r="BN180">
        <v>26649403</v>
      </c>
      <c r="BO180" t="s">
        <v>1235</v>
      </c>
      <c r="BP180" t="s">
        <v>74</v>
      </c>
      <c r="BQ180" t="s">
        <v>74</v>
      </c>
      <c r="BR180" t="s">
        <v>103</v>
      </c>
      <c r="BS180" t="s">
        <v>3846</v>
      </c>
      <c r="BT180" t="str">
        <f>HYPERLINK("https%3A%2F%2Fwww.webofscience.com%2Fwos%2Fwoscc%2Ffull-record%2FWOS:000362853600026","View Full Record in Web of Science")</f>
        <v>View Full Record in Web of Science</v>
      </c>
    </row>
    <row r="181" spans="1:72" x14ac:dyDescent="0.15">
      <c r="A181" t="s">
        <v>72</v>
      </c>
      <c r="B181" t="s">
        <v>3847</v>
      </c>
      <c r="C181" t="s">
        <v>74</v>
      </c>
      <c r="D181" t="s">
        <v>74</v>
      </c>
      <c r="E181" t="s">
        <v>74</v>
      </c>
      <c r="F181" t="s">
        <v>3848</v>
      </c>
      <c r="G181" t="s">
        <v>74</v>
      </c>
      <c r="H181" t="s">
        <v>74</v>
      </c>
      <c r="I181" t="s">
        <v>3849</v>
      </c>
      <c r="J181" t="s">
        <v>3850</v>
      </c>
      <c r="K181" t="s">
        <v>74</v>
      </c>
      <c r="L181" t="s">
        <v>74</v>
      </c>
      <c r="M181" t="s">
        <v>78</v>
      </c>
      <c r="N181" t="s">
        <v>79</v>
      </c>
      <c r="O181" t="s">
        <v>74</v>
      </c>
      <c r="P181" t="s">
        <v>74</v>
      </c>
      <c r="Q181" t="s">
        <v>74</v>
      </c>
      <c r="R181" t="s">
        <v>74</v>
      </c>
      <c r="S181" t="s">
        <v>74</v>
      </c>
      <c r="T181" t="s">
        <v>74</v>
      </c>
      <c r="U181" t="s">
        <v>3851</v>
      </c>
      <c r="V181" t="s">
        <v>3852</v>
      </c>
      <c r="W181" t="s">
        <v>3853</v>
      </c>
      <c r="X181" t="s">
        <v>3854</v>
      </c>
      <c r="Y181" t="s">
        <v>3855</v>
      </c>
      <c r="Z181" t="s">
        <v>3856</v>
      </c>
      <c r="AA181" t="s">
        <v>3857</v>
      </c>
      <c r="AB181" t="s">
        <v>3858</v>
      </c>
      <c r="AC181" t="s">
        <v>3859</v>
      </c>
      <c r="AD181" t="s">
        <v>3860</v>
      </c>
      <c r="AE181" t="s">
        <v>3861</v>
      </c>
      <c r="AF181" t="s">
        <v>74</v>
      </c>
      <c r="AG181">
        <v>74</v>
      </c>
      <c r="AH181">
        <v>70</v>
      </c>
      <c r="AI181">
        <v>73</v>
      </c>
      <c r="AJ181">
        <v>4</v>
      </c>
      <c r="AK181">
        <v>59</v>
      </c>
      <c r="AL181" t="s">
        <v>208</v>
      </c>
      <c r="AM181" t="s">
        <v>209</v>
      </c>
      <c r="AN181" t="s">
        <v>210</v>
      </c>
      <c r="AO181" t="s">
        <v>3862</v>
      </c>
      <c r="AP181" t="s">
        <v>3863</v>
      </c>
      <c r="AQ181" t="s">
        <v>74</v>
      </c>
      <c r="AR181" t="s">
        <v>3864</v>
      </c>
      <c r="AS181" t="s">
        <v>3865</v>
      </c>
      <c r="AT181" t="s">
        <v>2170</v>
      </c>
      <c r="AU181">
        <v>2015</v>
      </c>
      <c r="AV181">
        <v>17</v>
      </c>
      <c r="AW181">
        <v>10</v>
      </c>
      <c r="AX181" t="s">
        <v>74</v>
      </c>
      <c r="AY181" t="s">
        <v>74</v>
      </c>
      <c r="AZ181" t="s">
        <v>931</v>
      </c>
      <c r="BA181" t="s">
        <v>74</v>
      </c>
      <c r="BB181">
        <v>3822</v>
      </c>
      <c r="BC181">
        <v>3831</v>
      </c>
      <c r="BD181" t="s">
        <v>74</v>
      </c>
      <c r="BE181" t="s">
        <v>3866</v>
      </c>
      <c r="BF181" t="str">
        <f>HYPERLINK("http://dx.doi.org/10.1111/1462-2920.12842","http://dx.doi.org/10.1111/1462-2920.12842")</f>
        <v>http://dx.doi.org/10.1111/1462-2920.12842</v>
      </c>
      <c r="BG181" t="s">
        <v>74</v>
      </c>
      <c r="BH181" t="s">
        <v>74</v>
      </c>
      <c r="BI181">
        <v>10</v>
      </c>
      <c r="BJ181" t="s">
        <v>160</v>
      </c>
      <c r="BK181" t="s">
        <v>101</v>
      </c>
      <c r="BL181" t="s">
        <v>160</v>
      </c>
      <c r="BM181" t="s">
        <v>3867</v>
      </c>
      <c r="BN181">
        <v>25753990</v>
      </c>
      <c r="BO181" t="s">
        <v>74</v>
      </c>
      <c r="BP181" t="s">
        <v>74</v>
      </c>
      <c r="BQ181" t="s">
        <v>74</v>
      </c>
      <c r="BR181" t="s">
        <v>103</v>
      </c>
      <c r="BS181" t="s">
        <v>3868</v>
      </c>
      <c r="BT181" t="str">
        <f>HYPERLINK("https%3A%2F%2Fwww.webofscience.com%2Fwos%2Fwoscc%2Ffull-record%2FWOS:000363448500029","View Full Record in Web of Science")</f>
        <v>View Full Record in Web of Science</v>
      </c>
    </row>
    <row r="182" spans="1:72" x14ac:dyDescent="0.15">
      <c r="A182" t="s">
        <v>72</v>
      </c>
      <c r="B182" t="s">
        <v>3869</v>
      </c>
      <c r="C182" t="s">
        <v>74</v>
      </c>
      <c r="D182" t="s">
        <v>74</v>
      </c>
      <c r="E182" t="s">
        <v>74</v>
      </c>
      <c r="F182" t="s">
        <v>3870</v>
      </c>
      <c r="G182" t="s">
        <v>74</v>
      </c>
      <c r="H182" t="s">
        <v>74</v>
      </c>
      <c r="I182" t="s">
        <v>3871</v>
      </c>
      <c r="J182" t="s">
        <v>3850</v>
      </c>
      <c r="K182" t="s">
        <v>74</v>
      </c>
      <c r="L182" t="s">
        <v>74</v>
      </c>
      <c r="M182" t="s">
        <v>78</v>
      </c>
      <c r="N182" t="s">
        <v>79</v>
      </c>
      <c r="O182" t="s">
        <v>74</v>
      </c>
      <c r="P182" t="s">
        <v>74</v>
      </c>
      <c r="Q182" t="s">
        <v>74</v>
      </c>
      <c r="R182" t="s">
        <v>74</v>
      </c>
      <c r="S182" t="s">
        <v>74</v>
      </c>
      <c r="T182" t="s">
        <v>74</v>
      </c>
      <c r="U182" t="s">
        <v>3872</v>
      </c>
      <c r="V182" t="s">
        <v>3873</v>
      </c>
      <c r="W182" t="s">
        <v>3874</v>
      </c>
      <c r="X182" t="s">
        <v>3875</v>
      </c>
      <c r="Y182" t="s">
        <v>3876</v>
      </c>
      <c r="Z182" t="s">
        <v>3877</v>
      </c>
      <c r="AA182" t="s">
        <v>3878</v>
      </c>
      <c r="AB182" t="s">
        <v>3879</v>
      </c>
      <c r="AC182" t="s">
        <v>3880</v>
      </c>
      <c r="AD182" t="s">
        <v>3881</v>
      </c>
      <c r="AE182" t="s">
        <v>3882</v>
      </c>
      <c r="AF182" t="s">
        <v>74</v>
      </c>
      <c r="AG182">
        <v>72</v>
      </c>
      <c r="AH182">
        <v>39</v>
      </c>
      <c r="AI182">
        <v>42</v>
      </c>
      <c r="AJ182">
        <v>0</v>
      </c>
      <c r="AK182">
        <v>45</v>
      </c>
      <c r="AL182" t="s">
        <v>208</v>
      </c>
      <c r="AM182" t="s">
        <v>209</v>
      </c>
      <c r="AN182" t="s">
        <v>210</v>
      </c>
      <c r="AO182" t="s">
        <v>3862</v>
      </c>
      <c r="AP182" t="s">
        <v>3863</v>
      </c>
      <c r="AQ182" t="s">
        <v>74</v>
      </c>
      <c r="AR182" t="s">
        <v>3864</v>
      </c>
      <c r="AS182" t="s">
        <v>3865</v>
      </c>
      <c r="AT182" t="s">
        <v>2170</v>
      </c>
      <c r="AU182">
        <v>2015</v>
      </c>
      <c r="AV182">
        <v>17</v>
      </c>
      <c r="AW182">
        <v>10</v>
      </c>
      <c r="AX182" t="s">
        <v>74</v>
      </c>
      <c r="AY182" t="s">
        <v>74</v>
      </c>
      <c r="AZ182" t="s">
        <v>931</v>
      </c>
      <c r="BA182" t="s">
        <v>74</v>
      </c>
      <c r="BB182">
        <v>3869</v>
      </c>
      <c r="BC182">
        <v>3881</v>
      </c>
      <c r="BD182" t="s">
        <v>74</v>
      </c>
      <c r="BE182" t="s">
        <v>3883</v>
      </c>
      <c r="BF182" t="str">
        <f>HYPERLINK("http://dx.doi.org/10.1111/1462-2920.12865","http://dx.doi.org/10.1111/1462-2920.12865")</f>
        <v>http://dx.doi.org/10.1111/1462-2920.12865</v>
      </c>
      <c r="BG182" t="s">
        <v>74</v>
      </c>
      <c r="BH182" t="s">
        <v>74</v>
      </c>
      <c r="BI182">
        <v>13</v>
      </c>
      <c r="BJ182" t="s">
        <v>160</v>
      </c>
      <c r="BK182" t="s">
        <v>101</v>
      </c>
      <c r="BL182" t="s">
        <v>160</v>
      </c>
      <c r="BM182" t="s">
        <v>3867</v>
      </c>
      <c r="BN182">
        <v>25845501</v>
      </c>
      <c r="BO182" t="s">
        <v>74</v>
      </c>
      <c r="BP182" t="s">
        <v>74</v>
      </c>
      <c r="BQ182" t="s">
        <v>74</v>
      </c>
      <c r="BR182" t="s">
        <v>103</v>
      </c>
      <c r="BS182" t="s">
        <v>3884</v>
      </c>
      <c r="BT182" t="str">
        <f>HYPERLINK("https%3A%2F%2Fwww.webofscience.com%2Fwos%2Fwoscc%2Ffull-record%2FWOS:000363448500033","View Full Record in Web of Science")</f>
        <v>View Full Record in Web of Science</v>
      </c>
    </row>
    <row r="183" spans="1:72" x14ac:dyDescent="0.15">
      <c r="A183" t="s">
        <v>72</v>
      </c>
      <c r="B183" t="s">
        <v>3885</v>
      </c>
      <c r="C183" t="s">
        <v>74</v>
      </c>
      <c r="D183" t="s">
        <v>74</v>
      </c>
      <c r="E183" t="s">
        <v>74</v>
      </c>
      <c r="F183" t="s">
        <v>3886</v>
      </c>
      <c r="G183" t="s">
        <v>74</v>
      </c>
      <c r="H183" t="s">
        <v>74</v>
      </c>
      <c r="I183" t="s">
        <v>3887</v>
      </c>
      <c r="J183" t="s">
        <v>3888</v>
      </c>
      <c r="K183" t="s">
        <v>74</v>
      </c>
      <c r="L183" t="s">
        <v>74</v>
      </c>
      <c r="M183" t="s">
        <v>78</v>
      </c>
      <c r="N183" t="s">
        <v>79</v>
      </c>
      <c r="O183" t="s">
        <v>74</v>
      </c>
      <c r="P183" t="s">
        <v>74</v>
      </c>
      <c r="Q183" t="s">
        <v>74</v>
      </c>
      <c r="R183" t="s">
        <v>74</v>
      </c>
      <c r="S183" t="s">
        <v>74</v>
      </c>
      <c r="T183" t="s">
        <v>3889</v>
      </c>
      <c r="U183" t="s">
        <v>3890</v>
      </c>
      <c r="V183" t="s">
        <v>3891</v>
      </c>
      <c r="W183" t="s">
        <v>3892</v>
      </c>
      <c r="X183" t="s">
        <v>3893</v>
      </c>
      <c r="Y183" t="s">
        <v>3894</v>
      </c>
      <c r="Z183" t="s">
        <v>3895</v>
      </c>
      <c r="AA183" t="s">
        <v>3896</v>
      </c>
      <c r="AB183" t="s">
        <v>3897</v>
      </c>
      <c r="AC183" t="s">
        <v>3898</v>
      </c>
      <c r="AD183" t="s">
        <v>3899</v>
      </c>
      <c r="AE183" t="s">
        <v>3900</v>
      </c>
      <c r="AF183" t="s">
        <v>74</v>
      </c>
      <c r="AG183">
        <v>85</v>
      </c>
      <c r="AH183">
        <v>36</v>
      </c>
      <c r="AI183">
        <v>37</v>
      </c>
      <c r="AJ183">
        <v>0</v>
      </c>
      <c r="AK183">
        <v>12</v>
      </c>
      <c r="AL183" t="s">
        <v>3901</v>
      </c>
      <c r="AM183" t="s">
        <v>3902</v>
      </c>
      <c r="AN183" t="s">
        <v>3903</v>
      </c>
      <c r="AO183" t="s">
        <v>3904</v>
      </c>
      <c r="AP183" t="s">
        <v>3905</v>
      </c>
      <c r="AQ183" t="s">
        <v>74</v>
      </c>
      <c r="AR183" t="s">
        <v>3906</v>
      </c>
      <c r="AS183" t="s">
        <v>3907</v>
      </c>
      <c r="AT183" t="s">
        <v>2170</v>
      </c>
      <c r="AU183">
        <v>2015</v>
      </c>
      <c r="AV183">
        <v>51</v>
      </c>
      <c r="AW183">
        <v>5</v>
      </c>
      <c r="AX183" t="s">
        <v>74</v>
      </c>
      <c r="AY183" t="s">
        <v>74</v>
      </c>
      <c r="AZ183" t="s">
        <v>74</v>
      </c>
      <c r="BA183" t="s">
        <v>74</v>
      </c>
      <c r="BB183">
        <v>409</v>
      </c>
      <c r="BC183">
        <v>424</v>
      </c>
      <c r="BD183" t="s">
        <v>74</v>
      </c>
      <c r="BE183" t="s">
        <v>3908</v>
      </c>
      <c r="BF183" t="str">
        <f>HYPERLINK("http://dx.doi.org/10.1016/j.ejop.2015.07.001","http://dx.doi.org/10.1016/j.ejop.2015.07.001")</f>
        <v>http://dx.doi.org/10.1016/j.ejop.2015.07.001</v>
      </c>
      <c r="BG183" t="s">
        <v>74</v>
      </c>
      <c r="BH183" t="s">
        <v>74</v>
      </c>
      <c r="BI183">
        <v>16</v>
      </c>
      <c r="BJ183" t="s">
        <v>160</v>
      </c>
      <c r="BK183" t="s">
        <v>101</v>
      </c>
      <c r="BL183" t="s">
        <v>160</v>
      </c>
      <c r="BM183" t="s">
        <v>3909</v>
      </c>
      <c r="BN183">
        <v>26340665</v>
      </c>
      <c r="BO183" t="s">
        <v>74</v>
      </c>
      <c r="BP183" t="s">
        <v>74</v>
      </c>
      <c r="BQ183" t="s">
        <v>74</v>
      </c>
      <c r="BR183" t="s">
        <v>103</v>
      </c>
      <c r="BS183" t="s">
        <v>3910</v>
      </c>
      <c r="BT183" t="str">
        <f>HYPERLINK("https%3A%2F%2Fwww.webofscience.com%2Fwos%2Fwoscc%2Ffull-record%2FWOS:000366235500005","View Full Record in Web of Science")</f>
        <v>View Full Record in Web of Science</v>
      </c>
    </row>
    <row r="184" spans="1:72" x14ac:dyDescent="0.15">
      <c r="A184" t="s">
        <v>72</v>
      </c>
      <c r="B184" t="s">
        <v>3911</v>
      </c>
      <c r="C184" t="s">
        <v>74</v>
      </c>
      <c r="D184" t="s">
        <v>74</v>
      </c>
      <c r="E184" t="s">
        <v>74</v>
      </c>
      <c r="F184" t="s">
        <v>3912</v>
      </c>
      <c r="G184" t="s">
        <v>74</v>
      </c>
      <c r="H184" t="s">
        <v>74</v>
      </c>
      <c r="I184" t="s">
        <v>3913</v>
      </c>
      <c r="J184" t="s">
        <v>3914</v>
      </c>
      <c r="K184" t="s">
        <v>74</v>
      </c>
      <c r="L184" t="s">
        <v>74</v>
      </c>
      <c r="M184" t="s">
        <v>78</v>
      </c>
      <c r="N184" t="s">
        <v>79</v>
      </c>
      <c r="O184" t="s">
        <v>74</v>
      </c>
      <c r="P184" t="s">
        <v>74</v>
      </c>
      <c r="Q184" t="s">
        <v>74</v>
      </c>
      <c r="R184" t="s">
        <v>74</v>
      </c>
      <c r="S184" t="s">
        <v>74</v>
      </c>
      <c r="T184" t="s">
        <v>3915</v>
      </c>
      <c r="U184" t="s">
        <v>3916</v>
      </c>
      <c r="V184" t="s">
        <v>3917</v>
      </c>
      <c r="W184" t="s">
        <v>3918</v>
      </c>
      <c r="X184" t="s">
        <v>3919</v>
      </c>
      <c r="Y184" t="s">
        <v>3920</v>
      </c>
      <c r="Z184" t="s">
        <v>3921</v>
      </c>
      <c r="AA184" t="s">
        <v>3922</v>
      </c>
      <c r="AB184" t="s">
        <v>3923</v>
      </c>
      <c r="AC184" t="s">
        <v>3924</v>
      </c>
      <c r="AD184" t="s">
        <v>3925</v>
      </c>
      <c r="AE184" t="s">
        <v>3926</v>
      </c>
      <c r="AF184" t="s">
        <v>74</v>
      </c>
      <c r="AG184">
        <v>54</v>
      </c>
      <c r="AH184">
        <v>46</v>
      </c>
      <c r="AI184">
        <v>50</v>
      </c>
      <c r="AJ184">
        <v>1</v>
      </c>
      <c r="AK184">
        <v>64</v>
      </c>
      <c r="AL184" t="s">
        <v>883</v>
      </c>
      <c r="AM184" t="s">
        <v>884</v>
      </c>
      <c r="AN184" t="s">
        <v>885</v>
      </c>
      <c r="AO184" t="s">
        <v>3927</v>
      </c>
      <c r="AP184" t="s">
        <v>3928</v>
      </c>
      <c r="AQ184" t="s">
        <v>74</v>
      </c>
      <c r="AR184" t="s">
        <v>3929</v>
      </c>
      <c r="AS184" t="s">
        <v>3930</v>
      </c>
      <c r="AT184" t="s">
        <v>2847</v>
      </c>
      <c r="AU184">
        <v>2015</v>
      </c>
      <c r="AV184">
        <v>353</v>
      </c>
      <c r="AW184" t="s">
        <v>74</v>
      </c>
      <c r="AX184" t="s">
        <v>74</v>
      </c>
      <c r="AY184" t="s">
        <v>74</v>
      </c>
      <c r="AZ184" t="s">
        <v>74</v>
      </c>
      <c r="BA184" t="s">
        <v>74</v>
      </c>
      <c r="BB184">
        <v>187</v>
      </c>
      <c r="BC184">
        <v>195</v>
      </c>
      <c r="BD184" t="s">
        <v>74</v>
      </c>
      <c r="BE184" t="s">
        <v>3931</v>
      </c>
      <c r="BF184" t="str">
        <f>HYPERLINK("http://dx.doi.org/10.1016/j.foreco.2015.05.021","http://dx.doi.org/10.1016/j.foreco.2015.05.021")</f>
        <v>http://dx.doi.org/10.1016/j.foreco.2015.05.021</v>
      </c>
      <c r="BG184" t="s">
        <v>74</v>
      </c>
      <c r="BH184" t="s">
        <v>74</v>
      </c>
      <c r="BI184">
        <v>9</v>
      </c>
      <c r="BJ184" t="s">
        <v>3932</v>
      </c>
      <c r="BK184" t="s">
        <v>101</v>
      </c>
      <c r="BL184" t="s">
        <v>3932</v>
      </c>
      <c r="BM184" t="s">
        <v>3933</v>
      </c>
      <c r="BN184" t="s">
        <v>74</v>
      </c>
      <c r="BO184" t="s">
        <v>74</v>
      </c>
      <c r="BP184" t="s">
        <v>74</v>
      </c>
      <c r="BQ184" t="s">
        <v>74</v>
      </c>
      <c r="BR184" t="s">
        <v>103</v>
      </c>
      <c r="BS184" t="s">
        <v>3934</v>
      </c>
      <c r="BT184" t="str">
        <f>HYPERLINK("https%3A%2F%2Fwww.webofscience.com%2Fwos%2Fwoscc%2Ffull-record%2FWOS:000362058700020","View Full Record in Web of Science")</f>
        <v>View Full Record in Web of Science</v>
      </c>
    </row>
    <row r="185" spans="1:72" x14ac:dyDescent="0.15">
      <c r="A185" t="s">
        <v>72</v>
      </c>
      <c r="B185" t="s">
        <v>3935</v>
      </c>
      <c r="C185" t="s">
        <v>74</v>
      </c>
      <c r="D185" t="s">
        <v>74</v>
      </c>
      <c r="E185" t="s">
        <v>74</v>
      </c>
      <c r="F185" t="s">
        <v>3936</v>
      </c>
      <c r="G185" t="s">
        <v>74</v>
      </c>
      <c r="H185" t="s">
        <v>74</v>
      </c>
      <c r="I185" t="s">
        <v>3937</v>
      </c>
      <c r="J185" t="s">
        <v>3938</v>
      </c>
      <c r="K185" t="s">
        <v>74</v>
      </c>
      <c r="L185" t="s">
        <v>74</v>
      </c>
      <c r="M185" t="s">
        <v>78</v>
      </c>
      <c r="N185" t="s">
        <v>79</v>
      </c>
      <c r="O185" t="s">
        <v>74</v>
      </c>
      <c r="P185" t="s">
        <v>74</v>
      </c>
      <c r="Q185" t="s">
        <v>74</v>
      </c>
      <c r="R185" t="s">
        <v>74</v>
      </c>
      <c r="S185" t="s">
        <v>74</v>
      </c>
      <c r="T185" t="s">
        <v>3939</v>
      </c>
      <c r="U185" t="s">
        <v>74</v>
      </c>
      <c r="V185" t="s">
        <v>3940</v>
      </c>
      <c r="W185" t="s">
        <v>3941</v>
      </c>
      <c r="X185" t="s">
        <v>3942</v>
      </c>
      <c r="Y185" t="s">
        <v>3943</v>
      </c>
      <c r="Z185" t="s">
        <v>3944</v>
      </c>
      <c r="AA185" t="s">
        <v>3945</v>
      </c>
      <c r="AB185" t="s">
        <v>3946</v>
      </c>
      <c r="AC185" t="s">
        <v>3947</v>
      </c>
      <c r="AD185" t="s">
        <v>3948</v>
      </c>
      <c r="AE185" t="s">
        <v>3949</v>
      </c>
      <c r="AF185" t="s">
        <v>74</v>
      </c>
      <c r="AG185">
        <v>22</v>
      </c>
      <c r="AH185">
        <v>27</v>
      </c>
      <c r="AI185">
        <v>28</v>
      </c>
      <c r="AJ185">
        <v>0</v>
      </c>
      <c r="AK185">
        <v>24</v>
      </c>
      <c r="AL185" t="s">
        <v>208</v>
      </c>
      <c r="AM185" t="s">
        <v>209</v>
      </c>
      <c r="AN185" t="s">
        <v>210</v>
      </c>
      <c r="AO185" t="s">
        <v>3950</v>
      </c>
      <c r="AP185" t="s">
        <v>3951</v>
      </c>
      <c r="AQ185" t="s">
        <v>74</v>
      </c>
      <c r="AR185" t="s">
        <v>3952</v>
      </c>
      <c r="AS185" t="s">
        <v>3953</v>
      </c>
      <c r="AT185" t="s">
        <v>2170</v>
      </c>
      <c r="AU185">
        <v>2015</v>
      </c>
      <c r="AV185">
        <v>105</v>
      </c>
      <c r="AW185">
        <v>4</v>
      </c>
      <c r="AX185" t="s">
        <v>74</v>
      </c>
      <c r="AY185" t="s">
        <v>74</v>
      </c>
      <c r="AZ185" t="s">
        <v>74</v>
      </c>
      <c r="BA185" t="s">
        <v>74</v>
      </c>
      <c r="BB185">
        <v>462</v>
      </c>
      <c r="BC185">
        <v>471</v>
      </c>
      <c r="BD185" t="s">
        <v>74</v>
      </c>
      <c r="BE185" t="s">
        <v>3954</v>
      </c>
      <c r="BF185" t="str">
        <f>HYPERLINK("http://dx.doi.org/10.1111/j.1931-0846.2015.12091.x","http://dx.doi.org/10.1111/j.1931-0846.2015.12091.x")</f>
        <v>http://dx.doi.org/10.1111/j.1931-0846.2015.12091.x</v>
      </c>
      <c r="BG185" t="s">
        <v>74</v>
      </c>
      <c r="BH185" t="s">
        <v>74</v>
      </c>
      <c r="BI185">
        <v>10</v>
      </c>
      <c r="BJ185" t="s">
        <v>2351</v>
      </c>
      <c r="BK185" t="s">
        <v>504</v>
      </c>
      <c r="BL185" t="s">
        <v>2351</v>
      </c>
      <c r="BM185" t="s">
        <v>3955</v>
      </c>
      <c r="BN185" t="s">
        <v>74</v>
      </c>
      <c r="BO185" t="s">
        <v>74</v>
      </c>
      <c r="BP185" t="s">
        <v>74</v>
      </c>
      <c r="BQ185" t="s">
        <v>74</v>
      </c>
      <c r="BR185" t="s">
        <v>103</v>
      </c>
      <c r="BS185" t="s">
        <v>3956</v>
      </c>
      <c r="BT185" t="str">
        <f>HYPERLINK("https%3A%2F%2Fwww.webofscience.com%2Fwos%2Fwoscc%2Ffull-record%2FWOS:000360764100005","View Full Record in Web of Science")</f>
        <v>View Full Record in Web of Science</v>
      </c>
    </row>
    <row r="186" spans="1:72" x14ac:dyDescent="0.15">
      <c r="A186" t="s">
        <v>72</v>
      </c>
      <c r="B186" t="s">
        <v>3957</v>
      </c>
      <c r="C186" t="s">
        <v>74</v>
      </c>
      <c r="D186" t="s">
        <v>74</v>
      </c>
      <c r="E186" t="s">
        <v>74</v>
      </c>
      <c r="F186" t="s">
        <v>3958</v>
      </c>
      <c r="G186" t="s">
        <v>74</v>
      </c>
      <c r="H186" t="s">
        <v>74</v>
      </c>
      <c r="I186" t="s">
        <v>3959</v>
      </c>
      <c r="J186" t="s">
        <v>3960</v>
      </c>
      <c r="K186" t="s">
        <v>74</v>
      </c>
      <c r="L186" t="s">
        <v>74</v>
      </c>
      <c r="M186" t="s">
        <v>78</v>
      </c>
      <c r="N186" t="s">
        <v>79</v>
      </c>
      <c r="O186" t="s">
        <v>74</v>
      </c>
      <c r="P186" t="s">
        <v>74</v>
      </c>
      <c r="Q186" t="s">
        <v>74</v>
      </c>
      <c r="R186" t="s">
        <v>74</v>
      </c>
      <c r="S186" t="s">
        <v>74</v>
      </c>
      <c r="T186" t="s">
        <v>3961</v>
      </c>
      <c r="U186" t="s">
        <v>74</v>
      </c>
      <c r="V186" t="s">
        <v>3962</v>
      </c>
      <c r="W186" t="s">
        <v>3963</v>
      </c>
      <c r="X186" t="s">
        <v>3964</v>
      </c>
      <c r="Y186" t="s">
        <v>3965</v>
      </c>
      <c r="Z186" t="s">
        <v>3966</v>
      </c>
      <c r="AA186" t="s">
        <v>3967</v>
      </c>
      <c r="AB186" t="s">
        <v>74</v>
      </c>
      <c r="AC186" t="s">
        <v>74</v>
      </c>
      <c r="AD186" t="s">
        <v>74</v>
      </c>
      <c r="AE186" t="s">
        <v>74</v>
      </c>
      <c r="AF186" t="s">
        <v>74</v>
      </c>
      <c r="AG186">
        <v>23</v>
      </c>
      <c r="AH186">
        <v>5</v>
      </c>
      <c r="AI186">
        <v>5</v>
      </c>
      <c r="AJ186">
        <v>2</v>
      </c>
      <c r="AK186">
        <v>24</v>
      </c>
      <c r="AL186" t="s">
        <v>2638</v>
      </c>
      <c r="AM186" t="s">
        <v>550</v>
      </c>
      <c r="AN186" t="s">
        <v>2639</v>
      </c>
      <c r="AO186" t="s">
        <v>3968</v>
      </c>
      <c r="AP186" t="s">
        <v>3969</v>
      </c>
      <c r="AQ186" t="s">
        <v>74</v>
      </c>
      <c r="AR186" t="s">
        <v>3970</v>
      </c>
      <c r="AS186" t="s">
        <v>3971</v>
      </c>
      <c r="AT186" t="s">
        <v>2170</v>
      </c>
      <c r="AU186">
        <v>2015</v>
      </c>
      <c r="AV186">
        <v>36</v>
      </c>
      <c r="AW186">
        <v>4</v>
      </c>
      <c r="AX186" t="s">
        <v>74</v>
      </c>
      <c r="AY186" t="s">
        <v>74</v>
      </c>
      <c r="AZ186" t="s">
        <v>74</v>
      </c>
      <c r="BA186" t="s">
        <v>74</v>
      </c>
      <c r="BB186">
        <v>369</v>
      </c>
      <c r="BC186">
        <v>374</v>
      </c>
      <c r="BD186" t="s">
        <v>74</v>
      </c>
      <c r="BE186" t="s">
        <v>3972</v>
      </c>
      <c r="BF186" t="str">
        <f>HYPERLINK("http://dx.doi.org/10.1134/S1875372815040071","http://dx.doi.org/10.1134/S1875372815040071")</f>
        <v>http://dx.doi.org/10.1134/S1875372815040071</v>
      </c>
      <c r="BG186" t="s">
        <v>74</v>
      </c>
      <c r="BH186" t="s">
        <v>74</v>
      </c>
      <c r="BI186">
        <v>6</v>
      </c>
      <c r="BJ186" t="s">
        <v>2351</v>
      </c>
      <c r="BK186" t="s">
        <v>831</v>
      </c>
      <c r="BL186" t="s">
        <v>2351</v>
      </c>
      <c r="BM186" t="s">
        <v>3973</v>
      </c>
      <c r="BN186" t="s">
        <v>74</v>
      </c>
      <c r="BO186" t="s">
        <v>74</v>
      </c>
      <c r="BP186" t="s">
        <v>74</v>
      </c>
      <c r="BQ186" t="s">
        <v>74</v>
      </c>
      <c r="BR186" t="s">
        <v>103</v>
      </c>
      <c r="BS186" t="s">
        <v>3974</v>
      </c>
      <c r="BT186" t="str">
        <f>HYPERLINK("https%3A%2F%2Fwww.webofscience.com%2Fwos%2Fwoscc%2Ffull-record%2FWOS:000367614900007","View Full Record in Web of Science")</f>
        <v>View Full Record in Web of Science</v>
      </c>
    </row>
    <row r="187" spans="1:72" x14ac:dyDescent="0.15">
      <c r="A187" t="s">
        <v>72</v>
      </c>
      <c r="B187" t="s">
        <v>3975</v>
      </c>
      <c r="C187" t="s">
        <v>74</v>
      </c>
      <c r="D187" t="s">
        <v>74</v>
      </c>
      <c r="E187" t="s">
        <v>74</v>
      </c>
      <c r="F187" t="s">
        <v>3976</v>
      </c>
      <c r="G187" t="s">
        <v>74</v>
      </c>
      <c r="H187" t="s">
        <v>74</v>
      </c>
      <c r="I187" t="s">
        <v>3977</v>
      </c>
      <c r="J187" t="s">
        <v>3406</v>
      </c>
      <c r="K187" t="s">
        <v>74</v>
      </c>
      <c r="L187" t="s">
        <v>74</v>
      </c>
      <c r="M187" t="s">
        <v>78</v>
      </c>
      <c r="N187" t="s">
        <v>79</v>
      </c>
      <c r="O187" t="s">
        <v>74</v>
      </c>
      <c r="P187" t="s">
        <v>74</v>
      </c>
      <c r="Q187" t="s">
        <v>74</v>
      </c>
      <c r="R187" t="s">
        <v>74</v>
      </c>
      <c r="S187" t="s">
        <v>74</v>
      </c>
      <c r="T187" t="s">
        <v>74</v>
      </c>
      <c r="U187" t="s">
        <v>3978</v>
      </c>
      <c r="V187" t="s">
        <v>3979</v>
      </c>
      <c r="W187" t="s">
        <v>3980</v>
      </c>
      <c r="X187" t="s">
        <v>3981</v>
      </c>
      <c r="Y187" t="s">
        <v>3982</v>
      </c>
      <c r="Z187" t="s">
        <v>3983</v>
      </c>
      <c r="AA187" t="s">
        <v>3984</v>
      </c>
      <c r="AB187" t="s">
        <v>3985</v>
      </c>
      <c r="AC187" t="s">
        <v>3986</v>
      </c>
      <c r="AD187" t="s">
        <v>3987</v>
      </c>
      <c r="AE187" t="s">
        <v>3988</v>
      </c>
      <c r="AF187" t="s">
        <v>74</v>
      </c>
      <c r="AG187">
        <v>43</v>
      </c>
      <c r="AH187">
        <v>37</v>
      </c>
      <c r="AI187">
        <v>43</v>
      </c>
      <c r="AJ187">
        <v>0</v>
      </c>
      <c r="AK187">
        <v>38</v>
      </c>
      <c r="AL187" t="s">
        <v>3418</v>
      </c>
      <c r="AM187" t="s">
        <v>3419</v>
      </c>
      <c r="AN187" t="s">
        <v>3420</v>
      </c>
      <c r="AO187" t="s">
        <v>3421</v>
      </c>
      <c r="AP187" t="s">
        <v>3422</v>
      </c>
      <c r="AQ187" t="s">
        <v>74</v>
      </c>
      <c r="AR187" t="s">
        <v>3406</v>
      </c>
      <c r="AS187" t="s">
        <v>315</v>
      </c>
      <c r="AT187" t="s">
        <v>2170</v>
      </c>
      <c r="AU187">
        <v>2015</v>
      </c>
      <c r="AV187">
        <v>43</v>
      </c>
      <c r="AW187">
        <v>10</v>
      </c>
      <c r="AX187" t="s">
        <v>74</v>
      </c>
      <c r="AY187" t="s">
        <v>74</v>
      </c>
      <c r="AZ187" t="s">
        <v>74</v>
      </c>
      <c r="BA187" t="s">
        <v>74</v>
      </c>
      <c r="BB187">
        <v>879</v>
      </c>
      <c r="BC187">
        <v>882</v>
      </c>
      <c r="BD187" t="s">
        <v>74</v>
      </c>
      <c r="BE187" t="s">
        <v>3989</v>
      </c>
      <c r="BF187" t="str">
        <f>HYPERLINK("http://dx.doi.org/10.1130/G36999.1","http://dx.doi.org/10.1130/G36999.1")</f>
        <v>http://dx.doi.org/10.1130/G36999.1</v>
      </c>
      <c r="BG187" t="s">
        <v>74</v>
      </c>
      <c r="BH187" t="s">
        <v>74</v>
      </c>
      <c r="BI187">
        <v>4</v>
      </c>
      <c r="BJ187" t="s">
        <v>315</v>
      </c>
      <c r="BK187" t="s">
        <v>101</v>
      </c>
      <c r="BL187" t="s">
        <v>315</v>
      </c>
      <c r="BM187" t="s">
        <v>3424</v>
      </c>
      <c r="BN187" t="s">
        <v>74</v>
      </c>
      <c r="BO187" t="s">
        <v>74</v>
      </c>
      <c r="BP187" t="s">
        <v>74</v>
      </c>
      <c r="BQ187" t="s">
        <v>74</v>
      </c>
      <c r="BR187" t="s">
        <v>103</v>
      </c>
      <c r="BS187" t="s">
        <v>3990</v>
      </c>
      <c r="BT187" t="str">
        <f>HYPERLINK("https%3A%2F%2Fwww.webofscience.com%2Fwos%2Fwoscc%2Ffull-record%2FWOS:000361830400008","View Full Record in Web of Science")</f>
        <v>View Full Record in Web of Science</v>
      </c>
    </row>
    <row r="188" spans="1:72" x14ac:dyDescent="0.15">
      <c r="A188" t="s">
        <v>72</v>
      </c>
      <c r="B188" t="s">
        <v>3991</v>
      </c>
      <c r="C188" t="s">
        <v>74</v>
      </c>
      <c r="D188" t="s">
        <v>74</v>
      </c>
      <c r="E188" t="s">
        <v>74</v>
      </c>
      <c r="F188" t="s">
        <v>3992</v>
      </c>
      <c r="G188" t="s">
        <v>74</v>
      </c>
      <c r="H188" t="s">
        <v>74</v>
      </c>
      <c r="I188" t="s">
        <v>3993</v>
      </c>
      <c r="J188" t="s">
        <v>3406</v>
      </c>
      <c r="K188" t="s">
        <v>74</v>
      </c>
      <c r="L188" t="s">
        <v>74</v>
      </c>
      <c r="M188" t="s">
        <v>78</v>
      </c>
      <c r="N188" t="s">
        <v>79</v>
      </c>
      <c r="O188" t="s">
        <v>74</v>
      </c>
      <c r="P188" t="s">
        <v>74</v>
      </c>
      <c r="Q188" t="s">
        <v>74</v>
      </c>
      <c r="R188" t="s">
        <v>74</v>
      </c>
      <c r="S188" t="s">
        <v>74</v>
      </c>
      <c r="T188" t="s">
        <v>74</v>
      </c>
      <c r="U188" t="s">
        <v>3994</v>
      </c>
      <c r="V188" t="s">
        <v>3995</v>
      </c>
      <c r="W188" t="s">
        <v>3996</v>
      </c>
      <c r="X188" t="s">
        <v>3997</v>
      </c>
      <c r="Y188" t="s">
        <v>3998</v>
      </c>
      <c r="Z188" t="s">
        <v>74</v>
      </c>
      <c r="AA188" t="s">
        <v>3999</v>
      </c>
      <c r="AB188" t="s">
        <v>4000</v>
      </c>
      <c r="AC188" t="s">
        <v>4001</v>
      </c>
      <c r="AD188" t="s">
        <v>4002</v>
      </c>
      <c r="AE188" t="s">
        <v>4003</v>
      </c>
      <c r="AF188" t="s">
        <v>74</v>
      </c>
      <c r="AG188">
        <v>41</v>
      </c>
      <c r="AH188">
        <v>46</v>
      </c>
      <c r="AI188">
        <v>51</v>
      </c>
      <c r="AJ188">
        <v>1</v>
      </c>
      <c r="AK188">
        <v>57</v>
      </c>
      <c r="AL188" t="s">
        <v>3418</v>
      </c>
      <c r="AM188" t="s">
        <v>3419</v>
      </c>
      <c r="AN188" t="s">
        <v>3420</v>
      </c>
      <c r="AO188" t="s">
        <v>3421</v>
      </c>
      <c r="AP188" t="s">
        <v>3422</v>
      </c>
      <c r="AQ188" t="s">
        <v>74</v>
      </c>
      <c r="AR188" t="s">
        <v>3406</v>
      </c>
      <c r="AS188" t="s">
        <v>315</v>
      </c>
      <c r="AT188" t="s">
        <v>2170</v>
      </c>
      <c r="AU188">
        <v>2015</v>
      </c>
      <c r="AV188">
        <v>43</v>
      </c>
      <c r="AW188">
        <v>10</v>
      </c>
      <c r="AX188" t="s">
        <v>74</v>
      </c>
      <c r="AY188" t="s">
        <v>74</v>
      </c>
      <c r="AZ188" t="s">
        <v>74</v>
      </c>
      <c r="BA188" t="s">
        <v>74</v>
      </c>
      <c r="BB188">
        <v>887</v>
      </c>
      <c r="BC188">
        <v>890</v>
      </c>
      <c r="BD188" t="s">
        <v>74</v>
      </c>
      <c r="BE188" t="s">
        <v>4004</v>
      </c>
      <c r="BF188" t="str">
        <f>HYPERLINK("http://dx.doi.org/10.1130/G36966.1","http://dx.doi.org/10.1130/G36966.1")</f>
        <v>http://dx.doi.org/10.1130/G36966.1</v>
      </c>
      <c r="BG188" t="s">
        <v>74</v>
      </c>
      <c r="BH188" t="s">
        <v>74</v>
      </c>
      <c r="BI188">
        <v>4</v>
      </c>
      <c r="BJ188" t="s">
        <v>315</v>
      </c>
      <c r="BK188" t="s">
        <v>101</v>
      </c>
      <c r="BL188" t="s">
        <v>315</v>
      </c>
      <c r="BM188" t="s">
        <v>3424</v>
      </c>
      <c r="BN188" t="s">
        <v>74</v>
      </c>
      <c r="BO188" t="s">
        <v>559</v>
      </c>
      <c r="BP188" t="s">
        <v>74</v>
      </c>
      <c r="BQ188" t="s">
        <v>74</v>
      </c>
      <c r="BR188" t="s">
        <v>103</v>
      </c>
      <c r="BS188" t="s">
        <v>4005</v>
      </c>
      <c r="BT188" t="str">
        <f>HYPERLINK("https%3A%2F%2Fwww.webofscience.com%2Fwos%2Fwoscc%2Ffull-record%2FWOS:000361830400010","View Full Record in Web of Science")</f>
        <v>View Full Record in Web of Science</v>
      </c>
    </row>
    <row r="189" spans="1:72" x14ac:dyDescent="0.15">
      <c r="A189" t="s">
        <v>72</v>
      </c>
      <c r="B189" t="s">
        <v>4006</v>
      </c>
      <c r="C189" t="s">
        <v>74</v>
      </c>
      <c r="D189" t="s">
        <v>74</v>
      </c>
      <c r="E189" t="s">
        <v>74</v>
      </c>
      <c r="F189" t="s">
        <v>4007</v>
      </c>
      <c r="G189" t="s">
        <v>74</v>
      </c>
      <c r="H189" t="s">
        <v>74</v>
      </c>
      <c r="I189" t="s">
        <v>4008</v>
      </c>
      <c r="J189" t="s">
        <v>3406</v>
      </c>
      <c r="K189" t="s">
        <v>74</v>
      </c>
      <c r="L189" t="s">
        <v>74</v>
      </c>
      <c r="M189" t="s">
        <v>78</v>
      </c>
      <c r="N189" t="s">
        <v>754</v>
      </c>
      <c r="O189" t="s">
        <v>74</v>
      </c>
      <c r="P189" t="s">
        <v>74</v>
      </c>
      <c r="Q189" t="s">
        <v>74</v>
      </c>
      <c r="R189" t="s">
        <v>74</v>
      </c>
      <c r="S189" t="s">
        <v>74</v>
      </c>
      <c r="T189" t="s">
        <v>74</v>
      </c>
      <c r="U189" t="s">
        <v>4009</v>
      </c>
      <c r="V189" t="s">
        <v>74</v>
      </c>
      <c r="W189" t="s">
        <v>4010</v>
      </c>
      <c r="X189" t="s">
        <v>4011</v>
      </c>
      <c r="Y189" t="s">
        <v>4012</v>
      </c>
      <c r="Z189" t="s">
        <v>74</v>
      </c>
      <c r="AA189" t="s">
        <v>74</v>
      </c>
      <c r="AB189" t="s">
        <v>74</v>
      </c>
      <c r="AC189" t="s">
        <v>74</v>
      </c>
      <c r="AD189" t="s">
        <v>74</v>
      </c>
      <c r="AE189" t="s">
        <v>74</v>
      </c>
      <c r="AF189" t="s">
        <v>74</v>
      </c>
      <c r="AG189">
        <v>7</v>
      </c>
      <c r="AH189">
        <v>5</v>
      </c>
      <c r="AI189">
        <v>7</v>
      </c>
      <c r="AJ189">
        <v>0</v>
      </c>
      <c r="AK189">
        <v>12</v>
      </c>
      <c r="AL189" t="s">
        <v>3418</v>
      </c>
      <c r="AM189" t="s">
        <v>3419</v>
      </c>
      <c r="AN189" t="s">
        <v>3420</v>
      </c>
      <c r="AO189" t="s">
        <v>3421</v>
      </c>
      <c r="AP189" t="s">
        <v>3422</v>
      </c>
      <c r="AQ189" t="s">
        <v>74</v>
      </c>
      <c r="AR189" t="s">
        <v>3406</v>
      </c>
      <c r="AS189" t="s">
        <v>315</v>
      </c>
      <c r="AT189" t="s">
        <v>2170</v>
      </c>
      <c r="AU189">
        <v>2015</v>
      </c>
      <c r="AV189">
        <v>43</v>
      </c>
      <c r="AW189">
        <v>10</v>
      </c>
      <c r="AX189" t="s">
        <v>74</v>
      </c>
      <c r="AY189" t="s">
        <v>74</v>
      </c>
      <c r="AZ189" t="s">
        <v>74</v>
      </c>
      <c r="BA189" t="s">
        <v>74</v>
      </c>
      <c r="BB189">
        <v>943</v>
      </c>
      <c r="BC189">
        <v>944</v>
      </c>
      <c r="BD189" t="s">
        <v>74</v>
      </c>
      <c r="BE189" t="s">
        <v>4013</v>
      </c>
      <c r="BF189" t="str">
        <f>HYPERLINK("http://dx.doi.org/10.1130/focus102015.1","http://dx.doi.org/10.1130/focus102015.1")</f>
        <v>http://dx.doi.org/10.1130/focus102015.1</v>
      </c>
      <c r="BG189" t="s">
        <v>74</v>
      </c>
      <c r="BH189" t="s">
        <v>74</v>
      </c>
      <c r="BI189">
        <v>2</v>
      </c>
      <c r="BJ189" t="s">
        <v>315</v>
      </c>
      <c r="BK189" t="s">
        <v>101</v>
      </c>
      <c r="BL189" t="s">
        <v>315</v>
      </c>
      <c r="BM189" t="s">
        <v>3424</v>
      </c>
      <c r="BN189" t="s">
        <v>74</v>
      </c>
      <c r="BO189" t="s">
        <v>162</v>
      </c>
      <c r="BP189" t="s">
        <v>74</v>
      </c>
      <c r="BQ189" t="s">
        <v>74</v>
      </c>
      <c r="BR189" t="s">
        <v>103</v>
      </c>
      <c r="BS189" t="s">
        <v>4014</v>
      </c>
      <c r="BT189" t="str">
        <f>HYPERLINK("https%3A%2F%2Fwww.webofscience.com%2Fwos%2Fwoscc%2Ffull-record%2FWOS:000361830400025","View Full Record in Web of Science")</f>
        <v>View Full Record in Web of Science</v>
      </c>
    </row>
    <row r="190" spans="1:72" x14ac:dyDescent="0.15">
      <c r="A190" t="s">
        <v>72</v>
      </c>
      <c r="B190" t="s">
        <v>4015</v>
      </c>
      <c r="C190" t="s">
        <v>74</v>
      </c>
      <c r="D190" t="s">
        <v>74</v>
      </c>
      <c r="E190" t="s">
        <v>74</v>
      </c>
      <c r="F190" t="s">
        <v>4016</v>
      </c>
      <c r="G190" t="s">
        <v>74</v>
      </c>
      <c r="H190" t="s">
        <v>74</v>
      </c>
      <c r="I190" t="s">
        <v>4017</v>
      </c>
      <c r="J190" t="s">
        <v>4018</v>
      </c>
      <c r="K190" t="s">
        <v>74</v>
      </c>
      <c r="L190" t="s">
        <v>74</v>
      </c>
      <c r="M190" t="s">
        <v>78</v>
      </c>
      <c r="N190" t="s">
        <v>79</v>
      </c>
      <c r="O190" t="s">
        <v>74</v>
      </c>
      <c r="P190" t="s">
        <v>74</v>
      </c>
      <c r="Q190" t="s">
        <v>74</v>
      </c>
      <c r="R190" t="s">
        <v>74</v>
      </c>
      <c r="S190" t="s">
        <v>74</v>
      </c>
      <c r="T190" t="s">
        <v>4019</v>
      </c>
      <c r="U190" t="s">
        <v>4020</v>
      </c>
      <c r="V190" t="s">
        <v>4021</v>
      </c>
      <c r="W190" t="s">
        <v>4022</v>
      </c>
      <c r="X190" t="s">
        <v>4023</v>
      </c>
      <c r="Y190" t="s">
        <v>4024</v>
      </c>
      <c r="Z190" t="s">
        <v>4025</v>
      </c>
      <c r="AA190" t="s">
        <v>4026</v>
      </c>
      <c r="AB190" t="s">
        <v>4027</v>
      </c>
      <c r="AC190" t="s">
        <v>4028</v>
      </c>
      <c r="AD190" t="s">
        <v>4029</v>
      </c>
      <c r="AE190" t="s">
        <v>4030</v>
      </c>
      <c r="AF190" t="s">
        <v>74</v>
      </c>
      <c r="AG190">
        <v>96</v>
      </c>
      <c r="AH190">
        <v>34</v>
      </c>
      <c r="AI190">
        <v>37</v>
      </c>
      <c r="AJ190">
        <v>0</v>
      </c>
      <c r="AK190">
        <v>11</v>
      </c>
      <c r="AL190" t="s">
        <v>2279</v>
      </c>
      <c r="AM190" t="s">
        <v>398</v>
      </c>
      <c r="AN190" t="s">
        <v>2280</v>
      </c>
      <c r="AO190" t="s">
        <v>4031</v>
      </c>
      <c r="AP190" t="s">
        <v>4032</v>
      </c>
      <c r="AQ190" t="s">
        <v>74</v>
      </c>
      <c r="AR190" t="s">
        <v>4033</v>
      </c>
      <c r="AS190" t="s">
        <v>4034</v>
      </c>
      <c r="AT190" t="s">
        <v>2170</v>
      </c>
      <c r="AU190">
        <v>2015</v>
      </c>
      <c r="AV190">
        <v>203</v>
      </c>
      <c r="AW190">
        <v>1</v>
      </c>
      <c r="AX190" t="s">
        <v>74</v>
      </c>
      <c r="AY190" t="s">
        <v>74</v>
      </c>
      <c r="AZ190" t="s">
        <v>74</v>
      </c>
      <c r="BA190" t="s">
        <v>74</v>
      </c>
      <c r="BB190">
        <v>737</v>
      </c>
      <c r="BC190">
        <v>754</v>
      </c>
      <c r="BD190" t="s">
        <v>74</v>
      </c>
      <c r="BE190" t="s">
        <v>4035</v>
      </c>
      <c r="BF190" t="str">
        <f>HYPERLINK("http://dx.doi.org/10.1093/gji/ggv327","http://dx.doi.org/10.1093/gji/ggv327")</f>
        <v>http://dx.doi.org/10.1093/gji/ggv327</v>
      </c>
      <c r="BG190" t="s">
        <v>74</v>
      </c>
      <c r="BH190" t="s">
        <v>74</v>
      </c>
      <c r="BI190">
        <v>18</v>
      </c>
      <c r="BJ190" t="s">
        <v>1707</v>
      </c>
      <c r="BK190" t="s">
        <v>101</v>
      </c>
      <c r="BL190" t="s">
        <v>1707</v>
      </c>
      <c r="BM190" t="s">
        <v>4036</v>
      </c>
      <c r="BN190" t="s">
        <v>74</v>
      </c>
      <c r="BO190" t="s">
        <v>4037</v>
      </c>
      <c r="BP190" t="s">
        <v>74</v>
      </c>
      <c r="BQ190" t="s">
        <v>74</v>
      </c>
      <c r="BR190" t="s">
        <v>103</v>
      </c>
      <c r="BS190" t="s">
        <v>4038</v>
      </c>
      <c r="BT190" t="str">
        <f>HYPERLINK("https%3A%2F%2Fwww.webofscience.com%2Fwos%2Fwoscc%2Ffull-record%2FWOS:000366492900051","View Full Record in Web of Science")</f>
        <v>View Full Record in Web of Science</v>
      </c>
    </row>
    <row r="191" spans="1:72" x14ac:dyDescent="0.15">
      <c r="A191" t="s">
        <v>72</v>
      </c>
      <c r="B191" t="s">
        <v>4039</v>
      </c>
      <c r="C191" t="s">
        <v>74</v>
      </c>
      <c r="D191" t="s">
        <v>74</v>
      </c>
      <c r="E191" t="s">
        <v>74</v>
      </c>
      <c r="F191" t="s">
        <v>4040</v>
      </c>
      <c r="G191" t="s">
        <v>74</v>
      </c>
      <c r="H191" t="s">
        <v>74</v>
      </c>
      <c r="I191" t="s">
        <v>4041</v>
      </c>
      <c r="J191" t="s">
        <v>4042</v>
      </c>
      <c r="K191" t="s">
        <v>74</v>
      </c>
      <c r="L191" t="s">
        <v>74</v>
      </c>
      <c r="M191" t="s">
        <v>78</v>
      </c>
      <c r="N191" t="s">
        <v>79</v>
      </c>
      <c r="O191" t="s">
        <v>74</v>
      </c>
      <c r="P191" t="s">
        <v>74</v>
      </c>
      <c r="Q191" t="s">
        <v>74</v>
      </c>
      <c r="R191" t="s">
        <v>74</v>
      </c>
      <c r="S191" t="s">
        <v>74</v>
      </c>
      <c r="T191" t="s">
        <v>74</v>
      </c>
      <c r="U191" t="s">
        <v>4043</v>
      </c>
      <c r="V191" t="s">
        <v>4044</v>
      </c>
      <c r="W191" t="s">
        <v>4045</v>
      </c>
      <c r="X191" t="s">
        <v>4046</v>
      </c>
      <c r="Y191" t="s">
        <v>4047</v>
      </c>
      <c r="Z191" t="s">
        <v>4048</v>
      </c>
      <c r="AA191" t="s">
        <v>4049</v>
      </c>
      <c r="AB191" t="s">
        <v>4050</v>
      </c>
      <c r="AC191" t="s">
        <v>4051</v>
      </c>
      <c r="AD191" t="s">
        <v>4052</v>
      </c>
      <c r="AE191" t="s">
        <v>4053</v>
      </c>
      <c r="AF191" t="s">
        <v>74</v>
      </c>
      <c r="AG191">
        <v>91</v>
      </c>
      <c r="AH191">
        <v>31</v>
      </c>
      <c r="AI191">
        <v>36</v>
      </c>
      <c r="AJ191">
        <v>2</v>
      </c>
      <c r="AK191">
        <v>49</v>
      </c>
      <c r="AL191" t="s">
        <v>306</v>
      </c>
      <c r="AM191" t="s">
        <v>307</v>
      </c>
      <c r="AN191" t="s">
        <v>308</v>
      </c>
      <c r="AO191" t="s">
        <v>4054</v>
      </c>
      <c r="AP191" t="s">
        <v>4055</v>
      </c>
      <c r="AQ191" t="s">
        <v>74</v>
      </c>
      <c r="AR191" t="s">
        <v>4056</v>
      </c>
      <c r="AS191" t="s">
        <v>4057</v>
      </c>
      <c r="AT191" t="s">
        <v>2170</v>
      </c>
      <c r="AU191">
        <v>2015</v>
      </c>
      <c r="AV191">
        <v>29</v>
      </c>
      <c r="AW191">
        <v>10</v>
      </c>
      <c r="AX191" t="s">
        <v>74</v>
      </c>
      <c r="AY191" t="s">
        <v>74</v>
      </c>
      <c r="AZ191" t="s">
        <v>74</v>
      </c>
      <c r="BA191" t="s">
        <v>74</v>
      </c>
      <c r="BB191">
        <v>1599</v>
      </c>
      <c r="BC191">
        <v>1616</v>
      </c>
      <c r="BD191" t="s">
        <v>74</v>
      </c>
      <c r="BE191" t="s">
        <v>4058</v>
      </c>
      <c r="BF191" t="str">
        <f>HYPERLINK("http://dx.doi.org/10.1002/2015GB005186","http://dx.doi.org/10.1002/2015GB005186")</f>
        <v>http://dx.doi.org/10.1002/2015GB005186</v>
      </c>
      <c r="BG191" t="s">
        <v>74</v>
      </c>
      <c r="BH191" t="s">
        <v>74</v>
      </c>
      <c r="BI191">
        <v>18</v>
      </c>
      <c r="BJ191" t="s">
        <v>2464</v>
      </c>
      <c r="BK191" t="s">
        <v>101</v>
      </c>
      <c r="BL191" t="s">
        <v>2465</v>
      </c>
      <c r="BM191" t="s">
        <v>4059</v>
      </c>
      <c r="BN191" t="s">
        <v>74</v>
      </c>
      <c r="BO191" t="s">
        <v>4060</v>
      </c>
      <c r="BP191" t="s">
        <v>74</v>
      </c>
      <c r="BQ191" t="s">
        <v>74</v>
      </c>
      <c r="BR191" t="s">
        <v>103</v>
      </c>
      <c r="BS191" t="s">
        <v>4061</v>
      </c>
      <c r="BT191" t="str">
        <f>HYPERLINK("https%3A%2F%2Fwww.webofscience.com%2Fwos%2Fwoscc%2Ffull-record%2FWOS:000364876500003","View Full Record in Web of Science")</f>
        <v>View Full Record in Web of Science</v>
      </c>
    </row>
    <row r="192" spans="1:72" x14ac:dyDescent="0.15">
      <c r="A192" t="s">
        <v>72</v>
      </c>
      <c r="B192" t="s">
        <v>4062</v>
      </c>
      <c r="C192" t="s">
        <v>74</v>
      </c>
      <c r="D192" t="s">
        <v>74</v>
      </c>
      <c r="E192" t="s">
        <v>74</v>
      </c>
      <c r="F192" t="s">
        <v>4063</v>
      </c>
      <c r="G192" t="s">
        <v>74</v>
      </c>
      <c r="H192" t="s">
        <v>74</v>
      </c>
      <c r="I192" t="s">
        <v>4064</v>
      </c>
      <c r="J192" t="s">
        <v>4042</v>
      </c>
      <c r="K192" t="s">
        <v>74</v>
      </c>
      <c r="L192" t="s">
        <v>74</v>
      </c>
      <c r="M192" t="s">
        <v>78</v>
      </c>
      <c r="N192" t="s">
        <v>79</v>
      </c>
      <c r="O192" t="s">
        <v>74</v>
      </c>
      <c r="P192" t="s">
        <v>74</v>
      </c>
      <c r="Q192" t="s">
        <v>74</v>
      </c>
      <c r="R192" t="s">
        <v>74</v>
      </c>
      <c r="S192" t="s">
        <v>74</v>
      </c>
      <c r="T192" t="s">
        <v>74</v>
      </c>
      <c r="U192" t="s">
        <v>4065</v>
      </c>
      <c r="V192" t="s">
        <v>4066</v>
      </c>
      <c r="W192" t="s">
        <v>4067</v>
      </c>
      <c r="X192" t="s">
        <v>4068</v>
      </c>
      <c r="Y192" t="s">
        <v>4069</v>
      </c>
      <c r="Z192" t="s">
        <v>4070</v>
      </c>
      <c r="AA192" t="s">
        <v>4071</v>
      </c>
      <c r="AB192" t="s">
        <v>4072</v>
      </c>
      <c r="AC192" t="s">
        <v>4073</v>
      </c>
      <c r="AD192" t="s">
        <v>4074</v>
      </c>
      <c r="AE192" t="s">
        <v>4075</v>
      </c>
      <c r="AF192" t="s">
        <v>74</v>
      </c>
      <c r="AG192">
        <v>53</v>
      </c>
      <c r="AH192">
        <v>22</v>
      </c>
      <c r="AI192">
        <v>24</v>
      </c>
      <c r="AJ192">
        <v>0</v>
      </c>
      <c r="AK192">
        <v>47</v>
      </c>
      <c r="AL192" t="s">
        <v>306</v>
      </c>
      <c r="AM192" t="s">
        <v>307</v>
      </c>
      <c r="AN192" t="s">
        <v>308</v>
      </c>
      <c r="AO192" t="s">
        <v>4054</v>
      </c>
      <c r="AP192" t="s">
        <v>4055</v>
      </c>
      <c r="AQ192" t="s">
        <v>74</v>
      </c>
      <c r="AR192" t="s">
        <v>4056</v>
      </c>
      <c r="AS192" t="s">
        <v>4057</v>
      </c>
      <c r="AT192" t="s">
        <v>2170</v>
      </c>
      <c r="AU192">
        <v>2015</v>
      </c>
      <c r="AV192">
        <v>29</v>
      </c>
      <c r="AW192">
        <v>10</v>
      </c>
      <c r="AX192" t="s">
        <v>74</v>
      </c>
      <c r="AY192" t="s">
        <v>74</v>
      </c>
      <c r="AZ192" t="s">
        <v>74</v>
      </c>
      <c r="BA192" t="s">
        <v>74</v>
      </c>
      <c r="BB192">
        <v>1830</v>
      </c>
      <c r="BC192">
        <v>1844</v>
      </c>
      <c r="BD192" t="s">
        <v>74</v>
      </c>
      <c r="BE192" t="s">
        <v>4076</v>
      </c>
      <c r="BF192" t="str">
        <f>HYPERLINK("http://dx.doi.org/10.1002/2015GB005164","http://dx.doi.org/10.1002/2015GB005164")</f>
        <v>http://dx.doi.org/10.1002/2015GB005164</v>
      </c>
      <c r="BG192" t="s">
        <v>74</v>
      </c>
      <c r="BH192" t="s">
        <v>74</v>
      </c>
      <c r="BI192">
        <v>15</v>
      </c>
      <c r="BJ192" t="s">
        <v>2464</v>
      </c>
      <c r="BK192" t="s">
        <v>101</v>
      </c>
      <c r="BL192" t="s">
        <v>2465</v>
      </c>
      <c r="BM192" t="s">
        <v>4059</v>
      </c>
      <c r="BN192" t="s">
        <v>74</v>
      </c>
      <c r="BO192" t="s">
        <v>4037</v>
      </c>
      <c r="BP192" t="s">
        <v>74</v>
      </c>
      <c r="BQ192" t="s">
        <v>74</v>
      </c>
      <c r="BR192" t="s">
        <v>103</v>
      </c>
      <c r="BS192" t="s">
        <v>4077</v>
      </c>
      <c r="BT192" t="str">
        <f>HYPERLINK("https%3A%2F%2Fwww.webofscience.com%2Fwos%2Fwoscc%2Ffull-record%2FWOS:000364876500017","View Full Record in Web of Science")</f>
        <v>View Full Record in Web of Science</v>
      </c>
    </row>
    <row r="193" spans="1:72" x14ac:dyDescent="0.15">
      <c r="A193" t="s">
        <v>72</v>
      </c>
      <c r="B193" t="s">
        <v>4078</v>
      </c>
      <c r="C193" t="s">
        <v>74</v>
      </c>
      <c r="D193" t="s">
        <v>74</v>
      </c>
      <c r="E193" t="s">
        <v>74</v>
      </c>
      <c r="F193" t="s">
        <v>4079</v>
      </c>
      <c r="G193" t="s">
        <v>74</v>
      </c>
      <c r="H193" t="s">
        <v>74</v>
      </c>
      <c r="I193" t="s">
        <v>4080</v>
      </c>
      <c r="J193" t="s">
        <v>4042</v>
      </c>
      <c r="K193" t="s">
        <v>74</v>
      </c>
      <c r="L193" t="s">
        <v>74</v>
      </c>
      <c r="M193" t="s">
        <v>78</v>
      </c>
      <c r="N193" t="s">
        <v>79</v>
      </c>
      <c r="O193" t="s">
        <v>74</v>
      </c>
      <c r="P193" t="s">
        <v>74</v>
      </c>
      <c r="Q193" t="s">
        <v>74</v>
      </c>
      <c r="R193" t="s">
        <v>74</v>
      </c>
      <c r="S193" t="s">
        <v>74</v>
      </c>
      <c r="T193" t="s">
        <v>74</v>
      </c>
      <c r="U193" t="s">
        <v>4081</v>
      </c>
      <c r="V193" t="s">
        <v>4082</v>
      </c>
      <c r="W193" t="s">
        <v>4083</v>
      </c>
      <c r="X193" t="s">
        <v>4084</v>
      </c>
      <c r="Y193" t="s">
        <v>4085</v>
      </c>
      <c r="Z193" t="s">
        <v>4086</v>
      </c>
      <c r="AA193" t="s">
        <v>4087</v>
      </c>
      <c r="AB193" t="s">
        <v>4088</v>
      </c>
      <c r="AC193" t="s">
        <v>4089</v>
      </c>
      <c r="AD193" t="s">
        <v>4090</v>
      </c>
      <c r="AE193" t="s">
        <v>4091</v>
      </c>
      <c r="AF193" t="s">
        <v>74</v>
      </c>
      <c r="AG193">
        <v>41</v>
      </c>
      <c r="AH193">
        <v>27</v>
      </c>
      <c r="AI193">
        <v>27</v>
      </c>
      <c r="AJ193">
        <v>1</v>
      </c>
      <c r="AK193">
        <v>26</v>
      </c>
      <c r="AL193" t="s">
        <v>306</v>
      </c>
      <c r="AM193" t="s">
        <v>307</v>
      </c>
      <c r="AN193" t="s">
        <v>308</v>
      </c>
      <c r="AO193" t="s">
        <v>4054</v>
      </c>
      <c r="AP193" t="s">
        <v>4055</v>
      </c>
      <c r="AQ193" t="s">
        <v>74</v>
      </c>
      <c r="AR193" t="s">
        <v>4056</v>
      </c>
      <c r="AS193" t="s">
        <v>4057</v>
      </c>
      <c r="AT193" t="s">
        <v>2170</v>
      </c>
      <c r="AU193">
        <v>2015</v>
      </c>
      <c r="AV193">
        <v>29</v>
      </c>
      <c r="AW193">
        <v>10</v>
      </c>
      <c r="AX193" t="s">
        <v>74</v>
      </c>
      <c r="AY193" t="s">
        <v>74</v>
      </c>
      <c r="AZ193" t="s">
        <v>74</v>
      </c>
      <c r="BA193" t="s">
        <v>74</v>
      </c>
      <c r="BB193">
        <v>1845</v>
      </c>
      <c r="BC193">
        <v>1853</v>
      </c>
      <c r="BD193" t="s">
        <v>74</v>
      </c>
      <c r="BE193" t="s">
        <v>4092</v>
      </c>
      <c r="BF193" t="str">
        <f>HYPERLINK("http://dx.doi.org/10.1002/2015GB005274","http://dx.doi.org/10.1002/2015GB005274")</f>
        <v>http://dx.doi.org/10.1002/2015GB005274</v>
      </c>
      <c r="BG193" t="s">
        <v>74</v>
      </c>
      <c r="BH193" t="s">
        <v>74</v>
      </c>
      <c r="BI193">
        <v>9</v>
      </c>
      <c r="BJ193" t="s">
        <v>2464</v>
      </c>
      <c r="BK193" t="s">
        <v>101</v>
      </c>
      <c r="BL193" t="s">
        <v>2465</v>
      </c>
      <c r="BM193" t="s">
        <v>4059</v>
      </c>
      <c r="BN193" t="s">
        <v>74</v>
      </c>
      <c r="BO193" t="s">
        <v>684</v>
      </c>
      <c r="BP193" t="s">
        <v>74</v>
      </c>
      <c r="BQ193" t="s">
        <v>74</v>
      </c>
      <c r="BR193" t="s">
        <v>103</v>
      </c>
      <c r="BS193" t="s">
        <v>4093</v>
      </c>
      <c r="BT193" t="str">
        <f>HYPERLINK("https%3A%2F%2Fwww.webofscience.com%2Fwos%2Fwoscc%2Ffull-record%2FWOS:000364876500018","View Full Record in Web of Science")</f>
        <v>View Full Record in Web of Science</v>
      </c>
    </row>
    <row r="194" spans="1:72" x14ac:dyDescent="0.15">
      <c r="A194" t="s">
        <v>72</v>
      </c>
      <c r="B194" t="s">
        <v>4094</v>
      </c>
      <c r="C194" t="s">
        <v>74</v>
      </c>
      <c r="D194" t="s">
        <v>74</v>
      </c>
      <c r="E194" t="s">
        <v>74</v>
      </c>
      <c r="F194" t="s">
        <v>4095</v>
      </c>
      <c r="G194" t="s">
        <v>74</v>
      </c>
      <c r="H194" t="s">
        <v>74</v>
      </c>
      <c r="I194" t="s">
        <v>4096</v>
      </c>
      <c r="J194" t="s">
        <v>4097</v>
      </c>
      <c r="K194" t="s">
        <v>74</v>
      </c>
      <c r="L194" t="s">
        <v>74</v>
      </c>
      <c r="M194" t="s">
        <v>78</v>
      </c>
      <c r="N194" t="s">
        <v>581</v>
      </c>
      <c r="O194" t="s">
        <v>74</v>
      </c>
      <c r="P194" t="s">
        <v>74</v>
      </c>
      <c r="Q194" t="s">
        <v>74</v>
      </c>
      <c r="R194" t="s">
        <v>74</v>
      </c>
      <c r="S194" t="s">
        <v>74</v>
      </c>
      <c r="T194" t="s">
        <v>4098</v>
      </c>
      <c r="U194" t="s">
        <v>4099</v>
      </c>
      <c r="V194" t="s">
        <v>4100</v>
      </c>
      <c r="W194" t="s">
        <v>4101</v>
      </c>
      <c r="X194" t="s">
        <v>4102</v>
      </c>
      <c r="Y194" t="s">
        <v>4103</v>
      </c>
      <c r="Z194" t="s">
        <v>4104</v>
      </c>
      <c r="AA194" t="s">
        <v>4105</v>
      </c>
      <c r="AB194" t="s">
        <v>4106</v>
      </c>
      <c r="AC194" t="s">
        <v>74</v>
      </c>
      <c r="AD194" t="s">
        <v>74</v>
      </c>
      <c r="AE194" t="s">
        <v>74</v>
      </c>
      <c r="AF194" t="s">
        <v>74</v>
      </c>
      <c r="AG194">
        <v>154</v>
      </c>
      <c r="AH194">
        <v>24</v>
      </c>
      <c r="AI194">
        <v>27</v>
      </c>
      <c r="AJ194">
        <v>1</v>
      </c>
      <c r="AK194">
        <v>24</v>
      </c>
      <c r="AL194" t="s">
        <v>883</v>
      </c>
      <c r="AM194" t="s">
        <v>884</v>
      </c>
      <c r="AN194" t="s">
        <v>885</v>
      </c>
      <c r="AO194" t="s">
        <v>4107</v>
      </c>
      <c r="AP194" t="s">
        <v>4108</v>
      </c>
      <c r="AQ194" t="s">
        <v>74</v>
      </c>
      <c r="AR194" t="s">
        <v>4109</v>
      </c>
      <c r="AS194" t="s">
        <v>4110</v>
      </c>
      <c r="AT194" t="s">
        <v>2170</v>
      </c>
      <c r="AU194">
        <v>2015</v>
      </c>
      <c r="AV194">
        <v>28</v>
      </c>
      <c r="AW194">
        <v>3</v>
      </c>
      <c r="AX194" t="s">
        <v>74</v>
      </c>
      <c r="AY194" t="s">
        <v>74</v>
      </c>
      <c r="AZ194" t="s">
        <v>74</v>
      </c>
      <c r="BA194" t="s">
        <v>74</v>
      </c>
      <c r="BB194">
        <v>905</v>
      </c>
      <c r="BC194">
        <v>932</v>
      </c>
      <c r="BD194" t="s">
        <v>74</v>
      </c>
      <c r="BE194" t="s">
        <v>4111</v>
      </c>
      <c r="BF194" t="str">
        <f>HYPERLINK("http://dx.doi.org/10.1016/j.gr.2015.02.003","http://dx.doi.org/10.1016/j.gr.2015.02.003")</f>
        <v>http://dx.doi.org/10.1016/j.gr.2015.02.003</v>
      </c>
      <c r="BG194" t="s">
        <v>74</v>
      </c>
      <c r="BH194" t="s">
        <v>74</v>
      </c>
      <c r="BI194">
        <v>28</v>
      </c>
      <c r="BJ194" t="s">
        <v>314</v>
      </c>
      <c r="BK194" t="s">
        <v>101</v>
      </c>
      <c r="BL194" t="s">
        <v>315</v>
      </c>
      <c r="BM194" t="s">
        <v>4112</v>
      </c>
      <c r="BN194" t="s">
        <v>74</v>
      </c>
      <c r="BO194" t="s">
        <v>74</v>
      </c>
      <c r="BP194" t="s">
        <v>74</v>
      </c>
      <c r="BQ194" t="s">
        <v>74</v>
      </c>
      <c r="BR194" t="s">
        <v>103</v>
      </c>
      <c r="BS194" t="s">
        <v>4113</v>
      </c>
      <c r="BT194" t="str">
        <f>HYPERLINK("https%3A%2F%2Fwww.webofscience.com%2Fwos%2Fwoscc%2Ffull-record%2FWOS:000361074800001","View Full Record in Web of Science")</f>
        <v>View Full Record in Web of Science</v>
      </c>
    </row>
    <row r="195" spans="1:72" x14ac:dyDescent="0.15">
      <c r="A195" t="s">
        <v>72</v>
      </c>
      <c r="B195" t="s">
        <v>4114</v>
      </c>
      <c r="C195" t="s">
        <v>74</v>
      </c>
      <c r="D195" t="s">
        <v>74</v>
      </c>
      <c r="E195" t="s">
        <v>74</v>
      </c>
      <c r="F195" t="s">
        <v>4115</v>
      </c>
      <c r="G195" t="s">
        <v>74</v>
      </c>
      <c r="H195" t="s">
        <v>74</v>
      </c>
      <c r="I195" t="s">
        <v>4116</v>
      </c>
      <c r="J195" t="s">
        <v>4117</v>
      </c>
      <c r="K195" t="s">
        <v>74</v>
      </c>
      <c r="L195" t="s">
        <v>74</v>
      </c>
      <c r="M195" t="s">
        <v>78</v>
      </c>
      <c r="N195" t="s">
        <v>754</v>
      </c>
      <c r="O195" t="s">
        <v>74</v>
      </c>
      <c r="P195" t="s">
        <v>74</v>
      </c>
      <c r="Q195" t="s">
        <v>74</v>
      </c>
      <c r="R195" t="s">
        <v>74</v>
      </c>
      <c r="S195" t="s">
        <v>74</v>
      </c>
      <c r="T195" t="s">
        <v>74</v>
      </c>
      <c r="U195" t="s">
        <v>74</v>
      </c>
      <c r="V195" t="s">
        <v>74</v>
      </c>
      <c r="W195" t="s">
        <v>74</v>
      </c>
      <c r="X195" t="s">
        <v>74</v>
      </c>
      <c r="Y195" t="s">
        <v>74</v>
      </c>
      <c r="Z195" t="s">
        <v>74</v>
      </c>
      <c r="AA195" t="s">
        <v>74</v>
      </c>
      <c r="AB195" t="s">
        <v>74</v>
      </c>
      <c r="AC195" t="s">
        <v>74</v>
      </c>
      <c r="AD195" t="s">
        <v>74</v>
      </c>
      <c r="AE195" t="s">
        <v>74</v>
      </c>
      <c r="AF195" t="s">
        <v>74</v>
      </c>
      <c r="AG195">
        <v>0</v>
      </c>
      <c r="AH195">
        <v>0</v>
      </c>
      <c r="AI195">
        <v>0</v>
      </c>
      <c r="AJ195">
        <v>0</v>
      </c>
      <c r="AK195">
        <v>1</v>
      </c>
      <c r="AL195" t="s">
        <v>4118</v>
      </c>
      <c r="AM195" t="s">
        <v>4119</v>
      </c>
      <c r="AN195" t="s">
        <v>4120</v>
      </c>
      <c r="AO195" t="s">
        <v>4121</v>
      </c>
      <c r="AP195" t="s">
        <v>4122</v>
      </c>
      <c r="AQ195" t="s">
        <v>74</v>
      </c>
      <c r="AR195" t="s">
        <v>4117</v>
      </c>
      <c r="AS195" t="s">
        <v>4123</v>
      </c>
      <c r="AT195" t="s">
        <v>2170</v>
      </c>
      <c r="AU195">
        <v>2015</v>
      </c>
      <c r="AV195">
        <v>52</v>
      </c>
      <c r="AW195">
        <v>10</v>
      </c>
      <c r="AX195" t="s">
        <v>74</v>
      </c>
      <c r="AY195" t="s">
        <v>74</v>
      </c>
      <c r="AZ195" t="s">
        <v>74</v>
      </c>
      <c r="BA195" t="s">
        <v>74</v>
      </c>
      <c r="BB195">
        <v>23</v>
      </c>
      <c r="BC195">
        <v>24</v>
      </c>
      <c r="BD195" t="s">
        <v>74</v>
      </c>
      <c r="BE195" t="s">
        <v>4124</v>
      </c>
      <c r="BF195" t="str">
        <f>HYPERLINK("http://dx.doi.org/10.1109/MSPEC.2015.7274185","http://dx.doi.org/10.1109/MSPEC.2015.7274185")</f>
        <v>http://dx.doi.org/10.1109/MSPEC.2015.7274185</v>
      </c>
      <c r="BG195" t="s">
        <v>74</v>
      </c>
      <c r="BH195" t="s">
        <v>74</v>
      </c>
      <c r="BI195">
        <v>2</v>
      </c>
      <c r="BJ195" t="s">
        <v>4125</v>
      </c>
      <c r="BK195" t="s">
        <v>101</v>
      </c>
      <c r="BL195" t="s">
        <v>832</v>
      </c>
      <c r="BM195" t="s">
        <v>4126</v>
      </c>
      <c r="BN195" t="s">
        <v>74</v>
      </c>
      <c r="BO195" t="s">
        <v>74</v>
      </c>
      <c r="BP195" t="s">
        <v>74</v>
      </c>
      <c r="BQ195" t="s">
        <v>74</v>
      </c>
      <c r="BR195" t="s">
        <v>103</v>
      </c>
      <c r="BS195" t="s">
        <v>4127</v>
      </c>
      <c r="BT195" t="str">
        <f>HYPERLINK("https%3A%2F%2Fwww.webofscience.com%2Fwos%2Fwoscc%2Ffull-record%2FWOS:000361909300009","View Full Record in Web of Science")</f>
        <v>View Full Record in Web of Science</v>
      </c>
    </row>
    <row r="196" spans="1:72" x14ac:dyDescent="0.15">
      <c r="A196" t="s">
        <v>72</v>
      </c>
      <c r="B196" t="s">
        <v>4128</v>
      </c>
      <c r="C196" t="s">
        <v>74</v>
      </c>
      <c r="D196" t="s">
        <v>74</v>
      </c>
      <c r="E196" t="s">
        <v>74</v>
      </c>
      <c r="F196" t="s">
        <v>4129</v>
      </c>
      <c r="G196" t="s">
        <v>74</v>
      </c>
      <c r="H196" t="s">
        <v>74</v>
      </c>
      <c r="I196" t="s">
        <v>4130</v>
      </c>
      <c r="J196" t="s">
        <v>4131</v>
      </c>
      <c r="K196" t="s">
        <v>74</v>
      </c>
      <c r="L196" t="s">
        <v>74</v>
      </c>
      <c r="M196" t="s">
        <v>78</v>
      </c>
      <c r="N196" t="s">
        <v>79</v>
      </c>
      <c r="O196" t="s">
        <v>74</v>
      </c>
      <c r="P196" t="s">
        <v>74</v>
      </c>
      <c r="Q196" t="s">
        <v>74</v>
      </c>
      <c r="R196" t="s">
        <v>74</v>
      </c>
      <c r="S196" t="s">
        <v>74</v>
      </c>
      <c r="T196" t="s">
        <v>74</v>
      </c>
      <c r="U196" t="s">
        <v>4132</v>
      </c>
      <c r="V196" t="s">
        <v>4133</v>
      </c>
      <c r="W196" t="s">
        <v>4134</v>
      </c>
      <c r="X196" t="s">
        <v>4135</v>
      </c>
      <c r="Y196" t="s">
        <v>4136</v>
      </c>
      <c r="Z196" t="s">
        <v>4137</v>
      </c>
      <c r="AA196" t="s">
        <v>4138</v>
      </c>
      <c r="AB196" t="s">
        <v>74</v>
      </c>
      <c r="AC196" t="s">
        <v>4139</v>
      </c>
      <c r="AD196" t="s">
        <v>4140</v>
      </c>
      <c r="AE196" t="s">
        <v>4141</v>
      </c>
      <c r="AF196" t="s">
        <v>74</v>
      </c>
      <c r="AG196">
        <v>54</v>
      </c>
      <c r="AH196">
        <v>11</v>
      </c>
      <c r="AI196">
        <v>13</v>
      </c>
      <c r="AJ196">
        <v>0</v>
      </c>
      <c r="AK196">
        <v>35</v>
      </c>
      <c r="AL196" t="s">
        <v>4142</v>
      </c>
      <c r="AM196" t="s">
        <v>4143</v>
      </c>
      <c r="AN196" t="s">
        <v>4144</v>
      </c>
      <c r="AO196" t="s">
        <v>4145</v>
      </c>
      <c r="AP196" t="s">
        <v>4146</v>
      </c>
      <c r="AQ196" t="s">
        <v>74</v>
      </c>
      <c r="AR196" t="s">
        <v>4147</v>
      </c>
      <c r="AS196" t="s">
        <v>4148</v>
      </c>
      <c r="AT196" t="s">
        <v>2170</v>
      </c>
      <c r="AU196">
        <v>2015</v>
      </c>
      <c r="AV196">
        <v>55</v>
      </c>
      <c r="AW196">
        <v>4</v>
      </c>
      <c r="AX196" t="s">
        <v>74</v>
      </c>
      <c r="AY196" t="s">
        <v>74</v>
      </c>
      <c r="AZ196" t="s">
        <v>74</v>
      </c>
      <c r="BA196" t="s">
        <v>74</v>
      </c>
      <c r="BB196">
        <v>673</v>
      </c>
      <c r="BC196">
        <v>682</v>
      </c>
      <c r="BD196" t="s">
        <v>74</v>
      </c>
      <c r="BE196" t="s">
        <v>4149</v>
      </c>
      <c r="BF196" t="str">
        <f>HYPERLINK("http://dx.doi.org/10.1093/icb/icv025","http://dx.doi.org/10.1093/icb/icv025")</f>
        <v>http://dx.doi.org/10.1093/icb/icv025</v>
      </c>
      <c r="BG196" t="s">
        <v>74</v>
      </c>
      <c r="BH196" t="s">
        <v>74</v>
      </c>
      <c r="BI196">
        <v>10</v>
      </c>
      <c r="BJ196" t="s">
        <v>243</v>
      </c>
      <c r="BK196" t="s">
        <v>101</v>
      </c>
      <c r="BL196" t="s">
        <v>243</v>
      </c>
      <c r="BM196" t="s">
        <v>4150</v>
      </c>
      <c r="BN196">
        <v>25936358</v>
      </c>
      <c r="BO196" t="s">
        <v>162</v>
      </c>
      <c r="BP196" t="s">
        <v>74</v>
      </c>
      <c r="BQ196" t="s">
        <v>74</v>
      </c>
      <c r="BR196" t="s">
        <v>103</v>
      </c>
      <c r="BS196" t="s">
        <v>4151</v>
      </c>
      <c r="BT196" t="str">
        <f>HYPERLINK("https%3A%2F%2Fwww.webofscience.com%2Fwos%2Fwoscc%2Ffull-record%2FWOS:000362672100011","View Full Record in Web of Science")</f>
        <v>View Full Record in Web of Science</v>
      </c>
    </row>
    <row r="197" spans="1:72" x14ac:dyDescent="0.15">
      <c r="A197" t="s">
        <v>72</v>
      </c>
      <c r="B197" t="s">
        <v>4152</v>
      </c>
      <c r="C197" t="s">
        <v>74</v>
      </c>
      <c r="D197" t="s">
        <v>74</v>
      </c>
      <c r="E197" t="s">
        <v>74</v>
      </c>
      <c r="F197" t="s">
        <v>4153</v>
      </c>
      <c r="G197" t="s">
        <v>74</v>
      </c>
      <c r="H197" t="s">
        <v>74</v>
      </c>
      <c r="I197" t="s">
        <v>4154</v>
      </c>
      <c r="J197" t="s">
        <v>140</v>
      </c>
      <c r="K197" t="s">
        <v>74</v>
      </c>
      <c r="L197" t="s">
        <v>74</v>
      </c>
      <c r="M197" t="s">
        <v>78</v>
      </c>
      <c r="N197" t="s">
        <v>79</v>
      </c>
      <c r="O197" t="s">
        <v>74</v>
      </c>
      <c r="P197" t="s">
        <v>74</v>
      </c>
      <c r="Q197" t="s">
        <v>74</v>
      </c>
      <c r="R197" t="s">
        <v>74</v>
      </c>
      <c r="S197" t="s">
        <v>74</v>
      </c>
      <c r="T197" t="s">
        <v>74</v>
      </c>
      <c r="U197" t="s">
        <v>4155</v>
      </c>
      <c r="V197" t="s">
        <v>4156</v>
      </c>
      <c r="W197" t="s">
        <v>4157</v>
      </c>
      <c r="X197" t="s">
        <v>4158</v>
      </c>
      <c r="Y197" t="s">
        <v>4159</v>
      </c>
      <c r="Z197" t="s">
        <v>4160</v>
      </c>
      <c r="AA197" t="s">
        <v>4161</v>
      </c>
      <c r="AB197" t="s">
        <v>4162</v>
      </c>
      <c r="AC197" t="s">
        <v>4163</v>
      </c>
      <c r="AD197" t="s">
        <v>4164</v>
      </c>
      <c r="AE197" t="s">
        <v>4165</v>
      </c>
      <c r="AF197" t="s">
        <v>74</v>
      </c>
      <c r="AG197">
        <v>41</v>
      </c>
      <c r="AH197">
        <v>18</v>
      </c>
      <c r="AI197">
        <v>21</v>
      </c>
      <c r="AJ197">
        <v>0</v>
      </c>
      <c r="AK197">
        <v>3</v>
      </c>
      <c r="AL197" t="s">
        <v>4166</v>
      </c>
      <c r="AM197" t="s">
        <v>180</v>
      </c>
      <c r="AN197" t="s">
        <v>4167</v>
      </c>
      <c r="AO197" t="s">
        <v>155</v>
      </c>
      <c r="AP197" t="s">
        <v>156</v>
      </c>
      <c r="AQ197" t="s">
        <v>74</v>
      </c>
      <c r="AR197" t="s">
        <v>157</v>
      </c>
      <c r="AS197" t="s">
        <v>158</v>
      </c>
      <c r="AT197" t="s">
        <v>2170</v>
      </c>
      <c r="AU197">
        <v>2015</v>
      </c>
      <c r="AV197">
        <v>65</v>
      </c>
      <c r="AW197" t="s">
        <v>74</v>
      </c>
      <c r="AX197">
        <v>10</v>
      </c>
      <c r="AY197" t="s">
        <v>74</v>
      </c>
      <c r="AZ197" t="s">
        <v>74</v>
      </c>
      <c r="BA197" t="s">
        <v>74</v>
      </c>
      <c r="BB197">
        <v>3373</v>
      </c>
      <c r="BC197">
        <v>3378</v>
      </c>
      <c r="BD197" t="s">
        <v>74</v>
      </c>
      <c r="BE197" t="s">
        <v>4168</v>
      </c>
      <c r="BF197" t="str">
        <f>HYPERLINK("http://dx.doi.org/10.1099/ijsem.0.000423","http://dx.doi.org/10.1099/ijsem.0.000423")</f>
        <v>http://dx.doi.org/10.1099/ijsem.0.000423</v>
      </c>
      <c r="BG197" t="s">
        <v>74</v>
      </c>
      <c r="BH197" t="s">
        <v>74</v>
      </c>
      <c r="BI197">
        <v>6</v>
      </c>
      <c r="BJ197" t="s">
        <v>160</v>
      </c>
      <c r="BK197" t="s">
        <v>101</v>
      </c>
      <c r="BL197" t="s">
        <v>160</v>
      </c>
      <c r="BM197" t="s">
        <v>4169</v>
      </c>
      <c r="BN197">
        <v>26297353</v>
      </c>
      <c r="BO197" t="s">
        <v>162</v>
      </c>
      <c r="BP197" t="s">
        <v>74</v>
      </c>
      <c r="BQ197" t="s">
        <v>74</v>
      </c>
      <c r="BR197" t="s">
        <v>103</v>
      </c>
      <c r="BS197" t="s">
        <v>4170</v>
      </c>
      <c r="BT197" t="str">
        <f>HYPERLINK("https%3A%2F%2Fwww.webofscience.com%2Fwos%2Fwoscc%2Ffull-record%2FWOS:000366152100022","View Full Record in Web of Science")</f>
        <v>View Full Record in Web of Science</v>
      </c>
    </row>
    <row r="198" spans="1:72" x14ac:dyDescent="0.15">
      <c r="A198" t="s">
        <v>72</v>
      </c>
      <c r="B198" t="s">
        <v>4171</v>
      </c>
      <c r="C198" t="s">
        <v>74</v>
      </c>
      <c r="D198" t="s">
        <v>74</v>
      </c>
      <c r="E198" t="s">
        <v>74</v>
      </c>
      <c r="F198" t="s">
        <v>4172</v>
      </c>
      <c r="G198" t="s">
        <v>74</v>
      </c>
      <c r="H198" t="s">
        <v>74</v>
      </c>
      <c r="I198" t="s">
        <v>4173</v>
      </c>
      <c r="J198" t="s">
        <v>167</v>
      </c>
      <c r="K198" t="s">
        <v>74</v>
      </c>
      <c r="L198" t="s">
        <v>74</v>
      </c>
      <c r="M198" t="s">
        <v>78</v>
      </c>
      <c r="N198" t="s">
        <v>79</v>
      </c>
      <c r="O198" t="s">
        <v>74</v>
      </c>
      <c r="P198" t="s">
        <v>74</v>
      </c>
      <c r="Q198" t="s">
        <v>74</v>
      </c>
      <c r="R198" t="s">
        <v>74</v>
      </c>
      <c r="S198" t="s">
        <v>74</v>
      </c>
      <c r="T198" t="s">
        <v>74</v>
      </c>
      <c r="U198" t="s">
        <v>4174</v>
      </c>
      <c r="V198" t="s">
        <v>4175</v>
      </c>
      <c r="W198" t="s">
        <v>4176</v>
      </c>
      <c r="X198" t="s">
        <v>4177</v>
      </c>
      <c r="Y198" t="s">
        <v>4178</v>
      </c>
      <c r="Z198" t="s">
        <v>4179</v>
      </c>
      <c r="AA198" t="s">
        <v>4180</v>
      </c>
      <c r="AB198" t="s">
        <v>4181</v>
      </c>
      <c r="AC198" t="s">
        <v>4182</v>
      </c>
      <c r="AD198" t="s">
        <v>4183</v>
      </c>
      <c r="AE198" t="s">
        <v>4184</v>
      </c>
      <c r="AF198" t="s">
        <v>74</v>
      </c>
      <c r="AG198">
        <v>86</v>
      </c>
      <c r="AH198">
        <v>32</v>
      </c>
      <c r="AI198">
        <v>37</v>
      </c>
      <c r="AJ198">
        <v>1</v>
      </c>
      <c r="AK198">
        <v>82</v>
      </c>
      <c r="AL198" t="s">
        <v>4185</v>
      </c>
      <c r="AM198" t="s">
        <v>180</v>
      </c>
      <c r="AN198" t="s">
        <v>4186</v>
      </c>
      <c r="AO198" t="s">
        <v>182</v>
      </c>
      <c r="AP198" t="s">
        <v>183</v>
      </c>
      <c r="AQ198" t="s">
        <v>74</v>
      </c>
      <c r="AR198" t="s">
        <v>184</v>
      </c>
      <c r="AS198" t="s">
        <v>185</v>
      </c>
      <c r="AT198" t="s">
        <v>2170</v>
      </c>
      <c r="AU198">
        <v>2015</v>
      </c>
      <c r="AV198">
        <v>9</v>
      </c>
      <c r="AW198">
        <v>10</v>
      </c>
      <c r="AX198" t="s">
        <v>74</v>
      </c>
      <c r="AY198" t="s">
        <v>74</v>
      </c>
      <c r="AZ198" t="s">
        <v>74</v>
      </c>
      <c r="BA198" t="s">
        <v>74</v>
      </c>
      <c r="BB198">
        <v>2275</v>
      </c>
      <c r="BC198">
        <v>2289</v>
      </c>
      <c r="BD198" t="s">
        <v>74</v>
      </c>
      <c r="BE198" t="s">
        <v>4187</v>
      </c>
      <c r="BF198" t="str">
        <f>HYPERLINK("http://dx.doi.org/10.1038/ismej.2015.40","http://dx.doi.org/10.1038/ismej.2015.40")</f>
        <v>http://dx.doi.org/10.1038/ismej.2015.40</v>
      </c>
      <c r="BG198" t="s">
        <v>74</v>
      </c>
      <c r="BH198" t="s">
        <v>74</v>
      </c>
      <c r="BI198">
        <v>15</v>
      </c>
      <c r="BJ198" t="s">
        <v>187</v>
      </c>
      <c r="BK198" t="s">
        <v>101</v>
      </c>
      <c r="BL198" t="s">
        <v>188</v>
      </c>
      <c r="BM198" t="s">
        <v>4188</v>
      </c>
      <c r="BN198">
        <v>25871931</v>
      </c>
      <c r="BO198" t="s">
        <v>4189</v>
      </c>
      <c r="BP198" t="s">
        <v>74</v>
      </c>
      <c r="BQ198" t="s">
        <v>74</v>
      </c>
      <c r="BR198" t="s">
        <v>103</v>
      </c>
      <c r="BS198" t="s">
        <v>4190</v>
      </c>
      <c r="BT198" t="str">
        <f>HYPERLINK("https%3A%2F%2Fwww.webofscience.com%2Fwos%2Fwoscc%2Ffull-record%2FWOS:000361760400013","View Full Record in Web of Science")</f>
        <v>View Full Record in Web of Science</v>
      </c>
    </row>
    <row r="199" spans="1:72" x14ac:dyDescent="0.15">
      <c r="A199" t="s">
        <v>72</v>
      </c>
      <c r="B199" t="s">
        <v>4191</v>
      </c>
      <c r="C199" t="s">
        <v>74</v>
      </c>
      <c r="D199" t="s">
        <v>74</v>
      </c>
      <c r="E199" t="s">
        <v>74</v>
      </c>
      <c r="F199" t="s">
        <v>4192</v>
      </c>
      <c r="G199" t="s">
        <v>74</v>
      </c>
      <c r="H199" t="s">
        <v>74</v>
      </c>
      <c r="I199" t="s">
        <v>4193</v>
      </c>
      <c r="J199" t="s">
        <v>250</v>
      </c>
      <c r="K199" t="s">
        <v>74</v>
      </c>
      <c r="L199" t="s">
        <v>74</v>
      </c>
      <c r="M199" t="s">
        <v>78</v>
      </c>
      <c r="N199" t="s">
        <v>79</v>
      </c>
      <c r="O199" t="s">
        <v>74</v>
      </c>
      <c r="P199" t="s">
        <v>74</v>
      </c>
      <c r="Q199" t="s">
        <v>74</v>
      </c>
      <c r="R199" t="s">
        <v>74</v>
      </c>
      <c r="S199" t="s">
        <v>74</v>
      </c>
      <c r="T199" t="s">
        <v>4194</v>
      </c>
      <c r="U199" t="s">
        <v>4195</v>
      </c>
      <c r="V199" t="s">
        <v>4196</v>
      </c>
      <c r="W199" t="s">
        <v>4197</v>
      </c>
      <c r="X199" t="s">
        <v>4198</v>
      </c>
      <c r="Y199" t="s">
        <v>4199</v>
      </c>
      <c r="Z199" t="s">
        <v>257</v>
      </c>
      <c r="AA199" t="s">
        <v>4200</v>
      </c>
      <c r="AB199" t="s">
        <v>4201</v>
      </c>
      <c r="AC199" t="s">
        <v>4202</v>
      </c>
      <c r="AD199" t="s">
        <v>4203</v>
      </c>
      <c r="AE199" t="s">
        <v>4204</v>
      </c>
      <c r="AF199" t="s">
        <v>74</v>
      </c>
      <c r="AG199">
        <v>54</v>
      </c>
      <c r="AH199">
        <v>13</v>
      </c>
      <c r="AI199">
        <v>13</v>
      </c>
      <c r="AJ199">
        <v>0</v>
      </c>
      <c r="AK199">
        <v>22</v>
      </c>
      <c r="AL199" t="s">
        <v>263</v>
      </c>
      <c r="AM199" t="s">
        <v>264</v>
      </c>
      <c r="AN199" t="s">
        <v>265</v>
      </c>
      <c r="AO199" t="s">
        <v>266</v>
      </c>
      <c r="AP199" t="s">
        <v>267</v>
      </c>
      <c r="AQ199" t="s">
        <v>74</v>
      </c>
      <c r="AR199" t="s">
        <v>268</v>
      </c>
      <c r="AS199" t="s">
        <v>269</v>
      </c>
      <c r="AT199" t="s">
        <v>2170</v>
      </c>
      <c r="AU199">
        <v>2015</v>
      </c>
      <c r="AV199">
        <v>28</v>
      </c>
      <c r="AW199">
        <v>20</v>
      </c>
      <c r="AX199" t="s">
        <v>74</v>
      </c>
      <c r="AY199" t="s">
        <v>74</v>
      </c>
      <c r="AZ199" t="s">
        <v>74</v>
      </c>
      <c r="BA199" t="s">
        <v>74</v>
      </c>
      <c r="BB199">
        <v>8003</v>
      </c>
      <c r="BC199">
        <v>8020</v>
      </c>
      <c r="BD199" t="s">
        <v>74</v>
      </c>
      <c r="BE199" t="s">
        <v>4205</v>
      </c>
      <c r="BF199" t="str">
        <f>HYPERLINK("http://dx.doi.org/10.1175/JCLI-D-15-0170.1","http://dx.doi.org/10.1175/JCLI-D-15-0170.1")</f>
        <v>http://dx.doi.org/10.1175/JCLI-D-15-0170.1</v>
      </c>
      <c r="BG199" t="s">
        <v>74</v>
      </c>
      <c r="BH199" t="s">
        <v>74</v>
      </c>
      <c r="BI199">
        <v>18</v>
      </c>
      <c r="BJ199" t="s">
        <v>271</v>
      </c>
      <c r="BK199" t="s">
        <v>101</v>
      </c>
      <c r="BL199" t="s">
        <v>271</v>
      </c>
      <c r="BM199" t="s">
        <v>3130</v>
      </c>
      <c r="BN199" t="s">
        <v>74</v>
      </c>
      <c r="BO199" t="s">
        <v>1235</v>
      </c>
      <c r="BP199" t="s">
        <v>74</v>
      </c>
      <c r="BQ199" t="s">
        <v>74</v>
      </c>
      <c r="BR199" t="s">
        <v>103</v>
      </c>
      <c r="BS199" t="s">
        <v>4206</v>
      </c>
      <c r="BT199" t="str">
        <f>HYPERLINK("https%3A%2F%2Fwww.webofscience.com%2Fwos%2Fwoscc%2Ffull-record%2FWOS:000362661800006","View Full Record in Web of Science")</f>
        <v>View Full Record in Web of Science</v>
      </c>
    </row>
    <row r="200" spans="1:72" x14ac:dyDescent="0.15">
      <c r="A200" t="s">
        <v>72</v>
      </c>
      <c r="B200" t="s">
        <v>4207</v>
      </c>
      <c r="C200" t="s">
        <v>74</v>
      </c>
      <c r="D200" t="s">
        <v>74</v>
      </c>
      <c r="E200" t="s">
        <v>74</v>
      </c>
      <c r="F200" t="s">
        <v>4208</v>
      </c>
      <c r="G200" t="s">
        <v>74</v>
      </c>
      <c r="H200" t="s">
        <v>74</v>
      </c>
      <c r="I200" t="s">
        <v>4209</v>
      </c>
      <c r="J200" t="s">
        <v>250</v>
      </c>
      <c r="K200" t="s">
        <v>74</v>
      </c>
      <c r="L200" t="s">
        <v>74</v>
      </c>
      <c r="M200" t="s">
        <v>78</v>
      </c>
      <c r="N200" t="s">
        <v>79</v>
      </c>
      <c r="O200" t="s">
        <v>74</v>
      </c>
      <c r="P200" t="s">
        <v>74</v>
      </c>
      <c r="Q200" t="s">
        <v>74</v>
      </c>
      <c r="R200" t="s">
        <v>74</v>
      </c>
      <c r="S200" t="s">
        <v>74</v>
      </c>
      <c r="T200" t="s">
        <v>4210</v>
      </c>
      <c r="U200" t="s">
        <v>4211</v>
      </c>
      <c r="V200" t="s">
        <v>4212</v>
      </c>
      <c r="W200" t="s">
        <v>4213</v>
      </c>
      <c r="X200" t="s">
        <v>4214</v>
      </c>
      <c r="Y200" t="s">
        <v>4215</v>
      </c>
      <c r="Z200" t="s">
        <v>4216</v>
      </c>
      <c r="AA200" t="s">
        <v>4217</v>
      </c>
      <c r="AB200" t="s">
        <v>4218</v>
      </c>
      <c r="AC200" t="s">
        <v>4219</v>
      </c>
      <c r="AD200" t="s">
        <v>4220</v>
      </c>
      <c r="AE200" t="s">
        <v>4221</v>
      </c>
      <c r="AF200" t="s">
        <v>74</v>
      </c>
      <c r="AG200">
        <v>50</v>
      </c>
      <c r="AH200">
        <v>58</v>
      </c>
      <c r="AI200">
        <v>68</v>
      </c>
      <c r="AJ200">
        <v>1</v>
      </c>
      <c r="AK200">
        <v>39</v>
      </c>
      <c r="AL200" t="s">
        <v>263</v>
      </c>
      <c r="AM200" t="s">
        <v>264</v>
      </c>
      <c r="AN200" t="s">
        <v>265</v>
      </c>
      <c r="AO200" t="s">
        <v>266</v>
      </c>
      <c r="AP200" t="s">
        <v>267</v>
      </c>
      <c r="AQ200" t="s">
        <v>74</v>
      </c>
      <c r="AR200" t="s">
        <v>268</v>
      </c>
      <c r="AS200" t="s">
        <v>269</v>
      </c>
      <c r="AT200" t="s">
        <v>2170</v>
      </c>
      <c r="AU200">
        <v>2015</v>
      </c>
      <c r="AV200">
        <v>28</v>
      </c>
      <c r="AW200">
        <v>20</v>
      </c>
      <c r="AX200" t="s">
        <v>74</v>
      </c>
      <c r="AY200" t="s">
        <v>74</v>
      </c>
      <c r="AZ200" t="s">
        <v>74</v>
      </c>
      <c r="BA200" t="s">
        <v>74</v>
      </c>
      <c r="BB200">
        <v>8151</v>
      </c>
      <c r="BC200">
        <v>8164</v>
      </c>
      <c r="BD200" t="s">
        <v>74</v>
      </c>
      <c r="BE200" t="s">
        <v>4222</v>
      </c>
      <c r="BF200" t="str">
        <f>HYPERLINK("http://dx.doi.org/10.1175/JCLI-D-15-0113.1","http://dx.doi.org/10.1175/JCLI-D-15-0113.1")</f>
        <v>http://dx.doi.org/10.1175/JCLI-D-15-0113.1</v>
      </c>
      <c r="BG200" t="s">
        <v>74</v>
      </c>
      <c r="BH200" t="s">
        <v>74</v>
      </c>
      <c r="BI200">
        <v>14</v>
      </c>
      <c r="BJ200" t="s">
        <v>271</v>
      </c>
      <c r="BK200" t="s">
        <v>101</v>
      </c>
      <c r="BL200" t="s">
        <v>271</v>
      </c>
      <c r="BM200" t="s">
        <v>3130</v>
      </c>
      <c r="BN200" t="s">
        <v>74</v>
      </c>
      <c r="BO200" t="s">
        <v>2686</v>
      </c>
      <c r="BP200" t="s">
        <v>74</v>
      </c>
      <c r="BQ200" t="s">
        <v>74</v>
      </c>
      <c r="BR200" t="s">
        <v>103</v>
      </c>
      <c r="BS200" t="s">
        <v>4223</v>
      </c>
      <c r="BT200" t="str">
        <f>HYPERLINK("https%3A%2F%2Fwww.webofscience.com%2Fwos%2Fwoscc%2Ffull-record%2FWOS:000362661800016","View Full Record in Web of Science")</f>
        <v>View Full Record in Web of Science</v>
      </c>
    </row>
    <row r="201" spans="1:72" x14ac:dyDescent="0.15">
      <c r="A201" t="s">
        <v>72</v>
      </c>
      <c r="B201" t="s">
        <v>4224</v>
      </c>
      <c r="C201" t="s">
        <v>74</v>
      </c>
      <c r="D201" t="s">
        <v>74</v>
      </c>
      <c r="E201" t="s">
        <v>74</v>
      </c>
      <c r="F201" t="s">
        <v>4225</v>
      </c>
      <c r="G201" t="s">
        <v>74</v>
      </c>
      <c r="H201" t="s">
        <v>74</v>
      </c>
      <c r="I201" t="s">
        <v>4226</v>
      </c>
      <c r="J201" t="s">
        <v>250</v>
      </c>
      <c r="K201" t="s">
        <v>74</v>
      </c>
      <c r="L201" t="s">
        <v>74</v>
      </c>
      <c r="M201" t="s">
        <v>78</v>
      </c>
      <c r="N201" t="s">
        <v>2551</v>
      </c>
      <c r="O201" t="s">
        <v>74</v>
      </c>
      <c r="P201" t="s">
        <v>74</v>
      </c>
      <c r="Q201" t="s">
        <v>74</v>
      </c>
      <c r="R201" t="s">
        <v>74</v>
      </c>
      <c r="S201" t="s">
        <v>74</v>
      </c>
      <c r="T201" t="s">
        <v>4194</v>
      </c>
      <c r="U201" t="s">
        <v>74</v>
      </c>
      <c r="V201" t="s">
        <v>74</v>
      </c>
      <c r="W201" t="s">
        <v>4227</v>
      </c>
      <c r="X201" t="s">
        <v>4228</v>
      </c>
      <c r="Y201" t="s">
        <v>4229</v>
      </c>
      <c r="Z201" t="s">
        <v>4230</v>
      </c>
      <c r="AA201" t="s">
        <v>4231</v>
      </c>
      <c r="AB201" t="s">
        <v>4232</v>
      </c>
      <c r="AC201" t="s">
        <v>74</v>
      </c>
      <c r="AD201" t="s">
        <v>74</v>
      </c>
      <c r="AE201" t="s">
        <v>74</v>
      </c>
      <c r="AF201" t="s">
        <v>74</v>
      </c>
      <c r="AG201">
        <v>2</v>
      </c>
      <c r="AH201">
        <v>0</v>
      </c>
      <c r="AI201">
        <v>0</v>
      </c>
      <c r="AJ201">
        <v>0</v>
      </c>
      <c r="AK201">
        <v>7</v>
      </c>
      <c r="AL201" t="s">
        <v>263</v>
      </c>
      <c r="AM201" t="s">
        <v>264</v>
      </c>
      <c r="AN201" t="s">
        <v>265</v>
      </c>
      <c r="AO201" t="s">
        <v>266</v>
      </c>
      <c r="AP201" t="s">
        <v>267</v>
      </c>
      <c r="AQ201" t="s">
        <v>74</v>
      </c>
      <c r="AR201" t="s">
        <v>268</v>
      </c>
      <c r="AS201" t="s">
        <v>269</v>
      </c>
      <c r="AT201" t="s">
        <v>2170</v>
      </c>
      <c r="AU201">
        <v>2015</v>
      </c>
      <c r="AV201">
        <v>28</v>
      </c>
      <c r="AW201">
        <v>20</v>
      </c>
      <c r="AX201" t="s">
        <v>74</v>
      </c>
      <c r="AY201" t="s">
        <v>74</v>
      </c>
      <c r="AZ201" t="s">
        <v>74</v>
      </c>
      <c r="BA201" t="s">
        <v>74</v>
      </c>
      <c r="BB201">
        <v>8283</v>
      </c>
      <c r="BC201">
        <v>8285</v>
      </c>
      <c r="BD201" t="s">
        <v>74</v>
      </c>
      <c r="BE201" t="s">
        <v>4233</v>
      </c>
      <c r="BF201" t="str">
        <f>HYPERLINK("http://dx.doi.org/10.1175/JCLI-D-15-0570.1","http://dx.doi.org/10.1175/JCLI-D-15-0570.1")</f>
        <v>http://dx.doi.org/10.1175/JCLI-D-15-0570.1</v>
      </c>
      <c r="BG201" t="s">
        <v>74</v>
      </c>
      <c r="BH201" t="s">
        <v>74</v>
      </c>
      <c r="BI201">
        <v>3</v>
      </c>
      <c r="BJ201" t="s">
        <v>271</v>
      </c>
      <c r="BK201" t="s">
        <v>101</v>
      </c>
      <c r="BL201" t="s">
        <v>271</v>
      </c>
      <c r="BM201" t="s">
        <v>4234</v>
      </c>
      <c r="BN201" t="s">
        <v>74</v>
      </c>
      <c r="BO201" t="s">
        <v>1235</v>
      </c>
      <c r="BP201" t="s">
        <v>74</v>
      </c>
      <c r="BQ201" t="s">
        <v>74</v>
      </c>
      <c r="BR201" t="s">
        <v>103</v>
      </c>
      <c r="BS201" t="s">
        <v>4235</v>
      </c>
      <c r="BT201" t="str">
        <f>HYPERLINK("https%3A%2F%2Fwww.webofscience.com%2Fwos%2Fwoscc%2Ffull-record%2FWOS:000362661700001","View Full Record in Web of Science")</f>
        <v>View Full Record in Web of Science</v>
      </c>
    </row>
    <row r="202" spans="1:72" x14ac:dyDescent="0.15">
      <c r="A202" t="s">
        <v>72</v>
      </c>
      <c r="B202" t="s">
        <v>4236</v>
      </c>
      <c r="C202" t="s">
        <v>74</v>
      </c>
      <c r="D202" t="s">
        <v>74</v>
      </c>
      <c r="E202" t="s">
        <v>74</v>
      </c>
      <c r="F202" t="s">
        <v>4237</v>
      </c>
      <c r="G202" t="s">
        <v>74</v>
      </c>
      <c r="H202" t="s">
        <v>74</v>
      </c>
      <c r="I202" t="s">
        <v>4238</v>
      </c>
      <c r="J202" t="s">
        <v>3561</v>
      </c>
      <c r="K202" t="s">
        <v>74</v>
      </c>
      <c r="L202" t="s">
        <v>74</v>
      </c>
      <c r="M202" t="s">
        <v>78</v>
      </c>
      <c r="N202" t="s">
        <v>79</v>
      </c>
      <c r="O202" t="s">
        <v>74</v>
      </c>
      <c r="P202" t="s">
        <v>74</v>
      </c>
      <c r="Q202" t="s">
        <v>74</v>
      </c>
      <c r="R202" t="s">
        <v>74</v>
      </c>
      <c r="S202" t="s">
        <v>74</v>
      </c>
      <c r="T202" t="s">
        <v>4239</v>
      </c>
      <c r="U202" t="s">
        <v>4240</v>
      </c>
      <c r="V202" t="s">
        <v>4241</v>
      </c>
      <c r="W202" t="s">
        <v>4242</v>
      </c>
      <c r="X202" t="s">
        <v>4243</v>
      </c>
      <c r="Y202" t="s">
        <v>4244</v>
      </c>
      <c r="Z202" t="s">
        <v>4245</v>
      </c>
      <c r="AA202" t="s">
        <v>4246</v>
      </c>
      <c r="AB202" t="s">
        <v>4247</v>
      </c>
      <c r="AC202" t="s">
        <v>4248</v>
      </c>
      <c r="AD202" t="s">
        <v>4249</v>
      </c>
      <c r="AE202" t="s">
        <v>4250</v>
      </c>
      <c r="AF202" t="s">
        <v>74</v>
      </c>
      <c r="AG202">
        <v>69</v>
      </c>
      <c r="AH202">
        <v>34</v>
      </c>
      <c r="AI202">
        <v>39</v>
      </c>
      <c r="AJ202">
        <v>5</v>
      </c>
      <c r="AK202">
        <v>83</v>
      </c>
      <c r="AL202" t="s">
        <v>3146</v>
      </c>
      <c r="AM202" t="s">
        <v>3147</v>
      </c>
      <c r="AN202" t="s">
        <v>3148</v>
      </c>
      <c r="AO202" t="s">
        <v>3573</v>
      </c>
      <c r="AP202" t="s">
        <v>3574</v>
      </c>
      <c r="AQ202" t="s">
        <v>74</v>
      </c>
      <c r="AR202" t="s">
        <v>3575</v>
      </c>
      <c r="AS202" t="s">
        <v>3576</v>
      </c>
      <c r="AT202" t="s">
        <v>2170</v>
      </c>
      <c r="AU202">
        <v>2015</v>
      </c>
      <c r="AV202">
        <v>185</v>
      </c>
      <c r="AW202">
        <v>7</v>
      </c>
      <c r="AX202" t="s">
        <v>74</v>
      </c>
      <c r="AY202" t="s">
        <v>74</v>
      </c>
      <c r="AZ202" t="s">
        <v>74</v>
      </c>
      <c r="BA202" t="s">
        <v>74</v>
      </c>
      <c r="BB202">
        <v>767</v>
      </c>
      <c r="BC202">
        <v>781</v>
      </c>
      <c r="BD202" t="s">
        <v>74</v>
      </c>
      <c r="BE202" t="s">
        <v>4251</v>
      </c>
      <c r="BF202" t="str">
        <f>HYPERLINK("http://dx.doi.org/10.1007/s00360-015-0923-7","http://dx.doi.org/10.1007/s00360-015-0923-7")</f>
        <v>http://dx.doi.org/10.1007/s00360-015-0923-7</v>
      </c>
      <c r="BG202" t="s">
        <v>74</v>
      </c>
      <c r="BH202" t="s">
        <v>74</v>
      </c>
      <c r="BI202">
        <v>15</v>
      </c>
      <c r="BJ202" t="s">
        <v>3578</v>
      </c>
      <c r="BK202" t="s">
        <v>101</v>
      </c>
      <c r="BL202" t="s">
        <v>3578</v>
      </c>
      <c r="BM202" t="s">
        <v>3579</v>
      </c>
      <c r="BN202">
        <v>26219611</v>
      </c>
      <c r="BO202" t="s">
        <v>4252</v>
      </c>
      <c r="BP202" t="s">
        <v>74</v>
      </c>
      <c r="BQ202" t="s">
        <v>74</v>
      </c>
      <c r="BR202" t="s">
        <v>103</v>
      </c>
      <c r="BS202" t="s">
        <v>4253</v>
      </c>
      <c r="BT202" t="str">
        <f>HYPERLINK("https%3A%2F%2Fwww.webofscience.com%2Fwos%2Fwoscc%2Ffull-record%2FWOS:000361471600005","View Full Record in Web of Science")</f>
        <v>View Full Record in Web of Science</v>
      </c>
    </row>
    <row r="203" spans="1:72" x14ac:dyDescent="0.15">
      <c r="A203" t="s">
        <v>72</v>
      </c>
      <c r="B203" t="s">
        <v>4254</v>
      </c>
      <c r="C203" t="s">
        <v>74</v>
      </c>
      <c r="D203" t="s">
        <v>74</v>
      </c>
      <c r="E203" t="s">
        <v>74</v>
      </c>
      <c r="F203" t="s">
        <v>4255</v>
      </c>
      <c r="G203" t="s">
        <v>74</v>
      </c>
      <c r="H203" t="s">
        <v>74</v>
      </c>
      <c r="I203" t="s">
        <v>4256</v>
      </c>
      <c r="J203" t="s">
        <v>4257</v>
      </c>
      <c r="K203" t="s">
        <v>74</v>
      </c>
      <c r="L203" t="s">
        <v>74</v>
      </c>
      <c r="M203" t="s">
        <v>78</v>
      </c>
      <c r="N203" t="s">
        <v>79</v>
      </c>
      <c r="O203" t="s">
        <v>74</v>
      </c>
      <c r="P203" t="s">
        <v>74</v>
      </c>
      <c r="Q203" t="s">
        <v>74</v>
      </c>
      <c r="R203" t="s">
        <v>74</v>
      </c>
      <c r="S203" t="s">
        <v>74</v>
      </c>
      <c r="T203" t="s">
        <v>4258</v>
      </c>
      <c r="U203" t="s">
        <v>4259</v>
      </c>
      <c r="V203" t="s">
        <v>4260</v>
      </c>
      <c r="W203" t="s">
        <v>4261</v>
      </c>
      <c r="X203" t="s">
        <v>439</v>
      </c>
      <c r="Y203" t="s">
        <v>4262</v>
      </c>
      <c r="Z203" t="s">
        <v>4263</v>
      </c>
      <c r="AA203" t="s">
        <v>4264</v>
      </c>
      <c r="AB203" t="s">
        <v>4265</v>
      </c>
      <c r="AC203" t="s">
        <v>4266</v>
      </c>
      <c r="AD203" t="s">
        <v>444</v>
      </c>
      <c r="AE203" t="s">
        <v>4267</v>
      </c>
      <c r="AF203" t="s">
        <v>74</v>
      </c>
      <c r="AG203">
        <v>69</v>
      </c>
      <c r="AH203">
        <v>17</v>
      </c>
      <c r="AI203">
        <v>17</v>
      </c>
      <c r="AJ203">
        <v>1</v>
      </c>
      <c r="AK203">
        <v>34</v>
      </c>
      <c r="AL203" t="s">
        <v>208</v>
      </c>
      <c r="AM203" t="s">
        <v>209</v>
      </c>
      <c r="AN203" t="s">
        <v>210</v>
      </c>
      <c r="AO203" t="s">
        <v>4268</v>
      </c>
      <c r="AP203" t="s">
        <v>4269</v>
      </c>
      <c r="AQ203" t="s">
        <v>74</v>
      </c>
      <c r="AR203" t="s">
        <v>4270</v>
      </c>
      <c r="AS203" t="s">
        <v>4271</v>
      </c>
      <c r="AT203" t="s">
        <v>2170</v>
      </c>
      <c r="AU203">
        <v>2015</v>
      </c>
      <c r="AV203">
        <v>87</v>
      </c>
      <c r="AW203">
        <v>4</v>
      </c>
      <c r="AX203" t="s">
        <v>74</v>
      </c>
      <c r="AY203" t="s">
        <v>74</v>
      </c>
      <c r="AZ203" t="s">
        <v>74</v>
      </c>
      <c r="BA203" t="s">
        <v>74</v>
      </c>
      <c r="BB203">
        <v>1031</v>
      </c>
      <c r="BC203">
        <v>1058</v>
      </c>
      <c r="BD203" t="s">
        <v>74</v>
      </c>
      <c r="BE203" t="s">
        <v>4272</v>
      </c>
      <c r="BF203" t="str">
        <f>HYPERLINK("http://dx.doi.org/10.1111/jfb.12776","http://dx.doi.org/10.1111/jfb.12776")</f>
        <v>http://dx.doi.org/10.1111/jfb.12776</v>
      </c>
      <c r="BG203" t="s">
        <v>74</v>
      </c>
      <c r="BH203" t="s">
        <v>74</v>
      </c>
      <c r="BI203">
        <v>28</v>
      </c>
      <c r="BJ203" t="s">
        <v>4273</v>
      </c>
      <c r="BK203" t="s">
        <v>101</v>
      </c>
      <c r="BL203" t="s">
        <v>4273</v>
      </c>
      <c r="BM203" t="s">
        <v>4274</v>
      </c>
      <c r="BN203">
        <v>26376971</v>
      </c>
      <c r="BO203" t="s">
        <v>290</v>
      </c>
      <c r="BP203" t="s">
        <v>74</v>
      </c>
      <c r="BQ203" t="s">
        <v>74</v>
      </c>
      <c r="BR203" t="s">
        <v>103</v>
      </c>
      <c r="BS203" t="s">
        <v>4275</v>
      </c>
      <c r="BT203" t="str">
        <f>HYPERLINK("https%3A%2F%2Fwww.webofscience.com%2Fwos%2Fwoscc%2Ffull-record%2FWOS:000362454800014","View Full Record in Web of Science")</f>
        <v>View Full Record in Web of Science</v>
      </c>
    </row>
    <row r="204" spans="1:72" x14ac:dyDescent="0.15">
      <c r="A204" t="s">
        <v>72</v>
      </c>
      <c r="B204" t="s">
        <v>4276</v>
      </c>
      <c r="C204" t="s">
        <v>74</v>
      </c>
      <c r="D204" t="s">
        <v>74</v>
      </c>
      <c r="E204" t="s">
        <v>74</v>
      </c>
      <c r="F204" t="s">
        <v>4277</v>
      </c>
      <c r="G204" t="s">
        <v>74</v>
      </c>
      <c r="H204" t="s">
        <v>74</v>
      </c>
      <c r="I204" t="s">
        <v>4278</v>
      </c>
      <c r="J204" t="s">
        <v>322</v>
      </c>
      <c r="K204" t="s">
        <v>74</v>
      </c>
      <c r="L204" t="s">
        <v>74</v>
      </c>
      <c r="M204" t="s">
        <v>78</v>
      </c>
      <c r="N204" t="s">
        <v>79</v>
      </c>
      <c r="O204" t="s">
        <v>74</v>
      </c>
      <c r="P204" t="s">
        <v>74</v>
      </c>
      <c r="Q204" t="s">
        <v>74</v>
      </c>
      <c r="R204" t="s">
        <v>74</v>
      </c>
      <c r="S204" t="s">
        <v>74</v>
      </c>
      <c r="T204" t="s">
        <v>74</v>
      </c>
      <c r="U204" t="s">
        <v>4279</v>
      </c>
      <c r="V204" t="s">
        <v>4280</v>
      </c>
      <c r="W204" t="s">
        <v>4281</v>
      </c>
      <c r="X204" t="s">
        <v>4282</v>
      </c>
      <c r="Y204" t="s">
        <v>4283</v>
      </c>
      <c r="Z204" t="s">
        <v>4284</v>
      </c>
      <c r="AA204" t="s">
        <v>4285</v>
      </c>
      <c r="AB204" t="s">
        <v>4286</v>
      </c>
      <c r="AC204" t="s">
        <v>4287</v>
      </c>
      <c r="AD204" t="s">
        <v>4288</v>
      </c>
      <c r="AE204" t="s">
        <v>4289</v>
      </c>
      <c r="AF204" t="s">
        <v>74</v>
      </c>
      <c r="AG204">
        <v>60</v>
      </c>
      <c r="AH204">
        <v>10</v>
      </c>
      <c r="AI204">
        <v>10</v>
      </c>
      <c r="AJ204">
        <v>1</v>
      </c>
      <c r="AK204">
        <v>10</v>
      </c>
      <c r="AL204" t="s">
        <v>306</v>
      </c>
      <c r="AM204" t="s">
        <v>307</v>
      </c>
      <c r="AN204" t="s">
        <v>308</v>
      </c>
      <c r="AO204" t="s">
        <v>334</v>
      </c>
      <c r="AP204" t="s">
        <v>335</v>
      </c>
      <c r="AQ204" t="s">
        <v>74</v>
      </c>
      <c r="AR204" t="s">
        <v>336</v>
      </c>
      <c r="AS204" t="s">
        <v>337</v>
      </c>
      <c r="AT204" t="s">
        <v>2170</v>
      </c>
      <c r="AU204">
        <v>2015</v>
      </c>
      <c r="AV204">
        <v>120</v>
      </c>
      <c r="AW204">
        <v>10</v>
      </c>
      <c r="AX204" t="s">
        <v>74</v>
      </c>
      <c r="AY204" t="s">
        <v>74</v>
      </c>
      <c r="AZ204" t="s">
        <v>74</v>
      </c>
      <c r="BA204" t="s">
        <v>74</v>
      </c>
      <c r="BB204">
        <v>6884</v>
      </c>
      <c r="BC204">
        <v>6896</v>
      </c>
      <c r="BD204" t="s">
        <v>74</v>
      </c>
      <c r="BE204" t="s">
        <v>4290</v>
      </c>
      <c r="BF204" t="str">
        <f>HYPERLINK("http://dx.doi.org/10.1002/2015JC011009","http://dx.doi.org/10.1002/2015JC011009")</f>
        <v>http://dx.doi.org/10.1002/2015JC011009</v>
      </c>
      <c r="BG204" t="s">
        <v>74</v>
      </c>
      <c r="BH204" t="s">
        <v>74</v>
      </c>
      <c r="BI204">
        <v>13</v>
      </c>
      <c r="BJ204" t="s">
        <v>339</v>
      </c>
      <c r="BK204" t="s">
        <v>101</v>
      </c>
      <c r="BL204" t="s">
        <v>339</v>
      </c>
      <c r="BM204" t="s">
        <v>2483</v>
      </c>
      <c r="BN204" t="s">
        <v>74</v>
      </c>
      <c r="BO204" t="s">
        <v>3721</v>
      </c>
      <c r="BP204" t="s">
        <v>74</v>
      </c>
      <c r="BQ204" t="s">
        <v>74</v>
      </c>
      <c r="BR204" t="s">
        <v>103</v>
      </c>
      <c r="BS204" t="s">
        <v>4291</v>
      </c>
      <c r="BT204" t="str">
        <f>HYPERLINK("https%3A%2F%2Fwww.webofscience.com%2Fwos%2Fwoscc%2Ffull-record%2FWOS:000365539700017","View Full Record in Web of Science")</f>
        <v>View Full Record in Web of Science</v>
      </c>
    </row>
    <row r="205" spans="1:72" x14ac:dyDescent="0.15">
      <c r="A205" t="s">
        <v>72</v>
      </c>
      <c r="B205" t="s">
        <v>4292</v>
      </c>
      <c r="C205" t="s">
        <v>74</v>
      </c>
      <c r="D205" t="s">
        <v>74</v>
      </c>
      <c r="E205" t="s">
        <v>74</v>
      </c>
      <c r="F205" t="s">
        <v>4293</v>
      </c>
      <c r="G205" t="s">
        <v>74</v>
      </c>
      <c r="H205" t="s">
        <v>74</v>
      </c>
      <c r="I205" t="s">
        <v>4294</v>
      </c>
      <c r="J205" t="s">
        <v>322</v>
      </c>
      <c r="K205" t="s">
        <v>74</v>
      </c>
      <c r="L205" t="s">
        <v>74</v>
      </c>
      <c r="M205" t="s">
        <v>78</v>
      </c>
      <c r="N205" t="s">
        <v>79</v>
      </c>
      <c r="O205" t="s">
        <v>74</v>
      </c>
      <c r="P205" t="s">
        <v>74</v>
      </c>
      <c r="Q205" t="s">
        <v>74</v>
      </c>
      <c r="R205" t="s">
        <v>74</v>
      </c>
      <c r="S205" t="s">
        <v>74</v>
      </c>
      <c r="T205" t="s">
        <v>74</v>
      </c>
      <c r="U205" t="s">
        <v>4295</v>
      </c>
      <c r="V205" t="s">
        <v>4296</v>
      </c>
      <c r="W205" t="s">
        <v>4297</v>
      </c>
      <c r="X205" t="s">
        <v>4298</v>
      </c>
      <c r="Y205" t="s">
        <v>4299</v>
      </c>
      <c r="Z205" t="s">
        <v>4300</v>
      </c>
      <c r="AA205" t="s">
        <v>4301</v>
      </c>
      <c r="AB205" t="s">
        <v>4302</v>
      </c>
      <c r="AC205" t="s">
        <v>4303</v>
      </c>
      <c r="AD205" t="s">
        <v>859</v>
      </c>
      <c r="AE205" t="s">
        <v>74</v>
      </c>
      <c r="AF205" t="s">
        <v>74</v>
      </c>
      <c r="AG205">
        <v>45</v>
      </c>
      <c r="AH205">
        <v>11</v>
      </c>
      <c r="AI205">
        <v>13</v>
      </c>
      <c r="AJ205">
        <v>1</v>
      </c>
      <c r="AK205">
        <v>12</v>
      </c>
      <c r="AL205" t="s">
        <v>306</v>
      </c>
      <c r="AM205" t="s">
        <v>307</v>
      </c>
      <c r="AN205" t="s">
        <v>308</v>
      </c>
      <c r="AO205" t="s">
        <v>334</v>
      </c>
      <c r="AP205" t="s">
        <v>335</v>
      </c>
      <c r="AQ205" t="s">
        <v>74</v>
      </c>
      <c r="AR205" t="s">
        <v>336</v>
      </c>
      <c r="AS205" t="s">
        <v>337</v>
      </c>
      <c r="AT205" t="s">
        <v>2170</v>
      </c>
      <c r="AU205">
        <v>2015</v>
      </c>
      <c r="AV205">
        <v>120</v>
      </c>
      <c r="AW205">
        <v>10</v>
      </c>
      <c r="AX205" t="s">
        <v>74</v>
      </c>
      <c r="AY205" t="s">
        <v>74</v>
      </c>
      <c r="AZ205" t="s">
        <v>74</v>
      </c>
      <c r="BA205" t="s">
        <v>74</v>
      </c>
      <c r="BB205">
        <v>7067</v>
      </c>
      <c r="BC205">
        <v>7090</v>
      </c>
      <c r="BD205" t="s">
        <v>74</v>
      </c>
      <c r="BE205" t="s">
        <v>4304</v>
      </c>
      <c r="BF205" t="str">
        <f>HYPERLINK("http://dx.doi.org/10.1002/2015JC011080","http://dx.doi.org/10.1002/2015JC011080")</f>
        <v>http://dx.doi.org/10.1002/2015JC011080</v>
      </c>
      <c r="BG205" t="s">
        <v>74</v>
      </c>
      <c r="BH205" t="s">
        <v>74</v>
      </c>
      <c r="BI205">
        <v>24</v>
      </c>
      <c r="BJ205" t="s">
        <v>339</v>
      </c>
      <c r="BK205" t="s">
        <v>101</v>
      </c>
      <c r="BL205" t="s">
        <v>339</v>
      </c>
      <c r="BM205" t="s">
        <v>2483</v>
      </c>
      <c r="BN205" t="s">
        <v>74</v>
      </c>
      <c r="BO205" t="s">
        <v>4305</v>
      </c>
      <c r="BP205" t="s">
        <v>74</v>
      </c>
      <c r="BQ205" t="s">
        <v>74</v>
      </c>
      <c r="BR205" t="s">
        <v>103</v>
      </c>
      <c r="BS205" t="s">
        <v>4306</v>
      </c>
      <c r="BT205" t="str">
        <f>HYPERLINK("https%3A%2F%2Fwww.webofscience.com%2Fwos%2Fwoscc%2Ffull-record%2FWOS:000365539700029","View Full Record in Web of Science")</f>
        <v>View Full Record in Web of Science</v>
      </c>
    </row>
    <row r="206" spans="1:72" x14ac:dyDescent="0.15">
      <c r="A206" t="s">
        <v>72</v>
      </c>
      <c r="B206" t="s">
        <v>4307</v>
      </c>
      <c r="C206" t="s">
        <v>74</v>
      </c>
      <c r="D206" t="s">
        <v>74</v>
      </c>
      <c r="E206" t="s">
        <v>74</v>
      </c>
      <c r="F206" t="s">
        <v>4308</v>
      </c>
      <c r="G206" t="s">
        <v>74</v>
      </c>
      <c r="H206" t="s">
        <v>74</v>
      </c>
      <c r="I206" t="s">
        <v>4309</v>
      </c>
      <c r="J206" t="s">
        <v>3447</v>
      </c>
      <c r="K206" t="s">
        <v>74</v>
      </c>
      <c r="L206" t="s">
        <v>74</v>
      </c>
      <c r="M206" t="s">
        <v>78</v>
      </c>
      <c r="N206" t="s">
        <v>581</v>
      </c>
      <c r="O206" t="s">
        <v>74</v>
      </c>
      <c r="P206" t="s">
        <v>74</v>
      </c>
      <c r="Q206" t="s">
        <v>74</v>
      </c>
      <c r="R206" t="s">
        <v>74</v>
      </c>
      <c r="S206" t="s">
        <v>74</v>
      </c>
      <c r="T206" t="s">
        <v>4310</v>
      </c>
      <c r="U206" t="s">
        <v>4311</v>
      </c>
      <c r="V206" t="s">
        <v>4312</v>
      </c>
      <c r="W206" t="s">
        <v>4313</v>
      </c>
      <c r="X206" t="s">
        <v>4314</v>
      </c>
      <c r="Y206" t="s">
        <v>4315</v>
      </c>
      <c r="Z206" t="s">
        <v>4316</v>
      </c>
      <c r="AA206" t="s">
        <v>4317</v>
      </c>
      <c r="AB206" t="s">
        <v>4318</v>
      </c>
      <c r="AC206" t="s">
        <v>4319</v>
      </c>
      <c r="AD206" t="s">
        <v>4320</v>
      </c>
      <c r="AE206" t="s">
        <v>4321</v>
      </c>
      <c r="AF206" t="s">
        <v>74</v>
      </c>
      <c r="AG206">
        <v>202</v>
      </c>
      <c r="AH206">
        <v>90</v>
      </c>
      <c r="AI206">
        <v>92</v>
      </c>
      <c r="AJ206">
        <v>9</v>
      </c>
      <c r="AK206">
        <v>104</v>
      </c>
      <c r="AL206" t="s">
        <v>92</v>
      </c>
      <c r="AM206" t="s">
        <v>93</v>
      </c>
      <c r="AN206" t="s">
        <v>94</v>
      </c>
      <c r="AO206" t="s">
        <v>3460</v>
      </c>
      <c r="AP206" t="s">
        <v>3461</v>
      </c>
      <c r="AQ206" t="s">
        <v>74</v>
      </c>
      <c r="AR206" t="s">
        <v>3462</v>
      </c>
      <c r="AS206" t="s">
        <v>3463</v>
      </c>
      <c r="AT206" t="s">
        <v>2170</v>
      </c>
      <c r="AU206">
        <v>2015</v>
      </c>
      <c r="AV206">
        <v>71</v>
      </c>
      <c r="AW206">
        <v>5</v>
      </c>
      <c r="AX206" t="s">
        <v>74</v>
      </c>
      <c r="AY206" t="s">
        <v>74</v>
      </c>
      <c r="AZ206" t="s">
        <v>74</v>
      </c>
      <c r="BA206" t="s">
        <v>74</v>
      </c>
      <c r="BB206">
        <v>469</v>
      </c>
      <c r="BC206">
        <v>497</v>
      </c>
      <c r="BD206" t="s">
        <v>74</v>
      </c>
      <c r="BE206" t="s">
        <v>4322</v>
      </c>
      <c r="BF206" t="str">
        <f>HYPERLINK("http://dx.doi.org/10.1007/s10872-015-0283-7","http://dx.doi.org/10.1007/s10872-015-0283-7")</f>
        <v>http://dx.doi.org/10.1007/s10872-015-0283-7</v>
      </c>
      <c r="BG206" t="s">
        <v>74</v>
      </c>
      <c r="BH206" t="s">
        <v>74</v>
      </c>
      <c r="BI206">
        <v>29</v>
      </c>
      <c r="BJ206" t="s">
        <v>339</v>
      </c>
      <c r="BK206" t="s">
        <v>101</v>
      </c>
      <c r="BL206" t="s">
        <v>339</v>
      </c>
      <c r="BM206" t="s">
        <v>3465</v>
      </c>
      <c r="BN206" t="s">
        <v>74</v>
      </c>
      <c r="BO206" t="s">
        <v>74</v>
      </c>
      <c r="BP206" t="s">
        <v>74</v>
      </c>
      <c r="BQ206" t="s">
        <v>74</v>
      </c>
      <c r="BR206" t="s">
        <v>103</v>
      </c>
      <c r="BS206" t="s">
        <v>4323</v>
      </c>
      <c r="BT206" t="str">
        <f>HYPERLINK("https%3A%2F%2Fwww.webofscience.com%2Fwos%2Fwoscc%2Ffull-record%2FWOS:000361883200002","View Full Record in Web of Science")</f>
        <v>View Full Record in Web of Science</v>
      </c>
    </row>
    <row r="207" spans="1:72" x14ac:dyDescent="0.15">
      <c r="A207" t="s">
        <v>72</v>
      </c>
      <c r="B207" t="s">
        <v>4324</v>
      </c>
      <c r="C207" t="s">
        <v>74</v>
      </c>
      <c r="D207" t="s">
        <v>74</v>
      </c>
      <c r="E207" t="s">
        <v>74</v>
      </c>
      <c r="F207" t="s">
        <v>4325</v>
      </c>
      <c r="G207" t="s">
        <v>74</v>
      </c>
      <c r="H207" t="s">
        <v>74</v>
      </c>
      <c r="I207" t="s">
        <v>4326</v>
      </c>
      <c r="J207" t="s">
        <v>4327</v>
      </c>
      <c r="K207" t="s">
        <v>74</v>
      </c>
      <c r="L207" t="s">
        <v>74</v>
      </c>
      <c r="M207" t="s">
        <v>78</v>
      </c>
      <c r="N207" t="s">
        <v>79</v>
      </c>
      <c r="O207" t="s">
        <v>74</v>
      </c>
      <c r="P207" t="s">
        <v>74</v>
      </c>
      <c r="Q207" t="s">
        <v>74</v>
      </c>
      <c r="R207" t="s">
        <v>74</v>
      </c>
      <c r="S207" t="s">
        <v>74</v>
      </c>
      <c r="T207" t="s">
        <v>4328</v>
      </c>
      <c r="U207" t="s">
        <v>4329</v>
      </c>
      <c r="V207" t="s">
        <v>4330</v>
      </c>
      <c r="W207" t="s">
        <v>4331</v>
      </c>
      <c r="X207" t="s">
        <v>4332</v>
      </c>
      <c r="Y207" t="s">
        <v>4333</v>
      </c>
      <c r="Z207" t="s">
        <v>4334</v>
      </c>
      <c r="AA207" t="s">
        <v>4335</v>
      </c>
      <c r="AB207" t="s">
        <v>4336</v>
      </c>
      <c r="AC207" t="s">
        <v>4337</v>
      </c>
      <c r="AD207" t="s">
        <v>4338</v>
      </c>
      <c r="AE207" t="s">
        <v>4339</v>
      </c>
      <c r="AF207" t="s">
        <v>74</v>
      </c>
      <c r="AG207">
        <v>42</v>
      </c>
      <c r="AH207">
        <v>8</v>
      </c>
      <c r="AI207">
        <v>11</v>
      </c>
      <c r="AJ207">
        <v>0</v>
      </c>
      <c r="AK207">
        <v>44</v>
      </c>
      <c r="AL207" t="s">
        <v>3146</v>
      </c>
      <c r="AM207" t="s">
        <v>3147</v>
      </c>
      <c r="AN207" t="s">
        <v>3148</v>
      </c>
      <c r="AO207" t="s">
        <v>4340</v>
      </c>
      <c r="AP207" t="s">
        <v>4341</v>
      </c>
      <c r="AQ207" t="s">
        <v>74</v>
      </c>
      <c r="AR207" t="s">
        <v>4342</v>
      </c>
      <c r="AS207" t="s">
        <v>4343</v>
      </c>
      <c r="AT207" t="s">
        <v>2170</v>
      </c>
      <c r="AU207">
        <v>2015</v>
      </c>
      <c r="AV207">
        <v>156</v>
      </c>
      <c r="AW207">
        <v>4</v>
      </c>
      <c r="AX207" t="s">
        <v>74</v>
      </c>
      <c r="AY207" t="s">
        <v>74</v>
      </c>
      <c r="AZ207" t="s">
        <v>74</v>
      </c>
      <c r="BA207" t="s">
        <v>74</v>
      </c>
      <c r="BB207">
        <v>991</v>
      </c>
      <c r="BC207">
        <v>998</v>
      </c>
      <c r="BD207" t="s">
        <v>74</v>
      </c>
      <c r="BE207" t="s">
        <v>4344</v>
      </c>
      <c r="BF207" t="str">
        <f>HYPERLINK("http://dx.doi.org/10.1007/s10336-015-1219-0","http://dx.doi.org/10.1007/s10336-015-1219-0")</f>
        <v>http://dx.doi.org/10.1007/s10336-015-1219-0</v>
      </c>
      <c r="BG207" t="s">
        <v>74</v>
      </c>
      <c r="BH207" t="s">
        <v>74</v>
      </c>
      <c r="BI207">
        <v>8</v>
      </c>
      <c r="BJ207" t="s">
        <v>242</v>
      </c>
      <c r="BK207" t="s">
        <v>101</v>
      </c>
      <c r="BL207" t="s">
        <v>243</v>
      </c>
      <c r="BM207" t="s">
        <v>4345</v>
      </c>
      <c r="BN207" t="s">
        <v>74</v>
      </c>
      <c r="BO207" t="s">
        <v>559</v>
      </c>
      <c r="BP207" t="s">
        <v>74</v>
      </c>
      <c r="BQ207" t="s">
        <v>74</v>
      </c>
      <c r="BR207" t="s">
        <v>103</v>
      </c>
      <c r="BS207" t="s">
        <v>4346</v>
      </c>
      <c r="BT207" t="str">
        <f>HYPERLINK("https%3A%2F%2Fwww.webofscience.com%2Fwos%2Fwoscc%2Ffull-record%2FWOS:000360437900013","View Full Record in Web of Science")</f>
        <v>View Full Record in Web of Science</v>
      </c>
    </row>
    <row r="208" spans="1:72" x14ac:dyDescent="0.15">
      <c r="A208" t="s">
        <v>72</v>
      </c>
      <c r="B208" t="s">
        <v>4347</v>
      </c>
      <c r="C208" t="s">
        <v>74</v>
      </c>
      <c r="D208" t="s">
        <v>74</v>
      </c>
      <c r="E208" t="s">
        <v>74</v>
      </c>
      <c r="F208" t="s">
        <v>4348</v>
      </c>
      <c r="G208" t="s">
        <v>74</v>
      </c>
      <c r="H208" t="s">
        <v>74</v>
      </c>
      <c r="I208" t="s">
        <v>4349</v>
      </c>
      <c r="J208" t="s">
        <v>2951</v>
      </c>
      <c r="K208" t="s">
        <v>74</v>
      </c>
      <c r="L208" t="s">
        <v>74</v>
      </c>
      <c r="M208" t="s">
        <v>78</v>
      </c>
      <c r="N208" t="s">
        <v>79</v>
      </c>
      <c r="O208" t="s">
        <v>74</v>
      </c>
      <c r="P208" t="s">
        <v>74</v>
      </c>
      <c r="Q208" t="s">
        <v>74</v>
      </c>
      <c r="R208" t="s">
        <v>74</v>
      </c>
      <c r="S208" t="s">
        <v>74</v>
      </c>
      <c r="T208" t="s">
        <v>4350</v>
      </c>
      <c r="U208" t="s">
        <v>4351</v>
      </c>
      <c r="V208" t="s">
        <v>4352</v>
      </c>
      <c r="W208" t="s">
        <v>4353</v>
      </c>
      <c r="X208" t="s">
        <v>2956</v>
      </c>
      <c r="Y208" t="s">
        <v>4354</v>
      </c>
      <c r="Z208" t="s">
        <v>4355</v>
      </c>
      <c r="AA208" t="s">
        <v>4356</v>
      </c>
      <c r="AB208" t="s">
        <v>4357</v>
      </c>
      <c r="AC208" t="s">
        <v>4358</v>
      </c>
      <c r="AD208" t="s">
        <v>4358</v>
      </c>
      <c r="AE208" t="s">
        <v>4359</v>
      </c>
      <c r="AF208" t="s">
        <v>74</v>
      </c>
      <c r="AG208">
        <v>91</v>
      </c>
      <c r="AH208">
        <v>16</v>
      </c>
      <c r="AI208">
        <v>16</v>
      </c>
      <c r="AJ208">
        <v>2</v>
      </c>
      <c r="AK208">
        <v>78</v>
      </c>
      <c r="AL208" t="s">
        <v>208</v>
      </c>
      <c r="AM208" t="s">
        <v>209</v>
      </c>
      <c r="AN208" t="s">
        <v>210</v>
      </c>
      <c r="AO208" t="s">
        <v>2961</v>
      </c>
      <c r="AP208" t="s">
        <v>2962</v>
      </c>
      <c r="AQ208" t="s">
        <v>74</v>
      </c>
      <c r="AR208" t="s">
        <v>2963</v>
      </c>
      <c r="AS208" t="s">
        <v>2964</v>
      </c>
      <c r="AT208" t="s">
        <v>2170</v>
      </c>
      <c r="AU208">
        <v>2015</v>
      </c>
      <c r="AV208">
        <v>51</v>
      </c>
      <c r="AW208">
        <v>5</v>
      </c>
      <c r="AX208" t="s">
        <v>74</v>
      </c>
      <c r="AY208" t="s">
        <v>74</v>
      </c>
      <c r="AZ208" t="s">
        <v>74</v>
      </c>
      <c r="BA208" t="s">
        <v>74</v>
      </c>
      <c r="BB208">
        <v>859</v>
      </c>
      <c r="BC208">
        <v>871</v>
      </c>
      <c r="BD208" t="s">
        <v>74</v>
      </c>
      <c r="BE208" t="s">
        <v>4360</v>
      </c>
      <c r="BF208" t="str">
        <f>HYPERLINK("http://dx.doi.org/10.1111/jpy.12329","http://dx.doi.org/10.1111/jpy.12329")</f>
        <v>http://dx.doi.org/10.1111/jpy.12329</v>
      </c>
      <c r="BG208" t="s">
        <v>74</v>
      </c>
      <c r="BH208" t="s">
        <v>74</v>
      </c>
      <c r="BI208">
        <v>13</v>
      </c>
      <c r="BJ208" t="s">
        <v>2966</v>
      </c>
      <c r="BK208" t="s">
        <v>101</v>
      </c>
      <c r="BL208" t="s">
        <v>2966</v>
      </c>
      <c r="BM208" t="s">
        <v>2967</v>
      </c>
      <c r="BN208">
        <v>26986883</v>
      </c>
      <c r="BO208" t="s">
        <v>74</v>
      </c>
      <c r="BP208" t="s">
        <v>74</v>
      </c>
      <c r="BQ208" t="s">
        <v>74</v>
      </c>
      <c r="BR208" t="s">
        <v>103</v>
      </c>
      <c r="BS208" t="s">
        <v>4361</v>
      </c>
      <c r="BT208" t="str">
        <f>HYPERLINK("https%3A%2F%2Fwww.webofscience.com%2Fwos%2Fwoscc%2Ffull-record%2FWOS:000363263500004","View Full Record in Web of Science")</f>
        <v>View Full Record in Web of Science</v>
      </c>
    </row>
    <row r="209" spans="1:72" x14ac:dyDescent="0.15">
      <c r="A209" t="s">
        <v>72</v>
      </c>
      <c r="B209" t="s">
        <v>4362</v>
      </c>
      <c r="C209" t="s">
        <v>74</v>
      </c>
      <c r="D209" t="s">
        <v>74</v>
      </c>
      <c r="E209" t="s">
        <v>74</v>
      </c>
      <c r="F209" t="s">
        <v>4363</v>
      </c>
      <c r="G209" t="s">
        <v>74</v>
      </c>
      <c r="H209" t="s">
        <v>74</v>
      </c>
      <c r="I209" t="s">
        <v>4364</v>
      </c>
      <c r="J209" t="s">
        <v>4365</v>
      </c>
      <c r="K209" t="s">
        <v>74</v>
      </c>
      <c r="L209" t="s">
        <v>74</v>
      </c>
      <c r="M209" t="s">
        <v>78</v>
      </c>
      <c r="N209" t="s">
        <v>79</v>
      </c>
      <c r="O209" t="s">
        <v>74</v>
      </c>
      <c r="P209" t="s">
        <v>74</v>
      </c>
      <c r="Q209" t="s">
        <v>74</v>
      </c>
      <c r="R209" t="s">
        <v>74</v>
      </c>
      <c r="S209" t="s">
        <v>74</v>
      </c>
      <c r="T209" t="s">
        <v>4366</v>
      </c>
      <c r="U209" t="s">
        <v>4367</v>
      </c>
      <c r="V209" t="s">
        <v>4368</v>
      </c>
      <c r="W209" t="s">
        <v>4369</v>
      </c>
      <c r="X209" t="s">
        <v>4370</v>
      </c>
      <c r="Y209" t="s">
        <v>4371</v>
      </c>
      <c r="Z209" t="s">
        <v>4372</v>
      </c>
      <c r="AA209" t="s">
        <v>4373</v>
      </c>
      <c r="AB209" t="s">
        <v>4374</v>
      </c>
      <c r="AC209" t="s">
        <v>4375</v>
      </c>
      <c r="AD209" t="s">
        <v>4376</v>
      </c>
      <c r="AE209" t="s">
        <v>4377</v>
      </c>
      <c r="AF209" t="s">
        <v>74</v>
      </c>
      <c r="AG209">
        <v>31</v>
      </c>
      <c r="AH209">
        <v>40</v>
      </c>
      <c r="AI209">
        <v>45</v>
      </c>
      <c r="AJ209">
        <v>0</v>
      </c>
      <c r="AK209">
        <v>38</v>
      </c>
      <c r="AL209" t="s">
        <v>263</v>
      </c>
      <c r="AM209" t="s">
        <v>264</v>
      </c>
      <c r="AN209" t="s">
        <v>265</v>
      </c>
      <c r="AO209" t="s">
        <v>4378</v>
      </c>
      <c r="AP209" t="s">
        <v>4379</v>
      </c>
      <c r="AQ209" t="s">
        <v>74</v>
      </c>
      <c r="AR209" t="s">
        <v>4380</v>
      </c>
      <c r="AS209" t="s">
        <v>4381</v>
      </c>
      <c r="AT209" t="s">
        <v>2170</v>
      </c>
      <c r="AU209">
        <v>2015</v>
      </c>
      <c r="AV209">
        <v>45</v>
      </c>
      <c r="AW209">
        <v>10</v>
      </c>
      <c r="AX209" t="s">
        <v>74</v>
      </c>
      <c r="AY209" t="s">
        <v>74</v>
      </c>
      <c r="AZ209" t="s">
        <v>74</v>
      </c>
      <c r="BA209" t="s">
        <v>74</v>
      </c>
      <c r="BB209">
        <v>2580</v>
      </c>
      <c r="BC209">
        <v>2597</v>
      </c>
      <c r="BD209" t="s">
        <v>74</v>
      </c>
      <c r="BE209" t="s">
        <v>4382</v>
      </c>
      <c r="BF209" t="str">
        <f>HYPERLINK("http://dx.doi.org/10.1175/JPO-D-15-0039.1","http://dx.doi.org/10.1175/JPO-D-15-0039.1")</f>
        <v>http://dx.doi.org/10.1175/JPO-D-15-0039.1</v>
      </c>
      <c r="BG209" t="s">
        <v>74</v>
      </c>
      <c r="BH209" t="s">
        <v>74</v>
      </c>
      <c r="BI209">
        <v>18</v>
      </c>
      <c r="BJ209" t="s">
        <v>339</v>
      </c>
      <c r="BK209" t="s">
        <v>101</v>
      </c>
      <c r="BL209" t="s">
        <v>339</v>
      </c>
      <c r="BM209" t="s">
        <v>4383</v>
      </c>
      <c r="BN209" t="s">
        <v>74</v>
      </c>
      <c r="BO209" t="s">
        <v>4384</v>
      </c>
      <c r="BP209" t="s">
        <v>74</v>
      </c>
      <c r="BQ209" t="s">
        <v>74</v>
      </c>
      <c r="BR209" t="s">
        <v>103</v>
      </c>
      <c r="BS209" t="s">
        <v>4385</v>
      </c>
      <c r="BT209" t="str">
        <f>HYPERLINK("https%3A%2F%2Fwww.webofscience.com%2Fwos%2Fwoscc%2Ffull-record%2FWOS:000362415900008","View Full Record in Web of Science")</f>
        <v>View Full Record in Web of Science</v>
      </c>
    </row>
    <row r="210" spans="1:72" x14ac:dyDescent="0.15">
      <c r="A210" t="s">
        <v>72</v>
      </c>
      <c r="B210" t="s">
        <v>4386</v>
      </c>
      <c r="C210" t="s">
        <v>74</v>
      </c>
      <c r="D210" t="s">
        <v>74</v>
      </c>
      <c r="E210" t="s">
        <v>74</v>
      </c>
      <c r="F210" t="s">
        <v>4387</v>
      </c>
      <c r="G210" t="s">
        <v>74</v>
      </c>
      <c r="H210" t="s">
        <v>74</v>
      </c>
      <c r="I210" t="s">
        <v>4388</v>
      </c>
      <c r="J210" t="s">
        <v>4389</v>
      </c>
      <c r="K210" t="s">
        <v>74</v>
      </c>
      <c r="L210" t="s">
        <v>74</v>
      </c>
      <c r="M210" t="s">
        <v>78</v>
      </c>
      <c r="N210" t="s">
        <v>79</v>
      </c>
      <c r="O210" t="s">
        <v>74</v>
      </c>
      <c r="P210" t="s">
        <v>74</v>
      </c>
      <c r="Q210" t="s">
        <v>74</v>
      </c>
      <c r="R210" t="s">
        <v>74</v>
      </c>
      <c r="S210" t="s">
        <v>74</v>
      </c>
      <c r="T210" t="s">
        <v>4390</v>
      </c>
      <c r="U210" t="s">
        <v>74</v>
      </c>
      <c r="V210" t="s">
        <v>4391</v>
      </c>
      <c r="W210" t="s">
        <v>4392</v>
      </c>
      <c r="X210" t="s">
        <v>4393</v>
      </c>
      <c r="Y210" t="s">
        <v>4394</v>
      </c>
      <c r="Z210" t="s">
        <v>4395</v>
      </c>
      <c r="AA210" t="s">
        <v>74</v>
      </c>
      <c r="AB210" t="s">
        <v>4396</v>
      </c>
      <c r="AC210" t="s">
        <v>4397</v>
      </c>
      <c r="AD210" t="s">
        <v>4397</v>
      </c>
      <c r="AE210" t="s">
        <v>4398</v>
      </c>
      <c r="AF210" t="s">
        <v>74</v>
      </c>
      <c r="AG210">
        <v>29</v>
      </c>
      <c r="AH210">
        <v>0</v>
      </c>
      <c r="AI210">
        <v>0</v>
      </c>
      <c r="AJ210">
        <v>0</v>
      </c>
      <c r="AK210">
        <v>4</v>
      </c>
      <c r="AL210" t="s">
        <v>4399</v>
      </c>
      <c r="AM210" t="s">
        <v>4400</v>
      </c>
      <c r="AN210" t="s">
        <v>4401</v>
      </c>
      <c r="AO210" t="s">
        <v>4402</v>
      </c>
      <c r="AP210" t="s">
        <v>4403</v>
      </c>
      <c r="AQ210" t="s">
        <v>74</v>
      </c>
      <c r="AR210" t="s">
        <v>4404</v>
      </c>
      <c r="AS210" t="s">
        <v>4405</v>
      </c>
      <c r="AT210" t="s">
        <v>2170</v>
      </c>
      <c r="AU210">
        <v>2015</v>
      </c>
      <c r="AV210">
        <v>36</v>
      </c>
      <c r="AW210">
        <v>6</v>
      </c>
      <c r="AX210" t="s">
        <v>74</v>
      </c>
      <c r="AY210" t="s">
        <v>74</v>
      </c>
      <c r="AZ210" t="s">
        <v>74</v>
      </c>
      <c r="BA210" t="s">
        <v>74</v>
      </c>
      <c r="BB210">
        <v>501</v>
      </c>
      <c r="BC210">
        <v>511</v>
      </c>
      <c r="BD210" t="s">
        <v>74</v>
      </c>
      <c r="BE210" t="s">
        <v>4406</v>
      </c>
      <c r="BF210" t="str">
        <f>HYPERLINK("http://dx.doi.org/10.5467/JKESS.2015.36.6.501","http://dx.doi.org/10.5467/JKESS.2015.36.6.501")</f>
        <v>http://dx.doi.org/10.5467/JKESS.2015.36.6.501</v>
      </c>
      <c r="BG210" t="s">
        <v>74</v>
      </c>
      <c r="BH210" t="s">
        <v>74</v>
      </c>
      <c r="BI210">
        <v>11</v>
      </c>
      <c r="BJ210" t="s">
        <v>314</v>
      </c>
      <c r="BK210" t="s">
        <v>831</v>
      </c>
      <c r="BL210" t="s">
        <v>315</v>
      </c>
      <c r="BM210" t="s">
        <v>4407</v>
      </c>
      <c r="BN210" t="s">
        <v>74</v>
      </c>
      <c r="BO210" t="s">
        <v>74</v>
      </c>
      <c r="BP210" t="s">
        <v>74</v>
      </c>
      <c r="BQ210" t="s">
        <v>74</v>
      </c>
      <c r="BR210" t="s">
        <v>103</v>
      </c>
      <c r="BS210" t="s">
        <v>4408</v>
      </c>
      <c r="BT210" t="str">
        <f>HYPERLINK("https%3A%2F%2Fwww.webofscience.com%2Fwos%2Fwoscc%2Ffull-record%2FWOS:000439562600001","View Full Record in Web of Science")</f>
        <v>View Full Record in Web of Science</v>
      </c>
    </row>
    <row r="211" spans="1:72" x14ac:dyDescent="0.15">
      <c r="A211" t="s">
        <v>72</v>
      </c>
      <c r="B211" t="s">
        <v>4409</v>
      </c>
      <c r="C211" t="s">
        <v>74</v>
      </c>
      <c r="D211" t="s">
        <v>74</v>
      </c>
      <c r="E211" t="s">
        <v>74</v>
      </c>
      <c r="F211" t="s">
        <v>4410</v>
      </c>
      <c r="G211" t="s">
        <v>74</v>
      </c>
      <c r="H211" t="s">
        <v>74</v>
      </c>
      <c r="I211" t="s">
        <v>4411</v>
      </c>
      <c r="J211" t="s">
        <v>4412</v>
      </c>
      <c r="K211" t="s">
        <v>74</v>
      </c>
      <c r="L211" t="s">
        <v>74</v>
      </c>
      <c r="M211" t="s">
        <v>78</v>
      </c>
      <c r="N211" t="s">
        <v>581</v>
      </c>
      <c r="O211" t="s">
        <v>74</v>
      </c>
      <c r="P211" t="s">
        <v>74</v>
      </c>
      <c r="Q211" t="s">
        <v>74</v>
      </c>
      <c r="R211" t="s">
        <v>74</v>
      </c>
      <c r="S211" t="s">
        <v>74</v>
      </c>
      <c r="T211" t="s">
        <v>4413</v>
      </c>
      <c r="U211" t="s">
        <v>4414</v>
      </c>
      <c r="V211" t="s">
        <v>4415</v>
      </c>
      <c r="W211" t="s">
        <v>4416</v>
      </c>
      <c r="X211" t="s">
        <v>4417</v>
      </c>
      <c r="Y211" t="s">
        <v>4418</v>
      </c>
      <c r="Z211" t="s">
        <v>4419</v>
      </c>
      <c r="AA211" t="s">
        <v>4420</v>
      </c>
      <c r="AB211" t="s">
        <v>4421</v>
      </c>
      <c r="AC211" t="s">
        <v>4422</v>
      </c>
      <c r="AD211" t="s">
        <v>4423</v>
      </c>
      <c r="AE211" t="s">
        <v>4424</v>
      </c>
      <c r="AF211" t="s">
        <v>74</v>
      </c>
      <c r="AG211">
        <v>198</v>
      </c>
      <c r="AH211">
        <v>257</v>
      </c>
      <c r="AI211">
        <v>287</v>
      </c>
      <c r="AJ211">
        <v>14</v>
      </c>
      <c r="AK211">
        <v>243</v>
      </c>
      <c r="AL211" t="s">
        <v>397</v>
      </c>
      <c r="AM211" t="s">
        <v>398</v>
      </c>
      <c r="AN211" t="s">
        <v>399</v>
      </c>
      <c r="AO211" t="s">
        <v>4425</v>
      </c>
      <c r="AP211" t="s">
        <v>74</v>
      </c>
      <c r="AQ211" t="s">
        <v>74</v>
      </c>
      <c r="AR211" t="s">
        <v>4426</v>
      </c>
      <c r="AS211" t="s">
        <v>4427</v>
      </c>
      <c r="AT211" t="s">
        <v>2170</v>
      </c>
      <c r="AU211">
        <v>2015</v>
      </c>
      <c r="AV211">
        <v>53</v>
      </c>
      <c r="AW211" t="s">
        <v>74</v>
      </c>
      <c r="AX211" t="s">
        <v>74</v>
      </c>
      <c r="AY211" t="s">
        <v>74</v>
      </c>
      <c r="AZ211" t="s">
        <v>74</v>
      </c>
      <c r="BA211" t="s">
        <v>74</v>
      </c>
      <c r="BB211">
        <v>180</v>
      </c>
      <c r="BC211">
        <v>197</v>
      </c>
      <c r="BD211" t="s">
        <v>74</v>
      </c>
      <c r="BE211" t="s">
        <v>4428</v>
      </c>
      <c r="BF211" t="str">
        <f>HYPERLINK("http://dx.doi.org/10.1016/j.jtherbio.2015.11.003","http://dx.doi.org/10.1016/j.jtherbio.2015.11.003")</f>
        <v>http://dx.doi.org/10.1016/j.jtherbio.2015.11.003</v>
      </c>
      <c r="BG211" t="s">
        <v>74</v>
      </c>
      <c r="BH211" t="s">
        <v>74</v>
      </c>
      <c r="BI211">
        <v>18</v>
      </c>
      <c r="BJ211" t="s">
        <v>4429</v>
      </c>
      <c r="BK211" t="s">
        <v>101</v>
      </c>
      <c r="BL211" t="s">
        <v>4430</v>
      </c>
      <c r="BM211" t="s">
        <v>4431</v>
      </c>
      <c r="BN211">
        <v>26590471</v>
      </c>
      <c r="BO211" t="s">
        <v>559</v>
      </c>
      <c r="BP211" t="s">
        <v>1736</v>
      </c>
      <c r="BQ211" t="s">
        <v>1737</v>
      </c>
      <c r="BR211" t="s">
        <v>103</v>
      </c>
      <c r="BS211" t="s">
        <v>4432</v>
      </c>
      <c r="BT211" t="str">
        <f>HYPERLINK("https%3A%2F%2Fwww.webofscience.com%2Fwos%2Fwoscc%2Ffull-record%2FWOS:000366342200023","View Full Record in Web of Science")</f>
        <v>View Full Record in Web of Science</v>
      </c>
    </row>
    <row r="212" spans="1:72" x14ac:dyDescent="0.15">
      <c r="A212" t="s">
        <v>72</v>
      </c>
      <c r="B212" t="s">
        <v>4433</v>
      </c>
      <c r="C212" t="s">
        <v>74</v>
      </c>
      <c r="D212" t="s">
        <v>74</v>
      </c>
      <c r="E212" t="s">
        <v>74</v>
      </c>
      <c r="F212" t="s">
        <v>4434</v>
      </c>
      <c r="G212" t="s">
        <v>74</v>
      </c>
      <c r="H212" t="s">
        <v>74</v>
      </c>
      <c r="I212" t="s">
        <v>4435</v>
      </c>
      <c r="J212" t="s">
        <v>4436</v>
      </c>
      <c r="K212" t="s">
        <v>74</v>
      </c>
      <c r="L212" t="s">
        <v>74</v>
      </c>
      <c r="M212" t="s">
        <v>4437</v>
      </c>
      <c r="N212" t="s">
        <v>79</v>
      </c>
      <c r="O212" t="s">
        <v>74</v>
      </c>
      <c r="P212" t="s">
        <v>74</v>
      </c>
      <c r="Q212" t="s">
        <v>74</v>
      </c>
      <c r="R212" t="s">
        <v>74</v>
      </c>
      <c r="S212" t="s">
        <v>74</v>
      </c>
      <c r="T212" t="s">
        <v>4438</v>
      </c>
      <c r="U212" t="s">
        <v>74</v>
      </c>
      <c r="V212" t="s">
        <v>4439</v>
      </c>
      <c r="W212" t="s">
        <v>4440</v>
      </c>
      <c r="X212" t="s">
        <v>4441</v>
      </c>
      <c r="Y212" t="s">
        <v>4442</v>
      </c>
      <c r="Z212" t="s">
        <v>4443</v>
      </c>
      <c r="AA212" t="s">
        <v>74</v>
      </c>
      <c r="AB212" t="s">
        <v>74</v>
      </c>
      <c r="AC212" t="s">
        <v>74</v>
      </c>
      <c r="AD212" t="s">
        <v>74</v>
      </c>
      <c r="AE212" t="s">
        <v>74</v>
      </c>
      <c r="AF212" t="s">
        <v>74</v>
      </c>
      <c r="AG212">
        <v>6</v>
      </c>
      <c r="AH212">
        <v>0</v>
      </c>
      <c r="AI212">
        <v>0</v>
      </c>
      <c r="AJ212">
        <v>0</v>
      </c>
      <c r="AK212">
        <v>0</v>
      </c>
      <c r="AL212" t="s">
        <v>4444</v>
      </c>
      <c r="AM212" t="s">
        <v>4445</v>
      </c>
      <c r="AN212" t="s">
        <v>4446</v>
      </c>
      <c r="AO212" t="s">
        <v>4447</v>
      </c>
      <c r="AP212" t="s">
        <v>4448</v>
      </c>
      <c r="AQ212" t="s">
        <v>74</v>
      </c>
      <c r="AR212" t="s">
        <v>4449</v>
      </c>
      <c r="AS212" t="s">
        <v>4450</v>
      </c>
      <c r="AT212" t="s">
        <v>2170</v>
      </c>
      <c r="AU212">
        <v>2015</v>
      </c>
      <c r="AV212">
        <v>28</v>
      </c>
      <c r="AW212">
        <v>5</v>
      </c>
      <c r="AX212" t="s">
        <v>74</v>
      </c>
      <c r="AY212" t="s">
        <v>74</v>
      </c>
      <c r="AZ212" t="s">
        <v>74</v>
      </c>
      <c r="BA212" t="s">
        <v>74</v>
      </c>
      <c r="BB212">
        <v>847</v>
      </c>
      <c r="BC212">
        <v>858</v>
      </c>
      <c r="BD212" t="s">
        <v>74</v>
      </c>
      <c r="BE212" t="s">
        <v>4451</v>
      </c>
      <c r="BF212" t="str">
        <f>HYPERLINK("http://dx.doi.org/10.5351/KJAS.2015.28.5.847","http://dx.doi.org/10.5351/KJAS.2015.28.5.847")</f>
        <v>http://dx.doi.org/10.5351/KJAS.2015.28.5.847</v>
      </c>
      <c r="BG212" t="s">
        <v>74</v>
      </c>
      <c r="BH212" t="s">
        <v>74</v>
      </c>
      <c r="BI212">
        <v>12</v>
      </c>
      <c r="BJ212" t="s">
        <v>4452</v>
      </c>
      <c r="BK212" t="s">
        <v>831</v>
      </c>
      <c r="BL212" t="s">
        <v>4453</v>
      </c>
      <c r="BM212" t="s">
        <v>4454</v>
      </c>
      <c r="BN212" t="s">
        <v>74</v>
      </c>
      <c r="BO212" t="s">
        <v>162</v>
      </c>
      <c r="BP212" t="s">
        <v>74</v>
      </c>
      <c r="BQ212" t="s">
        <v>74</v>
      </c>
      <c r="BR212" t="s">
        <v>103</v>
      </c>
      <c r="BS212" t="s">
        <v>4455</v>
      </c>
      <c r="BT212" t="str">
        <f>HYPERLINK("https%3A%2F%2Fwww.webofscience.com%2Fwos%2Fwoscc%2Ffull-record%2FWOS:000437602300001","View Full Record in Web of Science")</f>
        <v>View Full Record in Web of Science</v>
      </c>
    </row>
    <row r="213" spans="1:72" x14ac:dyDescent="0.15">
      <c r="A213" t="s">
        <v>72</v>
      </c>
      <c r="B213" t="s">
        <v>4456</v>
      </c>
      <c r="C213" t="s">
        <v>74</v>
      </c>
      <c r="D213" t="s">
        <v>74</v>
      </c>
      <c r="E213" t="s">
        <v>74</v>
      </c>
      <c r="F213" t="s">
        <v>4457</v>
      </c>
      <c r="G213" t="s">
        <v>74</v>
      </c>
      <c r="H213" t="s">
        <v>74</v>
      </c>
      <c r="I213" t="s">
        <v>4458</v>
      </c>
      <c r="J213" t="s">
        <v>3159</v>
      </c>
      <c r="K213" t="s">
        <v>74</v>
      </c>
      <c r="L213" t="s">
        <v>74</v>
      </c>
      <c r="M213" t="s">
        <v>78</v>
      </c>
      <c r="N213" t="s">
        <v>581</v>
      </c>
      <c r="O213" t="s">
        <v>74</v>
      </c>
      <c r="P213" t="s">
        <v>74</v>
      </c>
      <c r="Q213" t="s">
        <v>74</v>
      </c>
      <c r="R213" t="s">
        <v>74</v>
      </c>
      <c r="S213" t="s">
        <v>74</v>
      </c>
      <c r="T213" t="s">
        <v>4459</v>
      </c>
      <c r="U213" t="s">
        <v>4460</v>
      </c>
      <c r="V213" t="s">
        <v>4461</v>
      </c>
      <c r="W213" t="s">
        <v>4462</v>
      </c>
      <c r="X213" t="s">
        <v>4463</v>
      </c>
      <c r="Y213" t="s">
        <v>4464</v>
      </c>
      <c r="Z213" t="s">
        <v>4465</v>
      </c>
      <c r="AA213" t="s">
        <v>4466</v>
      </c>
      <c r="AB213" t="s">
        <v>4467</v>
      </c>
      <c r="AC213" t="s">
        <v>4468</v>
      </c>
      <c r="AD213" t="s">
        <v>4469</v>
      </c>
      <c r="AE213" t="s">
        <v>4470</v>
      </c>
      <c r="AF213" t="s">
        <v>74</v>
      </c>
      <c r="AG213">
        <v>107</v>
      </c>
      <c r="AH213">
        <v>34</v>
      </c>
      <c r="AI213">
        <v>38</v>
      </c>
      <c r="AJ213">
        <v>0</v>
      </c>
      <c r="AK213">
        <v>50</v>
      </c>
      <c r="AL213" t="s">
        <v>883</v>
      </c>
      <c r="AM213" t="s">
        <v>884</v>
      </c>
      <c r="AN213" t="s">
        <v>885</v>
      </c>
      <c r="AO213" t="s">
        <v>3170</v>
      </c>
      <c r="AP213" t="s">
        <v>3171</v>
      </c>
      <c r="AQ213" t="s">
        <v>74</v>
      </c>
      <c r="AR213" t="s">
        <v>3172</v>
      </c>
      <c r="AS213" t="s">
        <v>3173</v>
      </c>
      <c r="AT213" t="s">
        <v>2170</v>
      </c>
      <c r="AU213">
        <v>2015</v>
      </c>
      <c r="AV213">
        <v>23</v>
      </c>
      <c r="AW213" t="s">
        <v>74</v>
      </c>
      <c r="AX213" t="s">
        <v>74</v>
      </c>
      <c r="AY213" t="s">
        <v>74</v>
      </c>
      <c r="AZ213" t="s">
        <v>74</v>
      </c>
      <c r="BA213" t="s">
        <v>74</v>
      </c>
      <c r="BB213">
        <v>1</v>
      </c>
      <c r="BC213">
        <v>13</v>
      </c>
      <c r="BD213" t="s">
        <v>74</v>
      </c>
      <c r="BE213" t="s">
        <v>4471</v>
      </c>
      <c r="BF213" t="str">
        <f>HYPERLINK("http://dx.doi.org/10.1016/j.margen.2015.07.005","http://dx.doi.org/10.1016/j.margen.2015.07.005")</f>
        <v>http://dx.doi.org/10.1016/j.margen.2015.07.005</v>
      </c>
      <c r="BG213" t="s">
        <v>74</v>
      </c>
      <c r="BH213" t="s">
        <v>74</v>
      </c>
      <c r="BI213">
        <v>13</v>
      </c>
      <c r="BJ213" t="s">
        <v>3175</v>
      </c>
      <c r="BK213" t="s">
        <v>101</v>
      </c>
      <c r="BL213" t="s">
        <v>3175</v>
      </c>
      <c r="BM213" t="s">
        <v>3176</v>
      </c>
      <c r="BN213">
        <v>26228311</v>
      </c>
      <c r="BO213" t="s">
        <v>74</v>
      </c>
      <c r="BP213" t="s">
        <v>74</v>
      </c>
      <c r="BQ213" t="s">
        <v>74</v>
      </c>
      <c r="BR213" t="s">
        <v>103</v>
      </c>
      <c r="BS213" t="s">
        <v>4472</v>
      </c>
      <c r="BT213" t="str">
        <f>HYPERLINK("https%3A%2F%2Fwww.webofscience.com%2Fwos%2Fwoscc%2Ffull-record%2FWOS:000362618000001","View Full Record in Web of Science")</f>
        <v>View Full Record in Web of Science</v>
      </c>
    </row>
    <row r="214" spans="1:72" x14ac:dyDescent="0.15">
      <c r="A214" t="s">
        <v>72</v>
      </c>
      <c r="B214" t="s">
        <v>4473</v>
      </c>
      <c r="C214" t="s">
        <v>74</v>
      </c>
      <c r="D214" t="s">
        <v>74</v>
      </c>
      <c r="E214" t="s">
        <v>74</v>
      </c>
      <c r="F214" t="s">
        <v>4474</v>
      </c>
      <c r="G214" t="s">
        <v>74</v>
      </c>
      <c r="H214" t="s">
        <v>74</v>
      </c>
      <c r="I214" t="s">
        <v>4475</v>
      </c>
      <c r="J214" t="s">
        <v>3159</v>
      </c>
      <c r="K214" t="s">
        <v>74</v>
      </c>
      <c r="L214" t="s">
        <v>74</v>
      </c>
      <c r="M214" t="s">
        <v>78</v>
      </c>
      <c r="N214" t="s">
        <v>79</v>
      </c>
      <c r="O214" t="s">
        <v>74</v>
      </c>
      <c r="P214" t="s">
        <v>74</v>
      </c>
      <c r="Q214" t="s">
        <v>74</v>
      </c>
      <c r="R214" t="s">
        <v>74</v>
      </c>
      <c r="S214" t="s">
        <v>74</v>
      </c>
      <c r="T214" t="s">
        <v>4476</v>
      </c>
      <c r="U214" t="s">
        <v>4477</v>
      </c>
      <c r="V214" t="s">
        <v>4478</v>
      </c>
      <c r="W214" t="s">
        <v>4479</v>
      </c>
      <c r="X214" t="s">
        <v>4480</v>
      </c>
      <c r="Y214" t="s">
        <v>4481</v>
      </c>
      <c r="Z214" t="s">
        <v>4179</v>
      </c>
      <c r="AA214" t="s">
        <v>4482</v>
      </c>
      <c r="AB214" t="s">
        <v>4483</v>
      </c>
      <c r="AC214" t="s">
        <v>4484</v>
      </c>
      <c r="AD214" t="s">
        <v>4485</v>
      </c>
      <c r="AE214" t="s">
        <v>4486</v>
      </c>
      <c r="AF214" t="s">
        <v>74</v>
      </c>
      <c r="AG214">
        <v>11</v>
      </c>
      <c r="AH214">
        <v>6</v>
      </c>
      <c r="AI214">
        <v>6</v>
      </c>
      <c r="AJ214">
        <v>0</v>
      </c>
      <c r="AK214">
        <v>22</v>
      </c>
      <c r="AL214" t="s">
        <v>925</v>
      </c>
      <c r="AM214" t="s">
        <v>884</v>
      </c>
      <c r="AN214" t="s">
        <v>926</v>
      </c>
      <c r="AO214" t="s">
        <v>3170</v>
      </c>
      <c r="AP214" t="s">
        <v>3171</v>
      </c>
      <c r="AQ214" t="s">
        <v>74</v>
      </c>
      <c r="AR214" t="s">
        <v>3172</v>
      </c>
      <c r="AS214" t="s">
        <v>3173</v>
      </c>
      <c r="AT214" t="s">
        <v>2170</v>
      </c>
      <c r="AU214">
        <v>2015</v>
      </c>
      <c r="AV214">
        <v>23</v>
      </c>
      <c r="AW214" t="s">
        <v>74</v>
      </c>
      <c r="AX214" t="s">
        <v>74</v>
      </c>
      <c r="AY214" t="s">
        <v>74</v>
      </c>
      <c r="AZ214" t="s">
        <v>74</v>
      </c>
      <c r="BA214" t="s">
        <v>74</v>
      </c>
      <c r="BB214">
        <v>45</v>
      </c>
      <c r="BC214">
        <v>47</v>
      </c>
      <c r="BD214" t="s">
        <v>74</v>
      </c>
      <c r="BE214" t="s">
        <v>4487</v>
      </c>
      <c r="BF214" t="str">
        <f>HYPERLINK("http://dx.doi.org/10.1016/j.margen.2015.04.008","http://dx.doi.org/10.1016/j.margen.2015.04.008")</f>
        <v>http://dx.doi.org/10.1016/j.margen.2015.04.008</v>
      </c>
      <c r="BG214" t="s">
        <v>74</v>
      </c>
      <c r="BH214" t="s">
        <v>74</v>
      </c>
      <c r="BI214">
        <v>3</v>
      </c>
      <c r="BJ214" t="s">
        <v>3175</v>
      </c>
      <c r="BK214" t="s">
        <v>101</v>
      </c>
      <c r="BL214" t="s">
        <v>3175</v>
      </c>
      <c r="BM214" t="s">
        <v>3176</v>
      </c>
      <c r="BN214">
        <v>25957695</v>
      </c>
      <c r="BO214" t="s">
        <v>74</v>
      </c>
      <c r="BP214" t="s">
        <v>74</v>
      </c>
      <c r="BQ214" t="s">
        <v>74</v>
      </c>
      <c r="BR214" t="s">
        <v>103</v>
      </c>
      <c r="BS214" t="s">
        <v>4488</v>
      </c>
      <c r="BT214" t="str">
        <f>HYPERLINK("https%3A%2F%2Fwww.webofscience.com%2Fwos%2Fwoscc%2Ffull-record%2FWOS:000362618000010","View Full Record in Web of Science")</f>
        <v>View Full Record in Web of Science</v>
      </c>
    </row>
    <row r="215" spans="1:72" x14ac:dyDescent="0.15">
      <c r="A215" t="s">
        <v>72</v>
      </c>
      <c r="B215" t="s">
        <v>4489</v>
      </c>
      <c r="C215" t="s">
        <v>74</v>
      </c>
      <c r="D215" t="s">
        <v>74</v>
      </c>
      <c r="E215" t="s">
        <v>74</v>
      </c>
      <c r="F215" t="s">
        <v>4490</v>
      </c>
      <c r="G215" t="s">
        <v>74</v>
      </c>
      <c r="H215" t="s">
        <v>74</v>
      </c>
      <c r="I215" t="s">
        <v>4491</v>
      </c>
      <c r="J215" t="s">
        <v>2972</v>
      </c>
      <c r="K215" t="s">
        <v>74</v>
      </c>
      <c r="L215" t="s">
        <v>74</v>
      </c>
      <c r="M215" t="s">
        <v>78</v>
      </c>
      <c r="N215" t="s">
        <v>79</v>
      </c>
      <c r="O215" t="s">
        <v>74</v>
      </c>
      <c r="P215" t="s">
        <v>74</v>
      </c>
      <c r="Q215" t="s">
        <v>74</v>
      </c>
      <c r="R215" t="s">
        <v>74</v>
      </c>
      <c r="S215" t="s">
        <v>74</v>
      </c>
      <c r="T215" t="s">
        <v>74</v>
      </c>
      <c r="U215" t="s">
        <v>4492</v>
      </c>
      <c r="V215" t="s">
        <v>74</v>
      </c>
      <c r="W215" t="s">
        <v>4493</v>
      </c>
      <c r="X215" t="s">
        <v>2228</v>
      </c>
      <c r="Y215" t="s">
        <v>4494</v>
      </c>
      <c r="Z215" t="s">
        <v>4495</v>
      </c>
      <c r="AA215" t="s">
        <v>74</v>
      </c>
      <c r="AB215" t="s">
        <v>74</v>
      </c>
      <c r="AC215" t="s">
        <v>74</v>
      </c>
      <c r="AD215" t="s">
        <v>74</v>
      </c>
      <c r="AE215" t="s">
        <v>74</v>
      </c>
      <c r="AF215" t="s">
        <v>74</v>
      </c>
      <c r="AG215">
        <v>40</v>
      </c>
      <c r="AH215">
        <v>12</v>
      </c>
      <c r="AI215">
        <v>14</v>
      </c>
      <c r="AJ215">
        <v>0</v>
      </c>
      <c r="AK215">
        <v>25</v>
      </c>
      <c r="AL215" t="s">
        <v>208</v>
      </c>
      <c r="AM215" t="s">
        <v>209</v>
      </c>
      <c r="AN215" t="s">
        <v>210</v>
      </c>
      <c r="AO215" t="s">
        <v>2984</v>
      </c>
      <c r="AP215" t="s">
        <v>2985</v>
      </c>
      <c r="AQ215" t="s">
        <v>74</v>
      </c>
      <c r="AR215" t="s">
        <v>2986</v>
      </c>
      <c r="AS215" t="s">
        <v>2987</v>
      </c>
      <c r="AT215" t="s">
        <v>2170</v>
      </c>
      <c r="AU215">
        <v>2015</v>
      </c>
      <c r="AV215">
        <v>31</v>
      </c>
      <c r="AW215">
        <v>4</v>
      </c>
      <c r="AX215" t="s">
        <v>74</v>
      </c>
      <c r="AY215" t="s">
        <v>74</v>
      </c>
      <c r="AZ215" t="s">
        <v>74</v>
      </c>
      <c r="BA215" t="s">
        <v>74</v>
      </c>
      <c r="BB215">
        <v>1549</v>
      </c>
      <c r="BC215">
        <v>1558</v>
      </c>
      <c r="BD215" t="s">
        <v>74</v>
      </c>
      <c r="BE215" t="s">
        <v>4496</v>
      </c>
      <c r="BF215" t="str">
        <f>HYPERLINK("http://dx.doi.org/10.1111/mms.12232","http://dx.doi.org/10.1111/mms.12232")</f>
        <v>http://dx.doi.org/10.1111/mms.12232</v>
      </c>
      <c r="BG215" t="s">
        <v>74</v>
      </c>
      <c r="BH215" t="s">
        <v>74</v>
      </c>
      <c r="BI215">
        <v>10</v>
      </c>
      <c r="BJ215" t="s">
        <v>2581</v>
      </c>
      <c r="BK215" t="s">
        <v>101</v>
      </c>
      <c r="BL215" t="s">
        <v>2581</v>
      </c>
      <c r="BM215" t="s">
        <v>2989</v>
      </c>
      <c r="BN215" t="s">
        <v>74</v>
      </c>
      <c r="BO215" t="s">
        <v>74</v>
      </c>
      <c r="BP215" t="s">
        <v>74</v>
      </c>
      <c r="BQ215" t="s">
        <v>74</v>
      </c>
      <c r="BR215" t="s">
        <v>103</v>
      </c>
      <c r="BS215" t="s">
        <v>4497</v>
      </c>
      <c r="BT215" t="str">
        <f>HYPERLINK("https%3A%2F%2Fwww.webofscience.com%2Fwos%2Fwoscc%2Ffull-record%2FWOS:000363284900014","View Full Record in Web of Science")</f>
        <v>View Full Record in Web of Science</v>
      </c>
    </row>
    <row r="216" spans="1:72" x14ac:dyDescent="0.15">
      <c r="A216" t="s">
        <v>72</v>
      </c>
      <c r="B216" t="s">
        <v>4498</v>
      </c>
      <c r="C216" t="s">
        <v>74</v>
      </c>
      <c r="D216" t="s">
        <v>74</v>
      </c>
      <c r="E216" t="s">
        <v>74</v>
      </c>
      <c r="F216" t="s">
        <v>4499</v>
      </c>
      <c r="G216" t="s">
        <v>74</v>
      </c>
      <c r="H216" t="s">
        <v>74</v>
      </c>
      <c r="I216" t="s">
        <v>4500</v>
      </c>
      <c r="J216" t="s">
        <v>4501</v>
      </c>
      <c r="K216" t="s">
        <v>74</v>
      </c>
      <c r="L216" t="s">
        <v>74</v>
      </c>
      <c r="M216" t="s">
        <v>78</v>
      </c>
      <c r="N216" t="s">
        <v>79</v>
      </c>
      <c r="O216" t="s">
        <v>74</v>
      </c>
      <c r="P216" t="s">
        <v>74</v>
      </c>
      <c r="Q216" t="s">
        <v>74</v>
      </c>
      <c r="R216" t="s">
        <v>74</v>
      </c>
      <c r="S216" t="s">
        <v>74</v>
      </c>
      <c r="T216" t="s">
        <v>4502</v>
      </c>
      <c r="U216" t="s">
        <v>4503</v>
      </c>
      <c r="V216" t="s">
        <v>4504</v>
      </c>
      <c r="W216" t="s">
        <v>4505</v>
      </c>
      <c r="X216" t="s">
        <v>4506</v>
      </c>
      <c r="Y216" t="s">
        <v>4507</v>
      </c>
      <c r="Z216" t="s">
        <v>4508</v>
      </c>
      <c r="AA216" t="s">
        <v>4509</v>
      </c>
      <c r="AB216" t="s">
        <v>4510</v>
      </c>
      <c r="AC216" t="s">
        <v>74</v>
      </c>
      <c r="AD216" t="s">
        <v>74</v>
      </c>
      <c r="AE216" t="s">
        <v>74</v>
      </c>
      <c r="AF216" t="s">
        <v>74</v>
      </c>
      <c r="AG216">
        <v>41</v>
      </c>
      <c r="AH216">
        <v>26</v>
      </c>
      <c r="AI216">
        <v>27</v>
      </c>
      <c r="AJ216">
        <v>0</v>
      </c>
      <c r="AK216">
        <v>22</v>
      </c>
      <c r="AL216" t="s">
        <v>208</v>
      </c>
      <c r="AM216" t="s">
        <v>209</v>
      </c>
      <c r="AN216" t="s">
        <v>210</v>
      </c>
      <c r="AO216" t="s">
        <v>4511</v>
      </c>
      <c r="AP216" t="s">
        <v>4512</v>
      </c>
      <c r="AQ216" t="s">
        <v>74</v>
      </c>
      <c r="AR216" t="s">
        <v>4513</v>
      </c>
      <c r="AS216" t="s">
        <v>4514</v>
      </c>
      <c r="AT216" t="s">
        <v>2170</v>
      </c>
      <c r="AU216">
        <v>2015</v>
      </c>
      <c r="AV216">
        <v>6</v>
      </c>
      <c r="AW216">
        <v>10</v>
      </c>
      <c r="AX216" t="s">
        <v>74</v>
      </c>
      <c r="AY216" t="s">
        <v>74</v>
      </c>
      <c r="AZ216" t="s">
        <v>74</v>
      </c>
      <c r="BA216" t="s">
        <v>74</v>
      </c>
      <c r="BB216">
        <v>1190</v>
      </c>
      <c r="BC216">
        <v>1198</v>
      </c>
      <c r="BD216" t="s">
        <v>74</v>
      </c>
      <c r="BE216" t="s">
        <v>4515</v>
      </c>
      <c r="BF216" t="str">
        <f>HYPERLINK("http://dx.doi.org/10.1111/2041-210X.12396","http://dx.doi.org/10.1111/2041-210X.12396")</f>
        <v>http://dx.doi.org/10.1111/2041-210X.12396</v>
      </c>
      <c r="BG216" t="s">
        <v>74</v>
      </c>
      <c r="BH216" t="s">
        <v>74</v>
      </c>
      <c r="BI216">
        <v>9</v>
      </c>
      <c r="BJ216" t="s">
        <v>643</v>
      </c>
      <c r="BK216" t="s">
        <v>101</v>
      </c>
      <c r="BL216" t="s">
        <v>644</v>
      </c>
      <c r="BM216" t="s">
        <v>4516</v>
      </c>
      <c r="BN216" t="s">
        <v>74</v>
      </c>
      <c r="BO216" t="s">
        <v>1528</v>
      </c>
      <c r="BP216" t="s">
        <v>74</v>
      </c>
      <c r="BQ216" t="s">
        <v>74</v>
      </c>
      <c r="BR216" t="s">
        <v>103</v>
      </c>
      <c r="BS216" t="s">
        <v>4517</v>
      </c>
      <c r="BT216" t="str">
        <f>HYPERLINK("https%3A%2F%2Fwww.webofscience.com%2Fwos%2Fwoscc%2Ffull-record%2FWOS:000362916000008","View Full Record in Web of Science")</f>
        <v>View Full Record in Web of Science</v>
      </c>
    </row>
    <row r="217" spans="1:72" x14ac:dyDescent="0.15">
      <c r="A217" t="s">
        <v>72</v>
      </c>
      <c r="B217" t="s">
        <v>4518</v>
      </c>
      <c r="C217" t="s">
        <v>74</v>
      </c>
      <c r="D217" t="s">
        <v>74</v>
      </c>
      <c r="E217" t="s">
        <v>74</v>
      </c>
      <c r="F217" t="s">
        <v>4519</v>
      </c>
      <c r="G217" t="s">
        <v>74</v>
      </c>
      <c r="H217" t="s">
        <v>74</v>
      </c>
      <c r="I217" t="s">
        <v>4520</v>
      </c>
      <c r="J217" t="s">
        <v>4521</v>
      </c>
      <c r="K217" t="s">
        <v>74</v>
      </c>
      <c r="L217" t="s">
        <v>74</v>
      </c>
      <c r="M217" t="s">
        <v>78</v>
      </c>
      <c r="N217" t="s">
        <v>754</v>
      </c>
      <c r="O217" t="s">
        <v>74</v>
      </c>
      <c r="P217" t="s">
        <v>74</v>
      </c>
      <c r="Q217" t="s">
        <v>74</v>
      </c>
      <c r="R217" t="s">
        <v>74</v>
      </c>
      <c r="S217" t="s">
        <v>74</v>
      </c>
      <c r="T217" t="s">
        <v>4522</v>
      </c>
      <c r="U217" t="s">
        <v>4523</v>
      </c>
      <c r="V217" t="s">
        <v>4524</v>
      </c>
      <c r="W217" t="s">
        <v>4525</v>
      </c>
      <c r="X217" t="s">
        <v>585</v>
      </c>
      <c r="Y217" t="s">
        <v>586</v>
      </c>
      <c r="Z217" t="s">
        <v>587</v>
      </c>
      <c r="AA217" t="s">
        <v>4526</v>
      </c>
      <c r="AB217" t="s">
        <v>4527</v>
      </c>
      <c r="AC217" t="s">
        <v>74</v>
      </c>
      <c r="AD217" t="s">
        <v>74</v>
      </c>
      <c r="AE217" t="s">
        <v>74</v>
      </c>
      <c r="AF217" t="s">
        <v>74</v>
      </c>
      <c r="AG217">
        <v>17</v>
      </c>
      <c r="AH217">
        <v>8</v>
      </c>
      <c r="AI217">
        <v>10</v>
      </c>
      <c r="AJ217">
        <v>1</v>
      </c>
      <c r="AK217">
        <v>35</v>
      </c>
      <c r="AL217" t="s">
        <v>236</v>
      </c>
      <c r="AM217" t="s">
        <v>209</v>
      </c>
      <c r="AN217" t="s">
        <v>210</v>
      </c>
      <c r="AO217" t="s">
        <v>4528</v>
      </c>
      <c r="AP217" t="s">
        <v>4529</v>
      </c>
      <c r="AQ217" t="s">
        <v>74</v>
      </c>
      <c r="AR217" t="s">
        <v>4530</v>
      </c>
      <c r="AS217" t="s">
        <v>4531</v>
      </c>
      <c r="AT217" t="s">
        <v>2170</v>
      </c>
      <c r="AU217">
        <v>2015</v>
      </c>
      <c r="AV217">
        <v>24</v>
      </c>
      <c r="AW217">
        <v>19</v>
      </c>
      <c r="AX217" t="s">
        <v>74</v>
      </c>
      <c r="AY217" t="s">
        <v>74</v>
      </c>
      <c r="AZ217" t="s">
        <v>74</v>
      </c>
      <c r="BA217" t="s">
        <v>74</v>
      </c>
      <c r="BB217">
        <v>4809</v>
      </c>
      <c r="BC217">
        <v>4811</v>
      </c>
      <c r="BD217" t="s">
        <v>74</v>
      </c>
      <c r="BE217" t="s">
        <v>4532</v>
      </c>
      <c r="BF217" t="str">
        <f>HYPERLINK("http://dx.doi.org/10.1111/mec.13387","http://dx.doi.org/10.1111/mec.13387")</f>
        <v>http://dx.doi.org/10.1111/mec.13387</v>
      </c>
      <c r="BG217" t="s">
        <v>74</v>
      </c>
      <c r="BH217" t="s">
        <v>74</v>
      </c>
      <c r="BI217">
        <v>3</v>
      </c>
      <c r="BJ217" t="s">
        <v>4533</v>
      </c>
      <c r="BK217" t="s">
        <v>101</v>
      </c>
      <c r="BL217" t="s">
        <v>4534</v>
      </c>
      <c r="BM217" t="s">
        <v>4535</v>
      </c>
      <c r="BN217">
        <v>26417900</v>
      </c>
      <c r="BO217" t="s">
        <v>1235</v>
      </c>
      <c r="BP217" t="s">
        <v>74</v>
      </c>
      <c r="BQ217" t="s">
        <v>74</v>
      </c>
      <c r="BR217" t="s">
        <v>103</v>
      </c>
      <c r="BS217" t="s">
        <v>4536</v>
      </c>
      <c r="BT217" t="str">
        <f>HYPERLINK("https%3A%2F%2Fwww.webofscience.com%2Fwos%2Fwoscc%2Ffull-record%2FWOS:000362194900001","View Full Record in Web of Science")</f>
        <v>View Full Record in Web of Science</v>
      </c>
    </row>
    <row r="218" spans="1:72" x14ac:dyDescent="0.15">
      <c r="A218" t="s">
        <v>72</v>
      </c>
      <c r="B218" t="s">
        <v>4537</v>
      </c>
      <c r="C218" t="s">
        <v>74</v>
      </c>
      <c r="D218" t="s">
        <v>74</v>
      </c>
      <c r="E218" t="s">
        <v>74</v>
      </c>
      <c r="F218" t="s">
        <v>4538</v>
      </c>
      <c r="G218" t="s">
        <v>74</v>
      </c>
      <c r="H218" t="s">
        <v>74</v>
      </c>
      <c r="I218" t="s">
        <v>4539</v>
      </c>
      <c r="J218" t="s">
        <v>4521</v>
      </c>
      <c r="K218" t="s">
        <v>74</v>
      </c>
      <c r="L218" t="s">
        <v>74</v>
      </c>
      <c r="M218" t="s">
        <v>78</v>
      </c>
      <c r="N218" t="s">
        <v>79</v>
      </c>
      <c r="O218" t="s">
        <v>74</v>
      </c>
      <c r="P218" t="s">
        <v>74</v>
      </c>
      <c r="Q218" t="s">
        <v>74</v>
      </c>
      <c r="R218" t="s">
        <v>74</v>
      </c>
      <c r="S218" t="s">
        <v>74</v>
      </c>
      <c r="T218" t="s">
        <v>4540</v>
      </c>
      <c r="U218" t="s">
        <v>4541</v>
      </c>
      <c r="V218" t="s">
        <v>4542</v>
      </c>
      <c r="W218" t="s">
        <v>4543</v>
      </c>
      <c r="X218" t="s">
        <v>4544</v>
      </c>
      <c r="Y218" t="s">
        <v>4545</v>
      </c>
      <c r="Z218" t="s">
        <v>4546</v>
      </c>
      <c r="AA218" t="s">
        <v>4547</v>
      </c>
      <c r="AB218" t="s">
        <v>4548</v>
      </c>
      <c r="AC218" t="s">
        <v>4549</v>
      </c>
      <c r="AD218" t="s">
        <v>4550</v>
      </c>
      <c r="AE218" t="s">
        <v>4551</v>
      </c>
      <c r="AF218" t="s">
        <v>74</v>
      </c>
      <c r="AG218">
        <v>73</v>
      </c>
      <c r="AH218">
        <v>45</v>
      </c>
      <c r="AI218">
        <v>47</v>
      </c>
      <c r="AJ218">
        <v>2</v>
      </c>
      <c r="AK218">
        <v>42</v>
      </c>
      <c r="AL218" t="s">
        <v>208</v>
      </c>
      <c r="AM218" t="s">
        <v>209</v>
      </c>
      <c r="AN218" t="s">
        <v>210</v>
      </c>
      <c r="AO218" t="s">
        <v>4528</v>
      </c>
      <c r="AP218" t="s">
        <v>4529</v>
      </c>
      <c r="AQ218" t="s">
        <v>74</v>
      </c>
      <c r="AR218" t="s">
        <v>4530</v>
      </c>
      <c r="AS218" t="s">
        <v>4531</v>
      </c>
      <c r="AT218" t="s">
        <v>2170</v>
      </c>
      <c r="AU218">
        <v>2015</v>
      </c>
      <c r="AV218">
        <v>24</v>
      </c>
      <c r="AW218">
        <v>19</v>
      </c>
      <c r="AX218" t="s">
        <v>74</v>
      </c>
      <c r="AY218" t="s">
        <v>74</v>
      </c>
      <c r="AZ218" t="s">
        <v>74</v>
      </c>
      <c r="BA218" t="s">
        <v>74</v>
      </c>
      <c r="BB218">
        <v>4812</v>
      </c>
      <c r="BC218">
        <v>4825</v>
      </c>
      <c r="BD218" t="s">
        <v>74</v>
      </c>
      <c r="BE218" t="s">
        <v>4552</v>
      </c>
      <c r="BF218" t="str">
        <f>HYPERLINK("http://dx.doi.org/10.1111/mec.13321","http://dx.doi.org/10.1111/mec.13321")</f>
        <v>http://dx.doi.org/10.1111/mec.13321</v>
      </c>
      <c r="BG218" t="s">
        <v>74</v>
      </c>
      <c r="BH218" t="s">
        <v>74</v>
      </c>
      <c r="BI218">
        <v>14</v>
      </c>
      <c r="BJ218" t="s">
        <v>4533</v>
      </c>
      <c r="BK218" t="s">
        <v>101</v>
      </c>
      <c r="BL218" t="s">
        <v>4534</v>
      </c>
      <c r="BM218" t="s">
        <v>4535</v>
      </c>
      <c r="BN218">
        <v>26198078</v>
      </c>
      <c r="BO218" t="s">
        <v>74</v>
      </c>
      <c r="BP218" t="s">
        <v>74</v>
      </c>
      <c r="BQ218" t="s">
        <v>74</v>
      </c>
      <c r="BR218" t="s">
        <v>103</v>
      </c>
      <c r="BS218" t="s">
        <v>4553</v>
      </c>
      <c r="BT218" t="str">
        <f>HYPERLINK("https%3A%2F%2Fwww.webofscience.com%2Fwos%2Fwoscc%2Ffull-record%2FWOS:000362194900002","View Full Record in Web of Science")</f>
        <v>View Full Record in Web of Science</v>
      </c>
    </row>
    <row r="219" spans="1:72" x14ac:dyDescent="0.15">
      <c r="A219" t="s">
        <v>72</v>
      </c>
      <c r="B219" t="s">
        <v>4554</v>
      </c>
      <c r="C219" t="s">
        <v>74</v>
      </c>
      <c r="D219" t="s">
        <v>74</v>
      </c>
      <c r="E219" t="s">
        <v>74</v>
      </c>
      <c r="F219" t="s">
        <v>4555</v>
      </c>
      <c r="G219" t="s">
        <v>74</v>
      </c>
      <c r="H219" t="s">
        <v>74</v>
      </c>
      <c r="I219" t="s">
        <v>4556</v>
      </c>
      <c r="J219" t="s">
        <v>4521</v>
      </c>
      <c r="K219" t="s">
        <v>74</v>
      </c>
      <c r="L219" t="s">
        <v>74</v>
      </c>
      <c r="M219" t="s">
        <v>78</v>
      </c>
      <c r="N219" t="s">
        <v>581</v>
      </c>
      <c r="O219" t="s">
        <v>74</v>
      </c>
      <c r="P219" t="s">
        <v>74</v>
      </c>
      <c r="Q219" t="s">
        <v>74</v>
      </c>
      <c r="R219" t="s">
        <v>74</v>
      </c>
      <c r="S219" t="s">
        <v>74</v>
      </c>
      <c r="T219" t="s">
        <v>4557</v>
      </c>
      <c r="U219" t="s">
        <v>4558</v>
      </c>
      <c r="V219" t="s">
        <v>4559</v>
      </c>
      <c r="W219" t="s">
        <v>4560</v>
      </c>
      <c r="X219" t="s">
        <v>4561</v>
      </c>
      <c r="Y219" t="s">
        <v>4562</v>
      </c>
      <c r="Z219" t="s">
        <v>4563</v>
      </c>
      <c r="AA219" t="s">
        <v>4564</v>
      </c>
      <c r="AB219" t="s">
        <v>4565</v>
      </c>
      <c r="AC219" t="s">
        <v>4566</v>
      </c>
      <c r="AD219" t="s">
        <v>4567</v>
      </c>
      <c r="AE219" t="s">
        <v>4568</v>
      </c>
      <c r="AF219" t="s">
        <v>74</v>
      </c>
      <c r="AG219">
        <v>146</v>
      </c>
      <c r="AH219">
        <v>45</v>
      </c>
      <c r="AI219">
        <v>51</v>
      </c>
      <c r="AJ219">
        <v>0</v>
      </c>
      <c r="AK219">
        <v>73</v>
      </c>
      <c r="AL219" t="s">
        <v>208</v>
      </c>
      <c r="AM219" t="s">
        <v>209</v>
      </c>
      <c r="AN219" t="s">
        <v>210</v>
      </c>
      <c r="AO219" t="s">
        <v>4528</v>
      </c>
      <c r="AP219" t="s">
        <v>4529</v>
      </c>
      <c r="AQ219" t="s">
        <v>74</v>
      </c>
      <c r="AR219" t="s">
        <v>4530</v>
      </c>
      <c r="AS219" t="s">
        <v>4531</v>
      </c>
      <c r="AT219" t="s">
        <v>2170</v>
      </c>
      <c r="AU219">
        <v>2015</v>
      </c>
      <c r="AV219">
        <v>24</v>
      </c>
      <c r="AW219">
        <v>19</v>
      </c>
      <c r="AX219" t="s">
        <v>74</v>
      </c>
      <c r="AY219" t="s">
        <v>74</v>
      </c>
      <c r="AZ219" t="s">
        <v>74</v>
      </c>
      <c r="BA219" t="s">
        <v>74</v>
      </c>
      <c r="BB219">
        <v>4826</v>
      </c>
      <c r="BC219">
        <v>4847</v>
      </c>
      <c r="BD219" t="s">
        <v>74</v>
      </c>
      <c r="BE219" t="s">
        <v>4569</v>
      </c>
      <c r="BF219" t="str">
        <f>HYPERLINK("http://dx.doi.org/10.1111/mec.13357","http://dx.doi.org/10.1111/mec.13357")</f>
        <v>http://dx.doi.org/10.1111/mec.13357</v>
      </c>
      <c r="BG219" t="s">
        <v>74</v>
      </c>
      <c r="BH219" t="s">
        <v>74</v>
      </c>
      <c r="BI219">
        <v>22</v>
      </c>
      <c r="BJ219" t="s">
        <v>4533</v>
      </c>
      <c r="BK219" t="s">
        <v>101</v>
      </c>
      <c r="BL219" t="s">
        <v>4534</v>
      </c>
      <c r="BM219" t="s">
        <v>4535</v>
      </c>
      <c r="BN219">
        <v>26308242</v>
      </c>
      <c r="BO219" t="s">
        <v>162</v>
      </c>
      <c r="BP219" t="s">
        <v>74</v>
      </c>
      <c r="BQ219" t="s">
        <v>74</v>
      </c>
      <c r="BR219" t="s">
        <v>103</v>
      </c>
      <c r="BS219" t="s">
        <v>4570</v>
      </c>
      <c r="BT219" t="str">
        <f>HYPERLINK("https%3A%2F%2Fwww.webofscience.com%2Fwos%2Fwoscc%2Ffull-record%2FWOS:000362194900003","View Full Record in Web of Science")</f>
        <v>View Full Record in Web of Science</v>
      </c>
    </row>
    <row r="220" spans="1:72" x14ac:dyDescent="0.15">
      <c r="A220" t="s">
        <v>72</v>
      </c>
      <c r="B220" t="s">
        <v>4571</v>
      </c>
      <c r="C220" t="s">
        <v>74</v>
      </c>
      <c r="D220" t="s">
        <v>74</v>
      </c>
      <c r="E220" t="s">
        <v>74</v>
      </c>
      <c r="F220" t="s">
        <v>4572</v>
      </c>
      <c r="G220" t="s">
        <v>74</v>
      </c>
      <c r="H220" t="s">
        <v>74</v>
      </c>
      <c r="I220" t="s">
        <v>4573</v>
      </c>
      <c r="J220" t="s">
        <v>4521</v>
      </c>
      <c r="K220" t="s">
        <v>74</v>
      </c>
      <c r="L220" t="s">
        <v>74</v>
      </c>
      <c r="M220" t="s">
        <v>78</v>
      </c>
      <c r="N220" t="s">
        <v>79</v>
      </c>
      <c r="O220" t="s">
        <v>74</v>
      </c>
      <c r="P220" t="s">
        <v>74</v>
      </c>
      <c r="Q220" t="s">
        <v>74</v>
      </c>
      <c r="R220" t="s">
        <v>74</v>
      </c>
      <c r="S220" t="s">
        <v>74</v>
      </c>
      <c r="T220" t="s">
        <v>4574</v>
      </c>
      <c r="U220" t="s">
        <v>4575</v>
      </c>
      <c r="V220" t="s">
        <v>4576</v>
      </c>
      <c r="W220" t="s">
        <v>4577</v>
      </c>
      <c r="X220" t="s">
        <v>4578</v>
      </c>
      <c r="Y220" t="s">
        <v>4579</v>
      </c>
      <c r="Z220" t="s">
        <v>4580</v>
      </c>
      <c r="AA220" t="s">
        <v>4581</v>
      </c>
      <c r="AB220" t="s">
        <v>4582</v>
      </c>
      <c r="AC220" t="s">
        <v>4583</v>
      </c>
      <c r="AD220" t="s">
        <v>4584</v>
      </c>
      <c r="AE220" t="s">
        <v>4585</v>
      </c>
      <c r="AF220" t="s">
        <v>74</v>
      </c>
      <c r="AG220">
        <v>64</v>
      </c>
      <c r="AH220">
        <v>40</v>
      </c>
      <c r="AI220">
        <v>46</v>
      </c>
      <c r="AJ220">
        <v>0</v>
      </c>
      <c r="AK220">
        <v>74</v>
      </c>
      <c r="AL220" t="s">
        <v>208</v>
      </c>
      <c r="AM220" t="s">
        <v>209</v>
      </c>
      <c r="AN220" t="s">
        <v>210</v>
      </c>
      <c r="AO220" t="s">
        <v>4528</v>
      </c>
      <c r="AP220" t="s">
        <v>4529</v>
      </c>
      <c r="AQ220" t="s">
        <v>74</v>
      </c>
      <c r="AR220" t="s">
        <v>4530</v>
      </c>
      <c r="AS220" t="s">
        <v>4531</v>
      </c>
      <c r="AT220" t="s">
        <v>2170</v>
      </c>
      <c r="AU220">
        <v>2015</v>
      </c>
      <c r="AV220">
        <v>24</v>
      </c>
      <c r="AW220">
        <v>19</v>
      </c>
      <c r="AX220" t="s">
        <v>74</v>
      </c>
      <c r="AY220" t="s">
        <v>74</v>
      </c>
      <c r="AZ220" t="s">
        <v>74</v>
      </c>
      <c r="BA220" t="s">
        <v>74</v>
      </c>
      <c r="BB220">
        <v>4943</v>
      </c>
      <c r="BC220">
        <v>4959</v>
      </c>
      <c r="BD220" t="s">
        <v>74</v>
      </c>
      <c r="BE220" t="s">
        <v>4586</v>
      </c>
      <c r="BF220" t="str">
        <f>HYPERLINK("http://dx.doi.org/10.1111/mec.13370","http://dx.doi.org/10.1111/mec.13370")</f>
        <v>http://dx.doi.org/10.1111/mec.13370</v>
      </c>
      <c r="BG220" t="s">
        <v>74</v>
      </c>
      <c r="BH220" t="s">
        <v>74</v>
      </c>
      <c r="BI220">
        <v>17</v>
      </c>
      <c r="BJ220" t="s">
        <v>4533</v>
      </c>
      <c r="BK220" t="s">
        <v>101</v>
      </c>
      <c r="BL220" t="s">
        <v>4534</v>
      </c>
      <c r="BM220" t="s">
        <v>4535</v>
      </c>
      <c r="BN220">
        <v>26340718</v>
      </c>
      <c r="BO220" t="s">
        <v>1213</v>
      </c>
      <c r="BP220" t="s">
        <v>74</v>
      </c>
      <c r="BQ220" t="s">
        <v>74</v>
      </c>
      <c r="BR220" t="s">
        <v>103</v>
      </c>
      <c r="BS220" t="s">
        <v>4587</v>
      </c>
      <c r="BT220" t="str">
        <f>HYPERLINK("https%3A%2F%2Fwww.webofscience.com%2Fwos%2Fwoscc%2Ffull-record%2FWOS:000362194900010","View Full Record in Web of Science")</f>
        <v>View Full Record in Web of Science</v>
      </c>
    </row>
    <row r="221" spans="1:72" x14ac:dyDescent="0.15">
      <c r="A221" t="s">
        <v>72</v>
      </c>
      <c r="B221" t="s">
        <v>4588</v>
      </c>
      <c r="C221" t="s">
        <v>74</v>
      </c>
      <c r="D221" t="s">
        <v>74</v>
      </c>
      <c r="E221" t="s">
        <v>74</v>
      </c>
      <c r="F221" t="s">
        <v>4589</v>
      </c>
      <c r="G221" t="s">
        <v>74</v>
      </c>
      <c r="H221" t="s">
        <v>74</v>
      </c>
      <c r="I221" t="s">
        <v>4590</v>
      </c>
      <c r="J221" t="s">
        <v>4591</v>
      </c>
      <c r="K221" t="s">
        <v>74</v>
      </c>
      <c r="L221" t="s">
        <v>74</v>
      </c>
      <c r="M221" t="s">
        <v>78</v>
      </c>
      <c r="N221" t="s">
        <v>79</v>
      </c>
      <c r="O221" t="s">
        <v>74</v>
      </c>
      <c r="P221" t="s">
        <v>74</v>
      </c>
      <c r="Q221" t="s">
        <v>74</v>
      </c>
      <c r="R221" t="s">
        <v>74</v>
      </c>
      <c r="S221" t="s">
        <v>74</v>
      </c>
      <c r="T221" t="s">
        <v>4592</v>
      </c>
      <c r="U221" t="s">
        <v>4593</v>
      </c>
      <c r="V221" t="s">
        <v>4594</v>
      </c>
      <c r="W221" t="s">
        <v>4595</v>
      </c>
      <c r="X221" t="s">
        <v>4596</v>
      </c>
      <c r="Y221" t="s">
        <v>4597</v>
      </c>
      <c r="Z221" t="s">
        <v>4598</v>
      </c>
      <c r="AA221" t="s">
        <v>4599</v>
      </c>
      <c r="AB221" t="s">
        <v>74</v>
      </c>
      <c r="AC221" t="s">
        <v>4600</v>
      </c>
      <c r="AD221" t="s">
        <v>4601</v>
      </c>
      <c r="AE221" t="s">
        <v>4602</v>
      </c>
      <c r="AF221" t="s">
        <v>74</v>
      </c>
      <c r="AG221">
        <v>37</v>
      </c>
      <c r="AH221">
        <v>7</v>
      </c>
      <c r="AI221">
        <v>7</v>
      </c>
      <c r="AJ221">
        <v>0</v>
      </c>
      <c r="AK221">
        <v>16</v>
      </c>
      <c r="AL221" t="s">
        <v>263</v>
      </c>
      <c r="AM221" t="s">
        <v>264</v>
      </c>
      <c r="AN221" t="s">
        <v>265</v>
      </c>
      <c r="AO221" t="s">
        <v>4603</v>
      </c>
      <c r="AP221" t="s">
        <v>4604</v>
      </c>
      <c r="AQ221" t="s">
        <v>74</v>
      </c>
      <c r="AR221" t="s">
        <v>4605</v>
      </c>
      <c r="AS221" t="s">
        <v>4606</v>
      </c>
      <c r="AT221" t="s">
        <v>2170</v>
      </c>
      <c r="AU221">
        <v>2015</v>
      </c>
      <c r="AV221">
        <v>143</v>
      </c>
      <c r="AW221">
        <v>10</v>
      </c>
      <c r="AX221" t="s">
        <v>74</v>
      </c>
      <c r="AY221" t="s">
        <v>74</v>
      </c>
      <c r="AZ221" t="s">
        <v>74</v>
      </c>
      <c r="BA221" t="s">
        <v>74</v>
      </c>
      <c r="BB221">
        <v>4163</v>
      </c>
      <c r="BC221">
        <v>4180</v>
      </c>
      <c r="BD221" t="s">
        <v>74</v>
      </c>
      <c r="BE221" t="s">
        <v>4607</v>
      </c>
      <c r="BF221" t="str">
        <f>HYPERLINK("http://dx.doi.org/10.1175/MWR-D-15-0002.1","http://dx.doi.org/10.1175/MWR-D-15-0002.1")</f>
        <v>http://dx.doi.org/10.1175/MWR-D-15-0002.1</v>
      </c>
      <c r="BG221" t="s">
        <v>74</v>
      </c>
      <c r="BH221" t="s">
        <v>74</v>
      </c>
      <c r="BI221">
        <v>18</v>
      </c>
      <c r="BJ221" t="s">
        <v>271</v>
      </c>
      <c r="BK221" t="s">
        <v>101</v>
      </c>
      <c r="BL221" t="s">
        <v>271</v>
      </c>
      <c r="BM221" t="s">
        <v>4608</v>
      </c>
      <c r="BN221" t="s">
        <v>74</v>
      </c>
      <c r="BO221" t="s">
        <v>1528</v>
      </c>
      <c r="BP221" t="s">
        <v>74</v>
      </c>
      <c r="BQ221" t="s">
        <v>74</v>
      </c>
      <c r="BR221" t="s">
        <v>103</v>
      </c>
      <c r="BS221" t="s">
        <v>4609</v>
      </c>
      <c r="BT221" t="str">
        <f>HYPERLINK("https%3A%2F%2Fwww.webofscience.com%2Fwos%2Fwoscc%2Ffull-record%2FWOS:000362220800018","View Full Record in Web of Science")</f>
        <v>View Full Record in Web of Science</v>
      </c>
    </row>
    <row r="222" spans="1:72" x14ac:dyDescent="0.15">
      <c r="A222" t="s">
        <v>72</v>
      </c>
      <c r="B222" t="s">
        <v>4610</v>
      </c>
      <c r="C222" t="s">
        <v>74</v>
      </c>
      <c r="D222" t="s">
        <v>74</v>
      </c>
      <c r="E222" t="s">
        <v>74</v>
      </c>
      <c r="F222" t="s">
        <v>4611</v>
      </c>
      <c r="G222" t="s">
        <v>74</v>
      </c>
      <c r="H222" t="s">
        <v>74</v>
      </c>
      <c r="I222" t="s">
        <v>4612</v>
      </c>
      <c r="J222" t="s">
        <v>1336</v>
      </c>
      <c r="K222" t="s">
        <v>74</v>
      </c>
      <c r="L222" t="s">
        <v>74</v>
      </c>
      <c r="M222" t="s">
        <v>78</v>
      </c>
      <c r="N222" t="s">
        <v>79</v>
      </c>
      <c r="O222" t="s">
        <v>74</v>
      </c>
      <c r="P222" t="s">
        <v>74</v>
      </c>
      <c r="Q222" t="s">
        <v>74</v>
      </c>
      <c r="R222" t="s">
        <v>74</v>
      </c>
      <c r="S222" t="s">
        <v>74</v>
      </c>
      <c r="T222" t="s">
        <v>74</v>
      </c>
      <c r="U222" t="s">
        <v>4613</v>
      </c>
      <c r="V222" t="s">
        <v>4614</v>
      </c>
      <c r="W222" t="s">
        <v>4615</v>
      </c>
      <c r="X222" t="s">
        <v>4616</v>
      </c>
      <c r="Y222" t="s">
        <v>4617</v>
      </c>
      <c r="Z222" t="s">
        <v>4618</v>
      </c>
      <c r="AA222" t="s">
        <v>4619</v>
      </c>
      <c r="AB222" t="s">
        <v>4620</v>
      </c>
      <c r="AC222" t="s">
        <v>4621</v>
      </c>
      <c r="AD222" t="s">
        <v>4622</v>
      </c>
      <c r="AE222" t="s">
        <v>4623</v>
      </c>
      <c r="AF222" t="s">
        <v>74</v>
      </c>
      <c r="AG222">
        <v>52</v>
      </c>
      <c r="AH222">
        <v>130</v>
      </c>
      <c r="AI222">
        <v>136</v>
      </c>
      <c r="AJ222">
        <v>2</v>
      </c>
      <c r="AK222">
        <v>90</v>
      </c>
      <c r="AL222" t="s">
        <v>179</v>
      </c>
      <c r="AM222" t="s">
        <v>180</v>
      </c>
      <c r="AN222" t="s">
        <v>181</v>
      </c>
      <c r="AO222" t="s">
        <v>1345</v>
      </c>
      <c r="AP222" t="s">
        <v>1346</v>
      </c>
      <c r="AQ222" t="s">
        <v>74</v>
      </c>
      <c r="AR222" t="s">
        <v>1336</v>
      </c>
      <c r="AS222" t="s">
        <v>1347</v>
      </c>
      <c r="AT222" t="s">
        <v>2847</v>
      </c>
      <c r="AU222">
        <v>2015</v>
      </c>
      <c r="AV222">
        <v>526</v>
      </c>
      <c r="AW222">
        <v>7571</v>
      </c>
      <c r="AX222" t="s">
        <v>74</v>
      </c>
      <c r="AY222" t="s">
        <v>74</v>
      </c>
      <c r="AZ222" t="s">
        <v>74</v>
      </c>
      <c r="BA222" t="s">
        <v>74</v>
      </c>
      <c r="BB222">
        <v>100</v>
      </c>
      <c r="BC222" t="s">
        <v>556</v>
      </c>
      <c r="BD222" t="s">
        <v>74</v>
      </c>
      <c r="BE222" t="s">
        <v>4624</v>
      </c>
      <c r="BF222" t="str">
        <f>HYPERLINK("http://dx.doi.org/10.1038/nature15385","http://dx.doi.org/10.1038/nature15385")</f>
        <v>http://dx.doi.org/10.1038/nature15385</v>
      </c>
      <c r="BG222" t="s">
        <v>74</v>
      </c>
      <c r="BH222" t="s">
        <v>74</v>
      </c>
      <c r="BI222">
        <v>15</v>
      </c>
      <c r="BJ222" t="s">
        <v>530</v>
      </c>
      <c r="BK222" t="s">
        <v>101</v>
      </c>
      <c r="BL222" t="s">
        <v>531</v>
      </c>
      <c r="BM222" t="s">
        <v>4625</v>
      </c>
      <c r="BN222">
        <v>26432248</v>
      </c>
      <c r="BO222" t="s">
        <v>74</v>
      </c>
      <c r="BP222" t="s">
        <v>74</v>
      </c>
      <c r="BQ222" t="s">
        <v>74</v>
      </c>
      <c r="BR222" t="s">
        <v>103</v>
      </c>
      <c r="BS222" t="s">
        <v>4626</v>
      </c>
      <c r="BT222" t="str">
        <f>HYPERLINK("https%3A%2F%2Fwww.webofscience.com%2Fwos%2Fwoscc%2Ffull-record%2FWOS:000362095100041","View Full Record in Web of Science")</f>
        <v>View Full Record in Web of Science</v>
      </c>
    </row>
    <row r="223" spans="1:72" x14ac:dyDescent="0.15">
      <c r="A223" t="s">
        <v>72</v>
      </c>
      <c r="B223" t="s">
        <v>4627</v>
      </c>
      <c r="C223" t="s">
        <v>74</v>
      </c>
      <c r="D223" t="s">
        <v>74</v>
      </c>
      <c r="E223" t="s">
        <v>74</v>
      </c>
      <c r="F223" t="s">
        <v>4628</v>
      </c>
      <c r="G223" t="s">
        <v>74</v>
      </c>
      <c r="H223" t="s">
        <v>74</v>
      </c>
      <c r="I223" t="s">
        <v>4629</v>
      </c>
      <c r="J223" t="s">
        <v>511</v>
      </c>
      <c r="K223" t="s">
        <v>74</v>
      </c>
      <c r="L223" t="s">
        <v>74</v>
      </c>
      <c r="M223" t="s">
        <v>78</v>
      </c>
      <c r="N223" t="s">
        <v>79</v>
      </c>
      <c r="O223" t="s">
        <v>74</v>
      </c>
      <c r="P223" t="s">
        <v>74</v>
      </c>
      <c r="Q223" t="s">
        <v>74</v>
      </c>
      <c r="R223" t="s">
        <v>74</v>
      </c>
      <c r="S223" t="s">
        <v>74</v>
      </c>
      <c r="T223" t="s">
        <v>74</v>
      </c>
      <c r="U223" t="s">
        <v>4630</v>
      </c>
      <c r="V223" t="s">
        <v>4631</v>
      </c>
      <c r="W223" t="s">
        <v>4632</v>
      </c>
      <c r="X223" t="s">
        <v>4633</v>
      </c>
      <c r="Y223" t="s">
        <v>4634</v>
      </c>
      <c r="Z223" t="s">
        <v>4635</v>
      </c>
      <c r="AA223" t="s">
        <v>4636</v>
      </c>
      <c r="AB223" t="s">
        <v>4637</v>
      </c>
      <c r="AC223" t="s">
        <v>4638</v>
      </c>
      <c r="AD223" t="s">
        <v>4639</v>
      </c>
      <c r="AE223" t="s">
        <v>4640</v>
      </c>
      <c r="AF223" t="s">
        <v>74</v>
      </c>
      <c r="AG223">
        <v>28</v>
      </c>
      <c r="AH223">
        <v>79</v>
      </c>
      <c r="AI223">
        <v>92</v>
      </c>
      <c r="AJ223">
        <v>6</v>
      </c>
      <c r="AK223">
        <v>103</v>
      </c>
      <c r="AL223" t="s">
        <v>4641</v>
      </c>
      <c r="AM223" t="s">
        <v>524</v>
      </c>
      <c r="AN223" t="s">
        <v>525</v>
      </c>
      <c r="AO223" t="s">
        <v>526</v>
      </c>
      <c r="AP223" t="s">
        <v>74</v>
      </c>
      <c r="AQ223" t="s">
        <v>74</v>
      </c>
      <c r="AR223" t="s">
        <v>527</v>
      </c>
      <c r="AS223" t="s">
        <v>528</v>
      </c>
      <c r="AT223" t="s">
        <v>2170</v>
      </c>
      <c r="AU223">
        <v>2015</v>
      </c>
      <c r="AV223">
        <v>6</v>
      </c>
      <c r="AW223" t="s">
        <v>74</v>
      </c>
      <c r="AX223" t="s">
        <v>74</v>
      </c>
      <c r="AY223" t="s">
        <v>74</v>
      </c>
      <c r="AZ223" t="s">
        <v>74</v>
      </c>
      <c r="BA223" t="s">
        <v>74</v>
      </c>
      <c r="BB223" t="s">
        <v>74</v>
      </c>
      <c r="BC223" t="s">
        <v>74</v>
      </c>
      <c r="BD223">
        <v>8714</v>
      </c>
      <c r="BE223" t="s">
        <v>4642</v>
      </c>
      <c r="BF223" t="str">
        <f>HYPERLINK("http://dx.doi.org/10.1038/ncomms9714","http://dx.doi.org/10.1038/ncomms9714")</f>
        <v>http://dx.doi.org/10.1038/ncomms9714</v>
      </c>
      <c r="BG223" t="s">
        <v>74</v>
      </c>
      <c r="BH223" t="s">
        <v>74</v>
      </c>
      <c r="BI223">
        <v>6</v>
      </c>
      <c r="BJ223" t="s">
        <v>530</v>
      </c>
      <c r="BK223" t="s">
        <v>101</v>
      </c>
      <c r="BL223" t="s">
        <v>531</v>
      </c>
      <c r="BM223" t="s">
        <v>4643</v>
      </c>
      <c r="BN223">
        <v>26503801</v>
      </c>
      <c r="BO223" t="s">
        <v>4644</v>
      </c>
      <c r="BP223" t="s">
        <v>74</v>
      </c>
      <c r="BQ223" t="s">
        <v>74</v>
      </c>
      <c r="BR223" t="s">
        <v>103</v>
      </c>
      <c r="BS223" t="s">
        <v>4645</v>
      </c>
      <c r="BT223" t="str">
        <f>HYPERLINK("https%3A%2F%2Fwww.webofscience.com%2Fwos%2Fwoscc%2Ffull-record%2FWOS:000364938300002","View Full Record in Web of Science")</f>
        <v>View Full Record in Web of Science</v>
      </c>
    </row>
    <row r="224" spans="1:72" x14ac:dyDescent="0.15">
      <c r="A224" t="s">
        <v>72</v>
      </c>
      <c r="B224" t="s">
        <v>4646</v>
      </c>
      <c r="C224" t="s">
        <v>74</v>
      </c>
      <c r="D224" t="s">
        <v>74</v>
      </c>
      <c r="E224" t="s">
        <v>74</v>
      </c>
      <c r="F224" t="s">
        <v>4647</v>
      </c>
      <c r="G224" t="s">
        <v>74</v>
      </c>
      <c r="H224" t="s">
        <v>74</v>
      </c>
      <c r="I224" t="s">
        <v>4648</v>
      </c>
      <c r="J224" t="s">
        <v>511</v>
      </c>
      <c r="K224" t="s">
        <v>74</v>
      </c>
      <c r="L224" t="s">
        <v>74</v>
      </c>
      <c r="M224" t="s">
        <v>78</v>
      </c>
      <c r="N224" t="s">
        <v>79</v>
      </c>
      <c r="O224" t="s">
        <v>74</v>
      </c>
      <c r="P224" t="s">
        <v>74</v>
      </c>
      <c r="Q224" t="s">
        <v>74</v>
      </c>
      <c r="R224" t="s">
        <v>74</v>
      </c>
      <c r="S224" t="s">
        <v>74</v>
      </c>
      <c r="T224" t="s">
        <v>74</v>
      </c>
      <c r="U224" t="s">
        <v>4649</v>
      </c>
      <c r="V224" t="s">
        <v>4650</v>
      </c>
      <c r="W224" t="s">
        <v>4651</v>
      </c>
      <c r="X224" t="s">
        <v>4652</v>
      </c>
      <c r="Y224" t="s">
        <v>4653</v>
      </c>
      <c r="Z224" t="s">
        <v>4654</v>
      </c>
      <c r="AA224" t="s">
        <v>4655</v>
      </c>
      <c r="AB224" t="s">
        <v>4656</v>
      </c>
      <c r="AC224" t="s">
        <v>4657</v>
      </c>
      <c r="AD224" t="s">
        <v>4658</v>
      </c>
      <c r="AE224" t="s">
        <v>4659</v>
      </c>
      <c r="AF224" t="s">
        <v>74</v>
      </c>
      <c r="AG224">
        <v>51</v>
      </c>
      <c r="AH224">
        <v>162</v>
      </c>
      <c r="AI224">
        <v>165</v>
      </c>
      <c r="AJ224">
        <v>2</v>
      </c>
      <c r="AK224">
        <v>46</v>
      </c>
      <c r="AL224" t="s">
        <v>179</v>
      </c>
      <c r="AM224" t="s">
        <v>180</v>
      </c>
      <c r="AN224" t="s">
        <v>181</v>
      </c>
      <c r="AO224" t="s">
        <v>526</v>
      </c>
      <c r="AP224" t="s">
        <v>74</v>
      </c>
      <c r="AQ224" t="s">
        <v>74</v>
      </c>
      <c r="AR224" t="s">
        <v>527</v>
      </c>
      <c r="AS224" t="s">
        <v>528</v>
      </c>
      <c r="AT224" t="s">
        <v>2170</v>
      </c>
      <c r="AU224">
        <v>2015</v>
      </c>
      <c r="AV224">
        <v>6</v>
      </c>
      <c r="AW224" t="s">
        <v>74</v>
      </c>
      <c r="AX224" t="s">
        <v>74</v>
      </c>
      <c r="AY224" t="s">
        <v>74</v>
      </c>
      <c r="AZ224" t="s">
        <v>74</v>
      </c>
      <c r="BA224" t="s">
        <v>74</v>
      </c>
      <c r="BB224" t="s">
        <v>74</v>
      </c>
      <c r="BC224" t="s">
        <v>74</v>
      </c>
      <c r="BD224">
        <v>8611</v>
      </c>
      <c r="BE224" t="s">
        <v>4660</v>
      </c>
      <c r="BF224" t="str">
        <f>HYPERLINK("http://dx.doi.org/10.1038/ncomms9611","http://dx.doi.org/10.1038/ncomms9611")</f>
        <v>http://dx.doi.org/10.1038/ncomms9611</v>
      </c>
      <c r="BG224" t="s">
        <v>74</v>
      </c>
      <c r="BH224" t="s">
        <v>74</v>
      </c>
      <c r="BI224">
        <v>8</v>
      </c>
      <c r="BJ224" t="s">
        <v>530</v>
      </c>
      <c r="BK224" t="s">
        <v>101</v>
      </c>
      <c r="BL224" t="s">
        <v>531</v>
      </c>
      <c r="BM224" t="s">
        <v>4661</v>
      </c>
      <c r="BN224">
        <v>26497389</v>
      </c>
      <c r="BO224" t="s">
        <v>533</v>
      </c>
      <c r="BP224" t="s">
        <v>74</v>
      </c>
      <c r="BQ224" t="s">
        <v>74</v>
      </c>
      <c r="BR224" t="s">
        <v>103</v>
      </c>
      <c r="BS224" t="s">
        <v>4662</v>
      </c>
      <c r="BT224" t="str">
        <f>HYPERLINK("https%3A%2F%2Fwww.webofscience.com%2Fwos%2Fwoscc%2Ffull-record%2FWOS:000364934200013","View Full Record in Web of Science")</f>
        <v>View Full Record in Web of Science</v>
      </c>
    </row>
    <row r="225" spans="1:72" x14ac:dyDescent="0.15">
      <c r="A225" t="s">
        <v>72</v>
      </c>
      <c r="B225" t="s">
        <v>4663</v>
      </c>
      <c r="C225" t="s">
        <v>74</v>
      </c>
      <c r="D225" t="s">
        <v>74</v>
      </c>
      <c r="E225" t="s">
        <v>74</v>
      </c>
      <c r="F225" t="s">
        <v>4664</v>
      </c>
      <c r="G225" t="s">
        <v>74</v>
      </c>
      <c r="H225" t="s">
        <v>74</v>
      </c>
      <c r="I225" t="s">
        <v>4665</v>
      </c>
      <c r="J225" t="s">
        <v>538</v>
      </c>
      <c r="K225" t="s">
        <v>74</v>
      </c>
      <c r="L225" t="s">
        <v>74</v>
      </c>
      <c r="M225" t="s">
        <v>78</v>
      </c>
      <c r="N225" t="s">
        <v>79</v>
      </c>
      <c r="O225" t="s">
        <v>74</v>
      </c>
      <c r="P225" t="s">
        <v>74</v>
      </c>
      <c r="Q225" t="s">
        <v>74</v>
      </c>
      <c r="R225" t="s">
        <v>74</v>
      </c>
      <c r="S225" t="s">
        <v>74</v>
      </c>
      <c r="T225" t="s">
        <v>74</v>
      </c>
      <c r="U225" t="s">
        <v>4666</v>
      </c>
      <c r="V225" t="s">
        <v>4667</v>
      </c>
      <c r="W225" t="s">
        <v>4668</v>
      </c>
      <c r="X225" t="s">
        <v>4669</v>
      </c>
      <c r="Y225" t="s">
        <v>4670</v>
      </c>
      <c r="Z225" t="s">
        <v>4671</v>
      </c>
      <c r="AA225" t="s">
        <v>4672</v>
      </c>
      <c r="AB225" t="s">
        <v>4673</v>
      </c>
      <c r="AC225" t="s">
        <v>4674</v>
      </c>
      <c r="AD225" t="s">
        <v>4675</v>
      </c>
      <c r="AE225" t="s">
        <v>4676</v>
      </c>
      <c r="AF225" t="s">
        <v>74</v>
      </c>
      <c r="AG225">
        <v>36</v>
      </c>
      <c r="AH225">
        <v>465</v>
      </c>
      <c r="AI225">
        <v>506</v>
      </c>
      <c r="AJ225">
        <v>113</v>
      </c>
      <c r="AK225">
        <v>950</v>
      </c>
      <c r="AL225" t="s">
        <v>523</v>
      </c>
      <c r="AM225" t="s">
        <v>524</v>
      </c>
      <c r="AN225" t="s">
        <v>525</v>
      </c>
      <c r="AO225" t="s">
        <v>552</v>
      </c>
      <c r="AP225" t="s">
        <v>553</v>
      </c>
      <c r="AQ225" t="s">
        <v>74</v>
      </c>
      <c r="AR225" t="s">
        <v>554</v>
      </c>
      <c r="AS225" t="s">
        <v>555</v>
      </c>
      <c r="AT225" t="s">
        <v>2170</v>
      </c>
      <c r="AU225">
        <v>2015</v>
      </c>
      <c r="AV225">
        <v>8</v>
      </c>
      <c r="AW225">
        <v>10</v>
      </c>
      <c r="AX225" t="s">
        <v>74</v>
      </c>
      <c r="AY225" t="s">
        <v>74</v>
      </c>
      <c r="AZ225" t="s">
        <v>74</v>
      </c>
      <c r="BA225" t="s">
        <v>74</v>
      </c>
      <c r="BB225">
        <v>780</v>
      </c>
      <c r="BC225" t="s">
        <v>556</v>
      </c>
      <c r="BD225" t="s">
        <v>74</v>
      </c>
      <c r="BE225" t="s">
        <v>4677</v>
      </c>
      <c r="BF225" t="str">
        <f>HYPERLINK("http://dx.doi.org/10.1038/NGEO2516","http://dx.doi.org/10.1038/NGEO2516")</f>
        <v>http://dx.doi.org/10.1038/NGEO2516</v>
      </c>
      <c r="BG225" t="s">
        <v>74</v>
      </c>
      <c r="BH225" t="s">
        <v>74</v>
      </c>
      <c r="BI225">
        <v>6</v>
      </c>
      <c r="BJ225" t="s">
        <v>314</v>
      </c>
      <c r="BK225" t="s">
        <v>101</v>
      </c>
      <c r="BL225" t="s">
        <v>315</v>
      </c>
      <c r="BM225" t="s">
        <v>4678</v>
      </c>
      <c r="BN225" t="s">
        <v>74</v>
      </c>
      <c r="BO225" t="s">
        <v>1213</v>
      </c>
      <c r="BP225" t="s">
        <v>1736</v>
      </c>
      <c r="BQ225" t="s">
        <v>1737</v>
      </c>
      <c r="BR225" t="s">
        <v>103</v>
      </c>
      <c r="BS225" t="s">
        <v>4679</v>
      </c>
      <c r="BT225" t="str">
        <f>HYPERLINK("https%3A%2F%2Fwww.webofscience.com%2Fwos%2Fwoscc%2Ffull-record%2FWOS:000363951200017","View Full Record in Web of Science")</f>
        <v>View Full Record in Web of Science</v>
      </c>
    </row>
    <row r="226" spans="1:72" x14ac:dyDescent="0.15">
      <c r="A226" t="s">
        <v>72</v>
      </c>
      <c r="B226" t="s">
        <v>4680</v>
      </c>
      <c r="C226" t="s">
        <v>74</v>
      </c>
      <c r="D226" t="s">
        <v>74</v>
      </c>
      <c r="E226" t="s">
        <v>74</v>
      </c>
      <c r="F226" t="s">
        <v>4681</v>
      </c>
      <c r="G226" t="s">
        <v>74</v>
      </c>
      <c r="H226" t="s">
        <v>74</v>
      </c>
      <c r="I226" t="s">
        <v>4682</v>
      </c>
      <c r="J226" t="s">
        <v>603</v>
      </c>
      <c r="K226" t="s">
        <v>74</v>
      </c>
      <c r="L226" t="s">
        <v>74</v>
      </c>
      <c r="M226" t="s">
        <v>78</v>
      </c>
      <c r="N226" t="s">
        <v>79</v>
      </c>
      <c r="O226" t="s">
        <v>74</v>
      </c>
      <c r="P226" t="s">
        <v>74</v>
      </c>
      <c r="Q226" t="s">
        <v>74</v>
      </c>
      <c r="R226" t="s">
        <v>74</v>
      </c>
      <c r="S226" t="s">
        <v>74</v>
      </c>
      <c r="T226" t="s">
        <v>4683</v>
      </c>
      <c r="U226" t="s">
        <v>4684</v>
      </c>
      <c r="V226" t="s">
        <v>4685</v>
      </c>
      <c r="W226" t="s">
        <v>4686</v>
      </c>
      <c r="X226" t="s">
        <v>4687</v>
      </c>
      <c r="Y226" t="s">
        <v>4688</v>
      </c>
      <c r="Z226" t="s">
        <v>74</v>
      </c>
      <c r="AA226" t="s">
        <v>4689</v>
      </c>
      <c r="AB226" t="s">
        <v>4690</v>
      </c>
      <c r="AC226" t="s">
        <v>4691</v>
      </c>
      <c r="AD226" t="s">
        <v>4692</v>
      </c>
      <c r="AE226" t="s">
        <v>4693</v>
      </c>
      <c r="AF226" t="s">
        <v>74</v>
      </c>
      <c r="AG226">
        <v>63</v>
      </c>
      <c r="AH226">
        <v>66</v>
      </c>
      <c r="AI226">
        <v>72</v>
      </c>
      <c r="AJ226">
        <v>2</v>
      </c>
      <c r="AK226">
        <v>47</v>
      </c>
      <c r="AL226" t="s">
        <v>496</v>
      </c>
      <c r="AM226" t="s">
        <v>398</v>
      </c>
      <c r="AN226" t="s">
        <v>497</v>
      </c>
      <c r="AO226" t="s">
        <v>616</v>
      </c>
      <c r="AP226" t="s">
        <v>617</v>
      </c>
      <c r="AQ226" t="s">
        <v>74</v>
      </c>
      <c r="AR226" t="s">
        <v>618</v>
      </c>
      <c r="AS226" t="s">
        <v>619</v>
      </c>
      <c r="AT226" t="s">
        <v>2170</v>
      </c>
      <c r="AU226">
        <v>2015</v>
      </c>
      <c r="AV226">
        <v>94</v>
      </c>
      <c r="AW226" t="s">
        <v>74</v>
      </c>
      <c r="AX226" t="s">
        <v>74</v>
      </c>
      <c r="AY226" t="s">
        <v>74</v>
      </c>
      <c r="AZ226" t="s">
        <v>74</v>
      </c>
      <c r="BA226" t="s">
        <v>74</v>
      </c>
      <c r="BB226">
        <v>67</v>
      </c>
      <c r="BC226">
        <v>94</v>
      </c>
      <c r="BD226" t="s">
        <v>74</v>
      </c>
      <c r="BE226" t="s">
        <v>4694</v>
      </c>
      <c r="BF226" t="str">
        <f>HYPERLINK("http://dx.doi.org/10.1016/j.ocemod.2015.07.022","http://dx.doi.org/10.1016/j.ocemod.2015.07.022")</f>
        <v>http://dx.doi.org/10.1016/j.ocemod.2015.07.022</v>
      </c>
      <c r="BG226" t="s">
        <v>74</v>
      </c>
      <c r="BH226" t="s">
        <v>74</v>
      </c>
      <c r="BI226">
        <v>28</v>
      </c>
      <c r="BJ226" t="s">
        <v>621</v>
      </c>
      <c r="BK226" t="s">
        <v>101</v>
      </c>
      <c r="BL226" t="s">
        <v>621</v>
      </c>
      <c r="BM226" t="s">
        <v>3309</v>
      </c>
      <c r="BN226" t="s">
        <v>74</v>
      </c>
      <c r="BO226" t="s">
        <v>1235</v>
      </c>
      <c r="BP226" t="s">
        <v>74</v>
      </c>
      <c r="BQ226" t="s">
        <v>74</v>
      </c>
      <c r="BR226" t="s">
        <v>103</v>
      </c>
      <c r="BS226" t="s">
        <v>4695</v>
      </c>
      <c r="BT226" t="str">
        <f>HYPERLINK("https%3A%2F%2Fwww.webofscience.com%2Fwos%2Fwoscc%2Ffull-record%2FWOS:000362016400006","View Full Record in Web of Science")</f>
        <v>View Full Record in Web of Science</v>
      </c>
    </row>
    <row r="227" spans="1:72" x14ac:dyDescent="0.15">
      <c r="A227" t="s">
        <v>72</v>
      </c>
      <c r="B227" t="s">
        <v>4696</v>
      </c>
      <c r="C227" t="s">
        <v>74</v>
      </c>
      <c r="D227" t="s">
        <v>74</v>
      </c>
      <c r="E227" t="s">
        <v>74</v>
      </c>
      <c r="F227" t="s">
        <v>4697</v>
      </c>
      <c r="G227" t="s">
        <v>74</v>
      </c>
      <c r="H227" t="s">
        <v>74</v>
      </c>
      <c r="I227" t="s">
        <v>4698</v>
      </c>
      <c r="J227" t="s">
        <v>603</v>
      </c>
      <c r="K227" t="s">
        <v>74</v>
      </c>
      <c r="L227" t="s">
        <v>74</v>
      </c>
      <c r="M227" t="s">
        <v>78</v>
      </c>
      <c r="N227" t="s">
        <v>79</v>
      </c>
      <c r="O227" t="s">
        <v>74</v>
      </c>
      <c r="P227" t="s">
        <v>74</v>
      </c>
      <c r="Q227" t="s">
        <v>74</v>
      </c>
      <c r="R227" t="s">
        <v>74</v>
      </c>
      <c r="S227" t="s">
        <v>74</v>
      </c>
      <c r="T227" t="s">
        <v>4699</v>
      </c>
      <c r="U227" t="s">
        <v>4700</v>
      </c>
      <c r="V227" t="s">
        <v>4701</v>
      </c>
      <c r="W227" t="s">
        <v>4702</v>
      </c>
      <c r="X227" t="s">
        <v>4703</v>
      </c>
      <c r="Y227" t="s">
        <v>4704</v>
      </c>
      <c r="Z227" t="s">
        <v>4705</v>
      </c>
      <c r="AA227" t="s">
        <v>4706</v>
      </c>
      <c r="AB227" t="s">
        <v>4707</v>
      </c>
      <c r="AC227" t="s">
        <v>4708</v>
      </c>
      <c r="AD227" t="s">
        <v>4709</v>
      </c>
      <c r="AE227" t="s">
        <v>4710</v>
      </c>
      <c r="AF227" t="s">
        <v>74</v>
      </c>
      <c r="AG227">
        <v>58</v>
      </c>
      <c r="AH227">
        <v>41</v>
      </c>
      <c r="AI227">
        <v>43</v>
      </c>
      <c r="AJ227">
        <v>5</v>
      </c>
      <c r="AK227">
        <v>36</v>
      </c>
      <c r="AL227" t="s">
        <v>496</v>
      </c>
      <c r="AM227" t="s">
        <v>398</v>
      </c>
      <c r="AN227" t="s">
        <v>497</v>
      </c>
      <c r="AO227" t="s">
        <v>616</v>
      </c>
      <c r="AP227" t="s">
        <v>617</v>
      </c>
      <c r="AQ227" t="s">
        <v>74</v>
      </c>
      <c r="AR227" t="s">
        <v>618</v>
      </c>
      <c r="AS227" t="s">
        <v>619</v>
      </c>
      <c r="AT227" t="s">
        <v>2170</v>
      </c>
      <c r="AU227">
        <v>2015</v>
      </c>
      <c r="AV227">
        <v>94</v>
      </c>
      <c r="AW227" t="s">
        <v>74</v>
      </c>
      <c r="AX227" t="s">
        <v>74</v>
      </c>
      <c r="AY227" t="s">
        <v>74</v>
      </c>
      <c r="AZ227" t="s">
        <v>74</v>
      </c>
      <c r="BA227" t="s">
        <v>74</v>
      </c>
      <c r="BB227">
        <v>141</v>
      </c>
      <c r="BC227">
        <v>152</v>
      </c>
      <c r="BD227" t="s">
        <v>74</v>
      </c>
      <c r="BE227" t="s">
        <v>4711</v>
      </c>
      <c r="BF227" t="str">
        <f>HYPERLINK("http://dx.doi.org/10.1016/j.ocemod.2015.08.003","http://dx.doi.org/10.1016/j.ocemod.2015.08.003")</f>
        <v>http://dx.doi.org/10.1016/j.ocemod.2015.08.003</v>
      </c>
      <c r="BG227" t="s">
        <v>74</v>
      </c>
      <c r="BH227" t="s">
        <v>74</v>
      </c>
      <c r="BI227">
        <v>12</v>
      </c>
      <c r="BJ227" t="s">
        <v>621</v>
      </c>
      <c r="BK227" t="s">
        <v>101</v>
      </c>
      <c r="BL227" t="s">
        <v>621</v>
      </c>
      <c r="BM227" t="s">
        <v>3309</v>
      </c>
      <c r="BN227" t="s">
        <v>74</v>
      </c>
      <c r="BO227" t="s">
        <v>3721</v>
      </c>
      <c r="BP227" t="s">
        <v>74</v>
      </c>
      <c r="BQ227" t="s">
        <v>74</v>
      </c>
      <c r="BR227" t="s">
        <v>103</v>
      </c>
      <c r="BS227" t="s">
        <v>4712</v>
      </c>
      <c r="BT227" t="str">
        <f>HYPERLINK("https%3A%2F%2Fwww.webofscience.com%2Fwos%2Fwoscc%2Ffull-record%2FWOS:000362016400010","View Full Record in Web of Science")</f>
        <v>View Full Record in Web of Science</v>
      </c>
    </row>
    <row r="228" spans="1:72" x14ac:dyDescent="0.15">
      <c r="A228" t="s">
        <v>72</v>
      </c>
      <c r="B228" t="s">
        <v>4713</v>
      </c>
      <c r="C228" t="s">
        <v>74</v>
      </c>
      <c r="D228" t="s">
        <v>74</v>
      </c>
      <c r="E228" t="s">
        <v>74</v>
      </c>
      <c r="F228" t="s">
        <v>4714</v>
      </c>
      <c r="G228" t="s">
        <v>74</v>
      </c>
      <c r="H228" t="s">
        <v>74</v>
      </c>
      <c r="I228" t="s">
        <v>4715</v>
      </c>
      <c r="J228" t="s">
        <v>4716</v>
      </c>
      <c r="K228" t="s">
        <v>74</v>
      </c>
      <c r="L228" t="s">
        <v>74</v>
      </c>
      <c r="M228" t="s">
        <v>78</v>
      </c>
      <c r="N228" t="s">
        <v>79</v>
      </c>
      <c r="O228" t="s">
        <v>74</v>
      </c>
      <c r="P228" t="s">
        <v>74</v>
      </c>
      <c r="Q228" t="s">
        <v>74</v>
      </c>
      <c r="R228" t="s">
        <v>74</v>
      </c>
      <c r="S228" t="s">
        <v>74</v>
      </c>
      <c r="T228" t="s">
        <v>4717</v>
      </c>
      <c r="U228" t="s">
        <v>4718</v>
      </c>
      <c r="V228" t="s">
        <v>4719</v>
      </c>
      <c r="W228" t="s">
        <v>4720</v>
      </c>
      <c r="X228" t="s">
        <v>4721</v>
      </c>
      <c r="Y228" t="s">
        <v>4722</v>
      </c>
      <c r="Z228" t="s">
        <v>4723</v>
      </c>
      <c r="AA228" t="s">
        <v>4724</v>
      </c>
      <c r="AB228" t="s">
        <v>4725</v>
      </c>
      <c r="AC228" t="s">
        <v>4726</v>
      </c>
      <c r="AD228" t="s">
        <v>4727</v>
      </c>
      <c r="AE228" t="s">
        <v>4728</v>
      </c>
      <c r="AF228" t="s">
        <v>74</v>
      </c>
      <c r="AG228">
        <v>131</v>
      </c>
      <c r="AH228">
        <v>46</v>
      </c>
      <c r="AI228">
        <v>51</v>
      </c>
      <c r="AJ228">
        <v>2</v>
      </c>
      <c r="AK228">
        <v>28</v>
      </c>
      <c r="AL228" t="s">
        <v>883</v>
      </c>
      <c r="AM228" t="s">
        <v>884</v>
      </c>
      <c r="AN228" t="s">
        <v>885</v>
      </c>
      <c r="AO228" t="s">
        <v>4729</v>
      </c>
      <c r="AP228" t="s">
        <v>4730</v>
      </c>
      <c r="AQ228" t="s">
        <v>74</v>
      </c>
      <c r="AR228" t="s">
        <v>4731</v>
      </c>
      <c r="AS228" t="s">
        <v>4732</v>
      </c>
      <c r="AT228" t="s">
        <v>2847</v>
      </c>
      <c r="AU228">
        <v>2015</v>
      </c>
      <c r="AV228">
        <v>435</v>
      </c>
      <c r="AW228" t="s">
        <v>74</v>
      </c>
      <c r="AX228" t="s">
        <v>74</v>
      </c>
      <c r="AY228" t="s">
        <v>74</v>
      </c>
      <c r="AZ228" t="s">
        <v>74</v>
      </c>
      <c r="BA228" t="s">
        <v>74</v>
      </c>
      <c r="BB228">
        <v>24</v>
      </c>
      <c r="BC228">
        <v>37</v>
      </c>
      <c r="BD228" t="s">
        <v>74</v>
      </c>
      <c r="BE228" t="s">
        <v>4733</v>
      </c>
      <c r="BF228" t="str">
        <f>HYPERLINK("http://dx.doi.org/10.1016/j.palaeo.2015.05.028","http://dx.doi.org/10.1016/j.palaeo.2015.05.028")</f>
        <v>http://dx.doi.org/10.1016/j.palaeo.2015.05.028</v>
      </c>
      <c r="BG228" t="s">
        <v>74</v>
      </c>
      <c r="BH228" t="s">
        <v>74</v>
      </c>
      <c r="BI228">
        <v>14</v>
      </c>
      <c r="BJ228" t="s">
        <v>4734</v>
      </c>
      <c r="BK228" t="s">
        <v>101</v>
      </c>
      <c r="BL228" t="s">
        <v>4735</v>
      </c>
      <c r="BM228" t="s">
        <v>4736</v>
      </c>
      <c r="BN228" t="s">
        <v>74</v>
      </c>
      <c r="BO228" t="s">
        <v>4252</v>
      </c>
      <c r="BP228" t="s">
        <v>74</v>
      </c>
      <c r="BQ228" t="s">
        <v>74</v>
      </c>
      <c r="BR228" t="s">
        <v>103</v>
      </c>
      <c r="BS228" t="s">
        <v>4737</v>
      </c>
      <c r="BT228" t="str">
        <f>HYPERLINK("https%3A%2F%2Fwww.webofscience.com%2Fwos%2Fwoscc%2Ffull-record%2FWOS:000359963500003","View Full Record in Web of Science")</f>
        <v>View Full Record in Web of Science</v>
      </c>
    </row>
    <row r="229" spans="1:72" x14ac:dyDescent="0.15">
      <c r="A229" t="s">
        <v>72</v>
      </c>
      <c r="B229" t="s">
        <v>4738</v>
      </c>
      <c r="C229" t="s">
        <v>74</v>
      </c>
      <c r="D229" t="s">
        <v>74</v>
      </c>
      <c r="E229" t="s">
        <v>74</v>
      </c>
      <c r="F229" t="s">
        <v>4739</v>
      </c>
      <c r="G229" t="s">
        <v>74</v>
      </c>
      <c r="H229" t="s">
        <v>74</v>
      </c>
      <c r="I229" t="s">
        <v>4740</v>
      </c>
      <c r="J229" t="s">
        <v>1078</v>
      </c>
      <c r="K229" t="s">
        <v>74</v>
      </c>
      <c r="L229" t="s">
        <v>74</v>
      </c>
      <c r="M229" t="s">
        <v>78</v>
      </c>
      <c r="N229" t="s">
        <v>79</v>
      </c>
      <c r="O229" t="s">
        <v>74</v>
      </c>
      <c r="P229" t="s">
        <v>74</v>
      </c>
      <c r="Q229" t="s">
        <v>74</v>
      </c>
      <c r="R229" t="s">
        <v>74</v>
      </c>
      <c r="S229" t="s">
        <v>74</v>
      </c>
      <c r="T229" t="s">
        <v>74</v>
      </c>
      <c r="U229" t="s">
        <v>4741</v>
      </c>
      <c r="V229" t="s">
        <v>4742</v>
      </c>
      <c r="W229" t="s">
        <v>4743</v>
      </c>
      <c r="X229" t="s">
        <v>4744</v>
      </c>
      <c r="Y229" t="s">
        <v>4745</v>
      </c>
      <c r="Z229" t="s">
        <v>4746</v>
      </c>
      <c r="AA229" t="s">
        <v>4747</v>
      </c>
      <c r="AB229" t="s">
        <v>4748</v>
      </c>
      <c r="AC229" t="s">
        <v>4749</v>
      </c>
      <c r="AD229" t="s">
        <v>4750</v>
      </c>
      <c r="AE229" t="s">
        <v>4751</v>
      </c>
      <c r="AF229" t="s">
        <v>74</v>
      </c>
      <c r="AG229">
        <v>65</v>
      </c>
      <c r="AH229">
        <v>44</v>
      </c>
      <c r="AI229">
        <v>49</v>
      </c>
      <c r="AJ229">
        <v>4</v>
      </c>
      <c r="AK229">
        <v>113</v>
      </c>
      <c r="AL229" t="s">
        <v>1089</v>
      </c>
      <c r="AM229" t="s">
        <v>1090</v>
      </c>
      <c r="AN229" t="s">
        <v>1091</v>
      </c>
      <c r="AO229" t="s">
        <v>1092</v>
      </c>
      <c r="AP229" t="s">
        <v>74</v>
      </c>
      <c r="AQ229" t="s">
        <v>74</v>
      </c>
      <c r="AR229" t="s">
        <v>1078</v>
      </c>
      <c r="AS229" t="s">
        <v>1093</v>
      </c>
      <c r="AT229" t="s">
        <v>2847</v>
      </c>
      <c r="AU229">
        <v>2015</v>
      </c>
      <c r="AV229">
        <v>10</v>
      </c>
      <c r="AW229">
        <v>10</v>
      </c>
      <c r="AX229" t="s">
        <v>74</v>
      </c>
      <c r="AY229" t="s">
        <v>74</v>
      </c>
      <c r="AZ229" t="s">
        <v>74</v>
      </c>
      <c r="BA229" t="s">
        <v>74</v>
      </c>
      <c r="BB229" t="s">
        <v>74</v>
      </c>
      <c r="BC229" t="s">
        <v>74</v>
      </c>
      <c r="BD229" t="s">
        <v>4752</v>
      </c>
      <c r="BE229" t="s">
        <v>4753</v>
      </c>
      <c r="BF229" t="str">
        <f>HYPERLINK("http://dx.doi.org/10.1371/journal.pone.0139469","http://dx.doi.org/10.1371/journal.pone.0139469")</f>
        <v>http://dx.doi.org/10.1371/journal.pone.0139469</v>
      </c>
      <c r="BG229" t="s">
        <v>74</v>
      </c>
      <c r="BH229" t="s">
        <v>74</v>
      </c>
      <c r="BI229">
        <v>14</v>
      </c>
      <c r="BJ229" t="s">
        <v>530</v>
      </c>
      <c r="BK229" t="s">
        <v>101</v>
      </c>
      <c r="BL229" t="s">
        <v>531</v>
      </c>
      <c r="BM229" t="s">
        <v>4754</v>
      </c>
      <c r="BN229">
        <v>26427046</v>
      </c>
      <c r="BO229" t="s">
        <v>1262</v>
      </c>
      <c r="BP229" t="s">
        <v>74</v>
      </c>
      <c r="BQ229" t="s">
        <v>74</v>
      </c>
      <c r="BR229" t="s">
        <v>103</v>
      </c>
      <c r="BS229" t="s">
        <v>4755</v>
      </c>
      <c r="BT229" t="str">
        <f>HYPERLINK("https%3A%2F%2Fwww.webofscience.com%2Fwos%2Fwoscc%2Ffull-record%2FWOS:000362177100067","View Full Record in Web of Science")</f>
        <v>View Full Record in Web of Science</v>
      </c>
    </row>
    <row r="230" spans="1:72" x14ac:dyDescent="0.15">
      <c r="A230" t="s">
        <v>72</v>
      </c>
      <c r="B230" t="s">
        <v>4756</v>
      </c>
      <c r="C230" t="s">
        <v>74</v>
      </c>
      <c r="D230" t="s">
        <v>74</v>
      </c>
      <c r="E230" t="s">
        <v>74</v>
      </c>
      <c r="F230" t="s">
        <v>4757</v>
      </c>
      <c r="G230" t="s">
        <v>74</v>
      </c>
      <c r="H230" t="s">
        <v>74</v>
      </c>
      <c r="I230" t="s">
        <v>4758</v>
      </c>
      <c r="J230" t="s">
        <v>4759</v>
      </c>
      <c r="K230" t="s">
        <v>74</v>
      </c>
      <c r="L230" t="s">
        <v>74</v>
      </c>
      <c r="M230" t="s">
        <v>78</v>
      </c>
      <c r="N230" t="s">
        <v>79</v>
      </c>
      <c r="O230" t="s">
        <v>74</v>
      </c>
      <c r="P230" t="s">
        <v>74</v>
      </c>
      <c r="Q230" t="s">
        <v>74</v>
      </c>
      <c r="R230" t="s">
        <v>74</v>
      </c>
      <c r="S230" t="s">
        <v>74</v>
      </c>
      <c r="T230" t="s">
        <v>4760</v>
      </c>
      <c r="U230" t="s">
        <v>4761</v>
      </c>
      <c r="V230" t="s">
        <v>4762</v>
      </c>
      <c r="W230" t="s">
        <v>4763</v>
      </c>
      <c r="X230" t="s">
        <v>4764</v>
      </c>
      <c r="Y230" t="s">
        <v>4765</v>
      </c>
      <c r="Z230" t="s">
        <v>4766</v>
      </c>
      <c r="AA230" t="s">
        <v>4767</v>
      </c>
      <c r="AB230" t="s">
        <v>4768</v>
      </c>
      <c r="AC230" t="s">
        <v>4769</v>
      </c>
      <c r="AD230" t="s">
        <v>4770</v>
      </c>
      <c r="AE230" t="s">
        <v>4771</v>
      </c>
      <c r="AF230" t="s">
        <v>74</v>
      </c>
      <c r="AG230">
        <v>67</v>
      </c>
      <c r="AH230">
        <v>36</v>
      </c>
      <c r="AI230">
        <v>37</v>
      </c>
      <c r="AJ230">
        <v>1</v>
      </c>
      <c r="AK230">
        <v>70</v>
      </c>
      <c r="AL230" t="s">
        <v>92</v>
      </c>
      <c r="AM230" t="s">
        <v>550</v>
      </c>
      <c r="AN230" t="s">
        <v>4772</v>
      </c>
      <c r="AO230" t="s">
        <v>4773</v>
      </c>
      <c r="AP230" t="s">
        <v>4774</v>
      </c>
      <c r="AQ230" t="s">
        <v>74</v>
      </c>
      <c r="AR230" t="s">
        <v>4775</v>
      </c>
      <c r="AS230" t="s">
        <v>4776</v>
      </c>
      <c r="AT230" t="s">
        <v>2170</v>
      </c>
      <c r="AU230">
        <v>2015</v>
      </c>
      <c r="AV230">
        <v>38</v>
      </c>
      <c r="AW230">
        <v>10</v>
      </c>
      <c r="AX230" t="s">
        <v>74</v>
      </c>
      <c r="AY230" t="s">
        <v>74</v>
      </c>
      <c r="AZ230" t="s">
        <v>74</v>
      </c>
      <c r="BA230" t="s">
        <v>74</v>
      </c>
      <c r="BB230">
        <v>1645</v>
      </c>
      <c r="BC230">
        <v>1655</v>
      </c>
      <c r="BD230" t="s">
        <v>74</v>
      </c>
      <c r="BE230" t="s">
        <v>4777</v>
      </c>
      <c r="BF230" t="str">
        <f>HYPERLINK("http://dx.doi.org/10.1007/s00300-015-1730-z","http://dx.doi.org/10.1007/s00300-015-1730-z")</f>
        <v>http://dx.doi.org/10.1007/s00300-015-1730-z</v>
      </c>
      <c r="BG230" t="s">
        <v>74</v>
      </c>
      <c r="BH230" t="s">
        <v>74</v>
      </c>
      <c r="BI230">
        <v>11</v>
      </c>
      <c r="BJ230" t="s">
        <v>4778</v>
      </c>
      <c r="BK230" t="s">
        <v>101</v>
      </c>
      <c r="BL230" t="s">
        <v>3806</v>
      </c>
      <c r="BM230" t="s">
        <v>4779</v>
      </c>
      <c r="BN230" t="s">
        <v>74</v>
      </c>
      <c r="BO230" t="s">
        <v>290</v>
      </c>
      <c r="BP230" t="s">
        <v>74</v>
      </c>
      <c r="BQ230" t="s">
        <v>74</v>
      </c>
      <c r="BR230" t="s">
        <v>103</v>
      </c>
      <c r="BS230" t="s">
        <v>4780</v>
      </c>
      <c r="BT230" t="str">
        <f>HYPERLINK("https%3A%2F%2Fwww.webofscience.com%2Fwos%2Fwoscc%2Ffull-record%2FWOS:000360758200009","View Full Record in Web of Science")</f>
        <v>View Full Record in Web of Science</v>
      </c>
    </row>
    <row r="231" spans="1:72" x14ac:dyDescent="0.15">
      <c r="A231" t="s">
        <v>72</v>
      </c>
      <c r="B231" t="s">
        <v>4781</v>
      </c>
      <c r="C231" t="s">
        <v>74</v>
      </c>
      <c r="D231" t="s">
        <v>74</v>
      </c>
      <c r="E231" t="s">
        <v>74</v>
      </c>
      <c r="F231" t="s">
        <v>4782</v>
      </c>
      <c r="G231" t="s">
        <v>74</v>
      </c>
      <c r="H231" t="s">
        <v>74</v>
      </c>
      <c r="I231" t="s">
        <v>4783</v>
      </c>
      <c r="J231" t="s">
        <v>4759</v>
      </c>
      <c r="K231" t="s">
        <v>74</v>
      </c>
      <c r="L231" t="s">
        <v>74</v>
      </c>
      <c r="M231" t="s">
        <v>78</v>
      </c>
      <c r="N231" t="s">
        <v>79</v>
      </c>
      <c r="O231" t="s">
        <v>74</v>
      </c>
      <c r="P231" t="s">
        <v>74</v>
      </c>
      <c r="Q231" t="s">
        <v>74</v>
      </c>
      <c r="R231" t="s">
        <v>74</v>
      </c>
      <c r="S231" t="s">
        <v>74</v>
      </c>
      <c r="T231" t="s">
        <v>4784</v>
      </c>
      <c r="U231" t="s">
        <v>4785</v>
      </c>
      <c r="V231" t="s">
        <v>4786</v>
      </c>
      <c r="W231" t="s">
        <v>4787</v>
      </c>
      <c r="X231" t="s">
        <v>4788</v>
      </c>
      <c r="Y231" t="s">
        <v>4789</v>
      </c>
      <c r="Z231" t="s">
        <v>4790</v>
      </c>
      <c r="AA231" t="s">
        <v>4791</v>
      </c>
      <c r="AB231" t="s">
        <v>4792</v>
      </c>
      <c r="AC231" t="s">
        <v>4793</v>
      </c>
      <c r="AD231" t="s">
        <v>4793</v>
      </c>
      <c r="AE231" t="s">
        <v>4794</v>
      </c>
      <c r="AF231" t="s">
        <v>74</v>
      </c>
      <c r="AG231">
        <v>45</v>
      </c>
      <c r="AH231">
        <v>3</v>
      </c>
      <c r="AI231">
        <v>3</v>
      </c>
      <c r="AJ231">
        <v>0</v>
      </c>
      <c r="AK231">
        <v>42</v>
      </c>
      <c r="AL231" t="s">
        <v>92</v>
      </c>
      <c r="AM231" t="s">
        <v>550</v>
      </c>
      <c r="AN231" t="s">
        <v>1398</v>
      </c>
      <c r="AO231" t="s">
        <v>4773</v>
      </c>
      <c r="AP231" t="s">
        <v>4774</v>
      </c>
      <c r="AQ231" t="s">
        <v>74</v>
      </c>
      <c r="AR231" t="s">
        <v>4775</v>
      </c>
      <c r="AS231" t="s">
        <v>4776</v>
      </c>
      <c r="AT231" t="s">
        <v>2170</v>
      </c>
      <c r="AU231">
        <v>2015</v>
      </c>
      <c r="AV231">
        <v>38</v>
      </c>
      <c r="AW231">
        <v>10</v>
      </c>
      <c r="AX231" t="s">
        <v>74</v>
      </c>
      <c r="AY231" t="s">
        <v>74</v>
      </c>
      <c r="AZ231" t="s">
        <v>74</v>
      </c>
      <c r="BA231" t="s">
        <v>74</v>
      </c>
      <c r="BB231">
        <v>1677</v>
      </c>
      <c r="BC231">
        <v>1685</v>
      </c>
      <c r="BD231" t="s">
        <v>74</v>
      </c>
      <c r="BE231" t="s">
        <v>4795</v>
      </c>
      <c r="BF231" t="str">
        <f>HYPERLINK("http://dx.doi.org/10.1007/s00300-015-1734-8","http://dx.doi.org/10.1007/s00300-015-1734-8")</f>
        <v>http://dx.doi.org/10.1007/s00300-015-1734-8</v>
      </c>
      <c r="BG231" t="s">
        <v>74</v>
      </c>
      <c r="BH231" t="s">
        <v>74</v>
      </c>
      <c r="BI231">
        <v>9</v>
      </c>
      <c r="BJ231" t="s">
        <v>4778</v>
      </c>
      <c r="BK231" t="s">
        <v>101</v>
      </c>
      <c r="BL231" t="s">
        <v>3806</v>
      </c>
      <c r="BM231" t="s">
        <v>4779</v>
      </c>
      <c r="BN231" t="s">
        <v>74</v>
      </c>
      <c r="BO231" t="s">
        <v>74</v>
      </c>
      <c r="BP231" t="s">
        <v>74</v>
      </c>
      <c r="BQ231" t="s">
        <v>74</v>
      </c>
      <c r="BR231" t="s">
        <v>103</v>
      </c>
      <c r="BS231" t="s">
        <v>4796</v>
      </c>
      <c r="BT231" t="str">
        <f>HYPERLINK("https%3A%2F%2Fwww.webofscience.com%2Fwos%2Fwoscc%2Ffull-record%2FWOS:000360758200012","View Full Record in Web of Science")</f>
        <v>View Full Record in Web of Science</v>
      </c>
    </row>
    <row r="232" spans="1:72" x14ac:dyDescent="0.15">
      <c r="A232" t="s">
        <v>72</v>
      </c>
      <c r="B232" t="s">
        <v>4797</v>
      </c>
      <c r="C232" t="s">
        <v>74</v>
      </c>
      <c r="D232" t="s">
        <v>74</v>
      </c>
      <c r="E232" t="s">
        <v>74</v>
      </c>
      <c r="F232" t="s">
        <v>4798</v>
      </c>
      <c r="G232" t="s">
        <v>74</v>
      </c>
      <c r="H232" t="s">
        <v>74</v>
      </c>
      <c r="I232" t="s">
        <v>4799</v>
      </c>
      <c r="J232" t="s">
        <v>4800</v>
      </c>
      <c r="K232" t="s">
        <v>74</v>
      </c>
      <c r="L232" t="s">
        <v>74</v>
      </c>
      <c r="M232" t="s">
        <v>78</v>
      </c>
      <c r="N232" t="s">
        <v>79</v>
      </c>
      <c r="O232" t="s">
        <v>74</v>
      </c>
      <c r="P232" t="s">
        <v>74</v>
      </c>
      <c r="Q232" t="s">
        <v>74</v>
      </c>
      <c r="R232" t="s">
        <v>74</v>
      </c>
      <c r="S232" t="s">
        <v>74</v>
      </c>
      <c r="T232" t="s">
        <v>4801</v>
      </c>
      <c r="U232" t="s">
        <v>4802</v>
      </c>
      <c r="V232" t="s">
        <v>4803</v>
      </c>
      <c r="W232" t="s">
        <v>4804</v>
      </c>
      <c r="X232" t="s">
        <v>4805</v>
      </c>
      <c r="Y232" t="s">
        <v>4806</v>
      </c>
      <c r="Z232" t="s">
        <v>4807</v>
      </c>
      <c r="AA232" t="s">
        <v>74</v>
      </c>
      <c r="AB232" t="s">
        <v>4808</v>
      </c>
      <c r="AC232" t="s">
        <v>4809</v>
      </c>
      <c r="AD232" t="s">
        <v>4810</v>
      </c>
      <c r="AE232" t="s">
        <v>4811</v>
      </c>
      <c r="AF232" t="s">
        <v>74</v>
      </c>
      <c r="AG232">
        <v>68</v>
      </c>
      <c r="AH232">
        <v>18</v>
      </c>
      <c r="AI232">
        <v>22</v>
      </c>
      <c r="AJ232">
        <v>0</v>
      </c>
      <c r="AK232">
        <v>14</v>
      </c>
      <c r="AL232" t="s">
        <v>496</v>
      </c>
      <c r="AM232" t="s">
        <v>398</v>
      </c>
      <c r="AN232" t="s">
        <v>497</v>
      </c>
      <c r="AO232" t="s">
        <v>4812</v>
      </c>
      <c r="AP232" t="s">
        <v>4813</v>
      </c>
      <c r="AQ232" t="s">
        <v>74</v>
      </c>
      <c r="AR232" t="s">
        <v>4814</v>
      </c>
      <c r="AS232" t="s">
        <v>4815</v>
      </c>
      <c r="AT232" t="s">
        <v>2170</v>
      </c>
      <c r="AU232">
        <v>2015</v>
      </c>
      <c r="AV232">
        <v>30</v>
      </c>
      <c r="AW232" t="s">
        <v>74</v>
      </c>
      <c r="AX232" t="s">
        <v>4816</v>
      </c>
      <c r="AY232" t="s">
        <v>74</v>
      </c>
      <c r="AZ232" t="s">
        <v>74</v>
      </c>
      <c r="BA232" t="s">
        <v>74</v>
      </c>
      <c r="BB232">
        <v>114</v>
      </c>
      <c r="BC232">
        <v>131</v>
      </c>
      <c r="BD232" t="s">
        <v>74</v>
      </c>
      <c r="BE232" t="s">
        <v>4817</v>
      </c>
      <c r="BF232" t="str">
        <f>HYPERLINK("http://dx.doi.org/10.1016/j.quageo.2015.09.001","http://dx.doi.org/10.1016/j.quageo.2015.09.001")</f>
        <v>http://dx.doi.org/10.1016/j.quageo.2015.09.001</v>
      </c>
      <c r="BG232" t="s">
        <v>74</v>
      </c>
      <c r="BH232" t="s">
        <v>74</v>
      </c>
      <c r="BI232">
        <v>18</v>
      </c>
      <c r="BJ232" t="s">
        <v>1778</v>
      </c>
      <c r="BK232" t="s">
        <v>101</v>
      </c>
      <c r="BL232" t="s">
        <v>1779</v>
      </c>
      <c r="BM232" t="s">
        <v>4818</v>
      </c>
      <c r="BN232" t="s">
        <v>74</v>
      </c>
      <c r="BO232" t="s">
        <v>1509</v>
      </c>
      <c r="BP232" t="s">
        <v>74</v>
      </c>
      <c r="BQ232" t="s">
        <v>74</v>
      </c>
      <c r="BR232" t="s">
        <v>103</v>
      </c>
      <c r="BS232" t="s">
        <v>4819</v>
      </c>
      <c r="BT232" t="str">
        <f>HYPERLINK("https%3A%2F%2Fwww.webofscience.com%2Fwos%2Fwoscc%2Ffull-record%2FWOS:000366538100013","View Full Record in Web of Science")</f>
        <v>View Full Record in Web of Science</v>
      </c>
    </row>
    <row r="233" spans="1:72" x14ac:dyDescent="0.15">
      <c r="A233" t="s">
        <v>72</v>
      </c>
      <c r="B233" t="s">
        <v>4820</v>
      </c>
      <c r="C233" t="s">
        <v>74</v>
      </c>
      <c r="D233" t="s">
        <v>74</v>
      </c>
      <c r="E233" t="s">
        <v>74</v>
      </c>
      <c r="F233" t="s">
        <v>4821</v>
      </c>
      <c r="G233" t="s">
        <v>74</v>
      </c>
      <c r="H233" t="s">
        <v>74</v>
      </c>
      <c r="I233" t="s">
        <v>4822</v>
      </c>
      <c r="J233" t="s">
        <v>1761</v>
      </c>
      <c r="K233" t="s">
        <v>74</v>
      </c>
      <c r="L233" t="s">
        <v>74</v>
      </c>
      <c r="M233" t="s">
        <v>78</v>
      </c>
      <c r="N233" t="s">
        <v>581</v>
      </c>
      <c r="O233" t="s">
        <v>74</v>
      </c>
      <c r="P233" t="s">
        <v>74</v>
      </c>
      <c r="Q233" t="s">
        <v>74</v>
      </c>
      <c r="R233" t="s">
        <v>74</v>
      </c>
      <c r="S233" t="s">
        <v>74</v>
      </c>
      <c r="T233" t="s">
        <v>4823</v>
      </c>
      <c r="U233" t="s">
        <v>4824</v>
      </c>
      <c r="V233" t="s">
        <v>4825</v>
      </c>
      <c r="W233" t="s">
        <v>4826</v>
      </c>
      <c r="X233" t="s">
        <v>4827</v>
      </c>
      <c r="Y233" t="s">
        <v>4828</v>
      </c>
      <c r="Z233" t="s">
        <v>4829</v>
      </c>
      <c r="AA233" t="s">
        <v>4830</v>
      </c>
      <c r="AB233" t="s">
        <v>4831</v>
      </c>
      <c r="AC233" t="s">
        <v>4832</v>
      </c>
      <c r="AD233" t="s">
        <v>4833</v>
      </c>
      <c r="AE233" t="s">
        <v>4834</v>
      </c>
      <c r="AF233" t="s">
        <v>74</v>
      </c>
      <c r="AG233">
        <v>396</v>
      </c>
      <c r="AH233">
        <v>120</v>
      </c>
      <c r="AI233">
        <v>134</v>
      </c>
      <c r="AJ233">
        <v>0</v>
      </c>
      <c r="AK233">
        <v>102</v>
      </c>
      <c r="AL233" t="s">
        <v>397</v>
      </c>
      <c r="AM233" t="s">
        <v>398</v>
      </c>
      <c r="AN233" t="s">
        <v>399</v>
      </c>
      <c r="AO233" t="s">
        <v>1774</v>
      </c>
      <c r="AP233" t="s">
        <v>74</v>
      </c>
      <c r="AQ233" t="s">
        <v>74</v>
      </c>
      <c r="AR233" t="s">
        <v>1775</v>
      </c>
      <c r="AS233" t="s">
        <v>1776</v>
      </c>
      <c r="AT233" t="s">
        <v>2847</v>
      </c>
      <c r="AU233">
        <v>2015</v>
      </c>
      <c r="AV233">
        <v>125</v>
      </c>
      <c r="AW233" t="s">
        <v>74</v>
      </c>
      <c r="AX233" t="s">
        <v>74</v>
      </c>
      <c r="AY233" t="s">
        <v>74</v>
      </c>
      <c r="AZ233" t="s">
        <v>74</v>
      </c>
      <c r="BA233" t="s">
        <v>74</v>
      </c>
      <c r="BB233">
        <v>15</v>
      </c>
      <c r="BC233">
        <v>49</v>
      </c>
      <c r="BD233" t="s">
        <v>74</v>
      </c>
      <c r="BE233" t="s">
        <v>4835</v>
      </c>
      <c r="BF233" t="str">
        <f>HYPERLINK("http://dx.doi.org/10.1016/j.quascirev.2015.07.016","http://dx.doi.org/10.1016/j.quascirev.2015.07.016")</f>
        <v>http://dx.doi.org/10.1016/j.quascirev.2015.07.016</v>
      </c>
      <c r="BG233" t="s">
        <v>74</v>
      </c>
      <c r="BH233" t="s">
        <v>74</v>
      </c>
      <c r="BI233">
        <v>35</v>
      </c>
      <c r="BJ233" t="s">
        <v>1778</v>
      </c>
      <c r="BK233" t="s">
        <v>101</v>
      </c>
      <c r="BL233" t="s">
        <v>1779</v>
      </c>
      <c r="BM233" t="s">
        <v>3326</v>
      </c>
      <c r="BN233" t="s">
        <v>74</v>
      </c>
      <c r="BO233" t="s">
        <v>4836</v>
      </c>
      <c r="BP233" t="s">
        <v>74</v>
      </c>
      <c r="BQ233" t="s">
        <v>74</v>
      </c>
      <c r="BR233" t="s">
        <v>103</v>
      </c>
      <c r="BS233" t="s">
        <v>4837</v>
      </c>
      <c r="BT233" t="str">
        <f>HYPERLINK("https%3A%2F%2Fwww.webofscience.com%2Fwos%2Fwoscc%2Ffull-record%2FWOS:000362049400002","View Full Record in Web of Science")</f>
        <v>View Full Record in Web of Science</v>
      </c>
    </row>
    <row r="234" spans="1:72" x14ac:dyDescent="0.15">
      <c r="A234" t="s">
        <v>72</v>
      </c>
      <c r="B234" t="s">
        <v>4838</v>
      </c>
      <c r="C234" t="s">
        <v>74</v>
      </c>
      <c r="D234" t="s">
        <v>74</v>
      </c>
      <c r="E234" t="s">
        <v>74</v>
      </c>
      <c r="F234" t="s">
        <v>4839</v>
      </c>
      <c r="G234" t="s">
        <v>74</v>
      </c>
      <c r="H234" t="s">
        <v>74</v>
      </c>
      <c r="I234" t="s">
        <v>4840</v>
      </c>
      <c r="J234" t="s">
        <v>4841</v>
      </c>
      <c r="K234" t="s">
        <v>74</v>
      </c>
      <c r="L234" t="s">
        <v>74</v>
      </c>
      <c r="M234" t="s">
        <v>78</v>
      </c>
      <c r="N234" t="s">
        <v>79</v>
      </c>
      <c r="O234" t="s">
        <v>74</v>
      </c>
      <c r="P234" t="s">
        <v>74</v>
      </c>
      <c r="Q234" t="s">
        <v>74</v>
      </c>
      <c r="R234" t="s">
        <v>74</v>
      </c>
      <c r="S234" t="s">
        <v>74</v>
      </c>
      <c r="T234" t="s">
        <v>4842</v>
      </c>
      <c r="U234" t="s">
        <v>4843</v>
      </c>
      <c r="V234" t="s">
        <v>4844</v>
      </c>
      <c r="W234" t="s">
        <v>4845</v>
      </c>
      <c r="X234" t="s">
        <v>4846</v>
      </c>
      <c r="Y234" t="s">
        <v>4847</v>
      </c>
      <c r="Z234" t="s">
        <v>4848</v>
      </c>
      <c r="AA234" t="s">
        <v>74</v>
      </c>
      <c r="AB234" t="s">
        <v>74</v>
      </c>
      <c r="AC234" t="s">
        <v>74</v>
      </c>
      <c r="AD234" t="s">
        <v>74</v>
      </c>
      <c r="AE234" t="s">
        <v>74</v>
      </c>
      <c r="AF234" t="s">
        <v>74</v>
      </c>
      <c r="AG234">
        <v>406</v>
      </c>
      <c r="AH234">
        <v>22</v>
      </c>
      <c r="AI234">
        <v>26</v>
      </c>
      <c r="AJ234">
        <v>3</v>
      </c>
      <c r="AK234">
        <v>245</v>
      </c>
      <c r="AL234" t="s">
        <v>208</v>
      </c>
      <c r="AM234" t="s">
        <v>209</v>
      </c>
      <c r="AN234" t="s">
        <v>210</v>
      </c>
      <c r="AO234" t="s">
        <v>4849</v>
      </c>
      <c r="AP234" t="s">
        <v>4850</v>
      </c>
      <c r="AQ234" t="s">
        <v>74</v>
      </c>
      <c r="AR234" t="s">
        <v>4851</v>
      </c>
      <c r="AS234" t="s">
        <v>4852</v>
      </c>
      <c r="AT234" t="s">
        <v>2170</v>
      </c>
      <c r="AU234">
        <v>2015</v>
      </c>
      <c r="AV234">
        <v>87</v>
      </c>
      <c r="AW234">
        <v>10</v>
      </c>
      <c r="AX234" t="s">
        <v>74</v>
      </c>
      <c r="AY234" t="s">
        <v>74</v>
      </c>
      <c r="AZ234" t="s">
        <v>74</v>
      </c>
      <c r="BA234" t="s">
        <v>74</v>
      </c>
      <c r="BB234">
        <v>1718</v>
      </c>
      <c r="BC234">
        <v>1816</v>
      </c>
      <c r="BD234" t="s">
        <v>74</v>
      </c>
      <c r="BE234" t="s">
        <v>4853</v>
      </c>
      <c r="BF234" t="str">
        <f>HYPERLINK("http://dx.doi.org/10.2175/106143015X14338845156380","http://dx.doi.org/10.2175/106143015X14338845156380")</f>
        <v>http://dx.doi.org/10.2175/106143015X14338845156380</v>
      </c>
      <c r="BG234" t="s">
        <v>74</v>
      </c>
      <c r="BH234" t="s">
        <v>74</v>
      </c>
      <c r="BI234">
        <v>99</v>
      </c>
      <c r="BJ234" t="s">
        <v>4854</v>
      </c>
      <c r="BK234" t="s">
        <v>101</v>
      </c>
      <c r="BL234" t="s">
        <v>4855</v>
      </c>
      <c r="BM234" t="s">
        <v>4856</v>
      </c>
      <c r="BN234">
        <v>26420104</v>
      </c>
      <c r="BO234" t="s">
        <v>162</v>
      </c>
      <c r="BP234" t="s">
        <v>74</v>
      </c>
      <c r="BQ234" t="s">
        <v>74</v>
      </c>
      <c r="BR234" t="s">
        <v>103</v>
      </c>
      <c r="BS234" t="s">
        <v>4857</v>
      </c>
      <c r="BT234" t="str">
        <f>HYPERLINK("https%3A%2F%2Fwww.webofscience.com%2Fwos%2Fwoscc%2Ffull-record%2FWOS:001000856700032","View Full Record in Web of Science")</f>
        <v>View Full Record in Web of Science</v>
      </c>
    </row>
    <row r="235" spans="1:72" x14ac:dyDescent="0.15">
      <c r="A235" t="s">
        <v>72</v>
      </c>
      <c r="B235" t="s">
        <v>4858</v>
      </c>
      <c r="C235" t="s">
        <v>74</v>
      </c>
      <c r="D235" t="s">
        <v>74</v>
      </c>
      <c r="E235" t="s">
        <v>74</v>
      </c>
      <c r="F235" t="s">
        <v>4859</v>
      </c>
      <c r="G235" t="s">
        <v>74</v>
      </c>
      <c r="H235" t="s">
        <v>74</v>
      </c>
      <c r="I235" t="s">
        <v>4860</v>
      </c>
      <c r="J235" t="s">
        <v>4861</v>
      </c>
      <c r="K235" t="s">
        <v>74</v>
      </c>
      <c r="L235" t="s">
        <v>74</v>
      </c>
      <c r="M235" t="s">
        <v>78</v>
      </c>
      <c r="N235" t="s">
        <v>79</v>
      </c>
      <c r="O235" t="s">
        <v>74</v>
      </c>
      <c r="P235" t="s">
        <v>74</v>
      </c>
      <c r="Q235" t="s">
        <v>74</v>
      </c>
      <c r="R235" t="s">
        <v>74</v>
      </c>
      <c r="S235" t="s">
        <v>74</v>
      </c>
      <c r="T235" t="s">
        <v>4862</v>
      </c>
      <c r="U235" t="s">
        <v>4863</v>
      </c>
      <c r="V235" t="s">
        <v>4864</v>
      </c>
      <c r="W235" t="s">
        <v>4865</v>
      </c>
      <c r="X235" t="s">
        <v>4866</v>
      </c>
      <c r="Y235" t="s">
        <v>4867</v>
      </c>
      <c r="Z235" t="s">
        <v>4868</v>
      </c>
      <c r="AA235" t="s">
        <v>4869</v>
      </c>
      <c r="AB235" t="s">
        <v>4870</v>
      </c>
      <c r="AC235" t="s">
        <v>4871</v>
      </c>
      <c r="AD235" t="s">
        <v>4872</v>
      </c>
      <c r="AE235" t="s">
        <v>4873</v>
      </c>
      <c r="AF235" t="s">
        <v>74</v>
      </c>
      <c r="AG235">
        <v>51</v>
      </c>
      <c r="AH235">
        <v>33</v>
      </c>
      <c r="AI235">
        <v>36</v>
      </c>
      <c r="AJ235">
        <v>0</v>
      </c>
      <c r="AK235">
        <v>23</v>
      </c>
      <c r="AL235" t="s">
        <v>2279</v>
      </c>
      <c r="AM235" t="s">
        <v>398</v>
      </c>
      <c r="AN235" t="s">
        <v>2280</v>
      </c>
      <c r="AO235" t="s">
        <v>4874</v>
      </c>
      <c r="AP235" t="s">
        <v>4875</v>
      </c>
      <c r="AQ235" t="s">
        <v>74</v>
      </c>
      <c r="AR235" t="s">
        <v>4876</v>
      </c>
      <c r="AS235" t="s">
        <v>4877</v>
      </c>
      <c r="AT235" t="s">
        <v>2170</v>
      </c>
      <c r="AU235">
        <v>2015</v>
      </c>
      <c r="AV235">
        <v>175</v>
      </c>
      <c r="AW235">
        <v>2</v>
      </c>
      <c r="AX235" t="s">
        <v>74</v>
      </c>
      <c r="AY235" t="s">
        <v>74</v>
      </c>
      <c r="AZ235" t="s">
        <v>74</v>
      </c>
      <c r="BA235" t="s">
        <v>74</v>
      </c>
      <c r="BB235">
        <v>319</v>
      </c>
      <c r="BC235">
        <v>335</v>
      </c>
      <c r="BD235" t="s">
        <v>74</v>
      </c>
      <c r="BE235" t="s">
        <v>4878</v>
      </c>
      <c r="BF235" t="str">
        <f>HYPERLINK("http://dx.doi.org/10.1111/zoj.12279","http://dx.doi.org/10.1111/zoj.12279")</f>
        <v>http://dx.doi.org/10.1111/zoj.12279</v>
      </c>
      <c r="BG235" t="s">
        <v>74</v>
      </c>
      <c r="BH235" t="s">
        <v>74</v>
      </c>
      <c r="BI235">
        <v>17</v>
      </c>
      <c r="BJ235" t="s">
        <v>243</v>
      </c>
      <c r="BK235" t="s">
        <v>101</v>
      </c>
      <c r="BL235" t="s">
        <v>243</v>
      </c>
      <c r="BM235" t="s">
        <v>4879</v>
      </c>
      <c r="BN235" t="s">
        <v>74</v>
      </c>
      <c r="BO235" t="s">
        <v>1528</v>
      </c>
      <c r="BP235" t="s">
        <v>74</v>
      </c>
      <c r="BQ235" t="s">
        <v>74</v>
      </c>
      <c r="BR235" t="s">
        <v>103</v>
      </c>
      <c r="BS235" t="s">
        <v>4880</v>
      </c>
      <c r="BT235" t="str">
        <f>HYPERLINK("https%3A%2F%2Fwww.webofscience.com%2Fwos%2Fwoscc%2Ffull-record%2FWOS:000363445700006","View Full Record in Web of Science")</f>
        <v>View Full Record in Web of Science</v>
      </c>
    </row>
    <row r="236" spans="1:72" x14ac:dyDescent="0.15">
      <c r="A236" t="s">
        <v>72</v>
      </c>
      <c r="B236" t="s">
        <v>4881</v>
      </c>
      <c r="C236" t="s">
        <v>74</v>
      </c>
      <c r="D236" t="s">
        <v>74</v>
      </c>
      <c r="E236" t="s">
        <v>74</v>
      </c>
      <c r="F236" t="s">
        <v>4882</v>
      </c>
      <c r="G236" t="s">
        <v>74</v>
      </c>
      <c r="H236" t="s">
        <v>74</v>
      </c>
      <c r="I236" t="s">
        <v>4883</v>
      </c>
      <c r="J236" t="s">
        <v>4097</v>
      </c>
      <c r="K236" t="s">
        <v>74</v>
      </c>
      <c r="L236" t="s">
        <v>74</v>
      </c>
      <c r="M236" t="s">
        <v>78</v>
      </c>
      <c r="N236" t="s">
        <v>581</v>
      </c>
      <c r="O236" t="s">
        <v>74</v>
      </c>
      <c r="P236" t="s">
        <v>74</v>
      </c>
      <c r="Q236" t="s">
        <v>74</v>
      </c>
      <c r="R236" t="s">
        <v>74</v>
      </c>
      <c r="S236" t="s">
        <v>74</v>
      </c>
      <c r="T236" t="s">
        <v>4884</v>
      </c>
      <c r="U236" t="s">
        <v>4885</v>
      </c>
      <c r="V236" t="s">
        <v>4886</v>
      </c>
      <c r="W236" t="s">
        <v>4887</v>
      </c>
      <c r="X236" t="s">
        <v>4888</v>
      </c>
      <c r="Y236" t="s">
        <v>4889</v>
      </c>
      <c r="Z236" t="s">
        <v>4890</v>
      </c>
      <c r="AA236" t="s">
        <v>4891</v>
      </c>
      <c r="AB236" t="s">
        <v>4892</v>
      </c>
      <c r="AC236" t="s">
        <v>4893</v>
      </c>
      <c r="AD236" t="s">
        <v>4893</v>
      </c>
      <c r="AE236" t="s">
        <v>4894</v>
      </c>
      <c r="AF236" t="s">
        <v>74</v>
      </c>
      <c r="AG236">
        <v>152</v>
      </c>
      <c r="AH236">
        <v>34</v>
      </c>
      <c r="AI236">
        <v>34</v>
      </c>
      <c r="AJ236">
        <v>3</v>
      </c>
      <c r="AK236">
        <v>38</v>
      </c>
      <c r="AL236" t="s">
        <v>883</v>
      </c>
      <c r="AM236" t="s">
        <v>884</v>
      </c>
      <c r="AN236" t="s">
        <v>885</v>
      </c>
      <c r="AO236" t="s">
        <v>4107</v>
      </c>
      <c r="AP236" t="s">
        <v>4108</v>
      </c>
      <c r="AQ236" t="s">
        <v>74</v>
      </c>
      <c r="AR236" t="s">
        <v>4109</v>
      </c>
      <c r="AS236" t="s">
        <v>4110</v>
      </c>
      <c r="AT236" t="s">
        <v>2170</v>
      </c>
      <c r="AU236">
        <v>2015</v>
      </c>
      <c r="AV236">
        <v>28</v>
      </c>
      <c r="AW236">
        <v>3</v>
      </c>
      <c r="AX236" t="s">
        <v>74</v>
      </c>
      <c r="AY236" t="s">
        <v>74</v>
      </c>
      <c r="AZ236" t="s">
        <v>74</v>
      </c>
      <c r="BA236" t="s">
        <v>74</v>
      </c>
      <c r="BB236">
        <v>933</v>
      </c>
      <c r="BC236">
        <v>953</v>
      </c>
      <c r="BD236" t="s">
        <v>74</v>
      </c>
      <c r="BE236" t="s">
        <v>4895</v>
      </c>
      <c r="BF236" t="str">
        <f>HYPERLINK("http://dx.doi.org/10.1016/j.gr.2015.04.001","http://dx.doi.org/10.1016/j.gr.2015.04.001")</f>
        <v>http://dx.doi.org/10.1016/j.gr.2015.04.001</v>
      </c>
      <c r="BG236" t="s">
        <v>74</v>
      </c>
      <c r="BH236" t="s">
        <v>74</v>
      </c>
      <c r="BI236">
        <v>21</v>
      </c>
      <c r="BJ236" t="s">
        <v>314</v>
      </c>
      <c r="BK236" t="s">
        <v>101</v>
      </c>
      <c r="BL236" t="s">
        <v>315</v>
      </c>
      <c r="BM236" t="s">
        <v>4112</v>
      </c>
      <c r="BN236" t="s">
        <v>74</v>
      </c>
      <c r="BO236" t="s">
        <v>559</v>
      </c>
      <c r="BP236" t="s">
        <v>74</v>
      </c>
      <c r="BQ236" t="s">
        <v>74</v>
      </c>
      <c r="BR236" t="s">
        <v>103</v>
      </c>
      <c r="BS236" t="s">
        <v>4896</v>
      </c>
      <c r="BT236" t="str">
        <f>HYPERLINK("https%3A%2F%2Fwww.webofscience.com%2Fwos%2Fwoscc%2Ffull-record%2FWOS:000361074800002","View Full Record in Web of Science")</f>
        <v>View Full Record in Web of Science</v>
      </c>
    </row>
    <row r="237" spans="1:72" x14ac:dyDescent="0.15">
      <c r="A237" t="s">
        <v>72</v>
      </c>
      <c r="B237" t="s">
        <v>4897</v>
      </c>
      <c r="C237" t="s">
        <v>74</v>
      </c>
      <c r="D237" t="s">
        <v>74</v>
      </c>
      <c r="E237" t="s">
        <v>74</v>
      </c>
      <c r="F237" t="s">
        <v>4898</v>
      </c>
      <c r="G237" t="s">
        <v>74</v>
      </c>
      <c r="H237" t="s">
        <v>74</v>
      </c>
      <c r="I237" t="s">
        <v>4899</v>
      </c>
      <c r="J237" t="s">
        <v>4097</v>
      </c>
      <c r="K237" t="s">
        <v>74</v>
      </c>
      <c r="L237" t="s">
        <v>74</v>
      </c>
      <c r="M237" t="s">
        <v>78</v>
      </c>
      <c r="N237" t="s">
        <v>79</v>
      </c>
      <c r="O237" t="s">
        <v>74</v>
      </c>
      <c r="P237" t="s">
        <v>74</v>
      </c>
      <c r="Q237" t="s">
        <v>74</v>
      </c>
      <c r="R237" t="s">
        <v>74</v>
      </c>
      <c r="S237" t="s">
        <v>74</v>
      </c>
      <c r="T237" t="s">
        <v>4900</v>
      </c>
      <c r="U237" t="s">
        <v>4901</v>
      </c>
      <c r="V237" t="s">
        <v>4902</v>
      </c>
      <c r="W237" t="s">
        <v>4903</v>
      </c>
      <c r="X237" t="s">
        <v>4904</v>
      </c>
      <c r="Y237" t="s">
        <v>4905</v>
      </c>
      <c r="Z237" t="s">
        <v>4906</v>
      </c>
      <c r="AA237" t="s">
        <v>4907</v>
      </c>
      <c r="AB237" t="s">
        <v>4908</v>
      </c>
      <c r="AC237" t="s">
        <v>4909</v>
      </c>
      <c r="AD237" t="s">
        <v>4910</v>
      </c>
      <c r="AE237" t="s">
        <v>4911</v>
      </c>
      <c r="AF237" t="s">
        <v>74</v>
      </c>
      <c r="AG237">
        <v>62</v>
      </c>
      <c r="AH237">
        <v>28</v>
      </c>
      <c r="AI237">
        <v>31</v>
      </c>
      <c r="AJ237">
        <v>2</v>
      </c>
      <c r="AK237">
        <v>19</v>
      </c>
      <c r="AL237" t="s">
        <v>883</v>
      </c>
      <c r="AM237" t="s">
        <v>884</v>
      </c>
      <c r="AN237" t="s">
        <v>885</v>
      </c>
      <c r="AO237" t="s">
        <v>4107</v>
      </c>
      <c r="AP237" t="s">
        <v>4108</v>
      </c>
      <c r="AQ237" t="s">
        <v>74</v>
      </c>
      <c r="AR237" t="s">
        <v>4109</v>
      </c>
      <c r="AS237" t="s">
        <v>4110</v>
      </c>
      <c r="AT237" t="s">
        <v>2170</v>
      </c>
      <c r="AU237">
        <v>2015</v>
      </c>
      <c r="AV237">
        <v>28</v>
      </c>
      <c r="AW237">
        <v>3</v>
      </c>
      <c r="AX237" t="s">
        <v>74</v>
      </c>
      <c r="AY237" t="s">
        <v>74</v>
      </c>
      <c r="AZ237" t="s">
        <v>74</v>
      </c>
      <c r="BA237" t="s">
        <v>74</v>
      </c>
      <c r="BB237">
        <v>1019</v>
      </c>
      <c r="BC237">
        <v>1031</v>
      </c>
      <c r="BD237" t="s">
        <v>74</v>
      </c>
      <c r="BE237" t="s">
        <v>4912</v>
      </c>
      <c r="BF237" t="str">
        <f>HYPERLINK("http://dx.doi.org/10.1016/j.gr.2014.08.013","http://dx.doi.org/10.1016/j.gr.2014.08.013")</f>
        <v>http://dx.doi.org/10.1016/j.gr.2014.08.013</v>
      </c>
      <c r="BG237" t="s">
        <v>74</v>
      </c>
      <c r="BH237" t="s">
        <v>74</v>
      </c>
      <c r="BI237">
        <v>13</v>
      </c>
      <c r="BJ237" t="s">
        <v>314</v>
      </c>
      <c r="BK237" t="s">
        <v>101</v>
      </c>
      <c r="BL237" t="s">
        <v>315</v>
      </c>
      <c r="BM237" t="s">
        <v>4112</v>
      </c>
      <c r="BN237" t="s">
        <v>74</v>
      </c>
      <c r="BO237" t="s">
        <v>74</v>
      </c>
      <c r="BP237" t="s">
        <v>74</v>
      </c>
      <c r="BQ237" t="s">
        <v>74</v>
      </c>
      <c r="BR237" t="s">
        <v>103</v>
      </c>
      <c r="BS237" t="s">
        <v>4913</v>
      </c>
      <c r="BT237" t="str">
        <f>HYPERLINK("https%3A%2F%2Fwww.webofscience.com%2Fwos%2Fwoscc%2Ffull-record%2FWOS:000361074800007","View Full Record in Web of Science")</f>
        <v>View Full Record in Web of Science</v>
      </c>
    </row>
    <row r="238" spans="1:72" x14ac:dyDescent="0.15">
      <c r="A238" t="s">
        <v>72</v>
      </c>
      <c r="B238" t="s">
        <v>4914</v>
      </c>
      <c r="C238" t="s">
        <v>74</v>
      </c>
      <c r="D238" t="s">
        <v>74</v>
      </c>
      <c r="E238" t="s">
        <v>74</v>
      </c>
      <c r="F238" t="s">
        <v>4915</v>
      </c>
      <c r="G238" t="s">
        <v>74</v>
      </c>
      <c r="H238" t="s">
        <v>74</v>
      </c>
      <c r="I238" t="s">
        <v>4916</v>
      </c>
      <c r="J238" t="s">
        <v>4917</v>
      </c>
      <c r="K238" t="s">
        <v>74</v>
      </c>
      <c r="L238" t="s">
        <v>74</v>
      </c>
      <c r="M238" t="s">
        <v>78</v>
      </c>
      <c r="N238" t="s">
        <v>79</v>
      </c>
      <c r="O238" t="s">
        <v>74</v>
      </c>
      <c r="P238" t="s">
        <v>74</v>
      </c>
      <c r="Q238" t="s">
        <v>74</v>
      </c>
      <c r="R238" t="s">
        <v>74</v>
      </c>
      <c r="S238" t="s">
        <v>74</v>
      </c>
      <c r="T238" t="s">
        <v>4918</v>
      </c>
      <c r="U238" t="s">
        <v>4919</v>
      </c>
      <c r="V238" t="s">
        <v>4920</v>
      </c>
      <c r="W238" t="s">
        <v>4921</v>
      </c>
      <c r="X238" t="s">
        <v>4922</v>
      </c>
      <c r="Y238" t="s">
        <v>4923</v>
      </c>
      <c r="Z238" t="s">
        <v>4924</v>
      </c>
      <c r="AA238" t="s">
        <v>74</v>
      </c>
      <c r="AB238" t="s">
        <v>4925</v>
      </c>
      <c r="AC238" t="s">
        <v>4922</v>
      </c>
      <c r="AD238" t="s">
        <v>4922</v>
      </c>
      <c r="AE238" t="s">
        <v>4926</v>
      </c>
      <c r="AF238" t="s">
        <v>74</v>
      </c>
      <c r="AG238">
        <v>57</v>
      </c>
      <c r="AH238">
        <v>6</v>
      </c>
      <c r="AI238">
        <v>8</v>
      </c>
      <c r="AJ238">
        <v>1</v>
      </c>
      <c r="AK238">
        <v>32</v>
      </c>
      <c r="AL238" t="s">
        <v>397</v>
      </c>
      <c r="AM238" t="s">
        <v>398</v>
      </c>
      <c r="AN238" t="s">
        <v>399</v>
      </c>
      <c r="AO238" t="s">
        <v>4927</v>
      </c>
      <c r="AP238" t="s">
        <v>74</v>
      </c>
      <c r="AQ238" t="s">
        <v>74</v>
      </c>
      <c r="AR238" t="s">
        <v>4928</v>
      </c>
      <c r="AS238" t="s">
        <v>4929</v>
      </c>
      <c r="AT238" t="s">
        <v>2170</v>
      </c>
      <c r="AU238">
        <v>2015</v>
      </c>
      <c r="AV238">
        <v>87</v>
      </c>
      <c r="AW238" t="s">
        <v>74</v>
      </c>
      <c r="AX238" t="s">
        <v>74</v>
      </c>
      <c r="AY238" t="s">
        <v>74</v>
      </c>
      <c r="AZ238" t="s">
        <v>74</v>
      </c>
      <c r="BA238" t="s">
        <v>74</v>
      </c>
      <c r="BB238">
        <v>55</v>
      </c>
      <c r="BC238">
        <v>67</v>
      </c>
      <c r="BD238" t="s">
        <v>74</v>
      </c>
      <c r="BE238" t="s">
        <v>4930</v>
      </c>
      <c r="BF238" t="str">
        <f>HYPERLINK("http://dx.doi.org/10.1016/j.orggeochem.2015.07.003","http://dx.doi.org/10.1016/j.orggeochem.2015.07.003")</f>
        <v>http://dx.doi.org/10.1016/j.orggeochem.2015.07.003</v>
      </c>
      <c r="BG238" t="s">
        <v>74</v>
      </c>
      <c r="BH238" t="s">
        <v>74</v>
      </c>
      <c r="BI238">
        <v>13</v>
      </c>
      <c r="BJ238" t="s">
        <v>1707</v>
      </c>
      <c r="BK238" t="s">
        <v>101</v>
      </c>
      <c r="BL238" t="s">
        <v>1707</v>
      </c>
      <c r="BM238" t="s">
        <v>4931</v>
      </c>
      <c r="BN238" t="s">
        <v>74</v>
      </c>
      <c r="BO238" t="s">
        <v>74</v>
      </c>
      <c r="BP238" t="s">
        <v>74</v>
      </c>
      <c r="BQ238" t="s">
        <v>74</v>
      </c>
      <c r="BR238" t="s">
        <v>103</v>
      </c>
      <c r="BS238" t="s">
        <v>4932</v>
      </c>
      <c r="BT238" t="str">
        <f>HYPERLINK("https%3A%2F%2Fwww.webofscience.com%2Fwos%2Fwoscc%2Ffull-record%2FWOS:000360655100006","View Full Record in Web of Science")</f>
        <v>View Full Record in Web of Science</v>
      </c>
    </row>
    <row r="239" spans="1:72" x14ac:dyDescent="0.15">
      <c r="A239" t="s">
        <v>72</v>
      </c>
      <c r="B239" t="s">
        <v>4933</v>
      </c>
      <c r="C239" t="s">
        <v>74</v>
      </c>
      <c r="D239" t="s">
        <v>74</v>
      </c>
      <c r="E239" t="s">
        <v>74</v>
      </c>
      <c r="F239" t="s">
        <v>4934</v>
      </c>
      <c r="G239" t="s">
        <v>74</v>
      </c>
      <c r="H239" t="s">
        <v>74</v>
      </c>
      <c r="I239" t="s">
        <v>4935</v>
      </c>
      <c r="J239" t="s">
        <v>4759</v>
      </c>
      <c r="K239" t="s">
        <v>74</v>
      </c>
      <c r="L239" t="s">
        <v>74</v>
      </c>
      <c r="M239" t="s">
        <v>78</v>
      </c>
      <c r="N239" t="s">
        <v>79</v>
      </c>
      <c r="O239" t="s">
        <v>74</v>
      </c>
      <c r="P239" t="s">
        <v>74</v>
      </c>
      <c r="Q239" t="s">
        <v>74</v>
      </c>
      <c r="R239" t="s">
        <v>74</v>
      </c>
      <c r="S239" t="s">
        <v>74</v>
      </c>
      <c r="T239" t="s">
        <v>4936</v>
      </c>
      <c r="U239" t="s">
        <v>4937</v>
      </c>
      <c r="V239" t="s">
        <v>4938</v>
      </c>
      <c r="W239" t="s">
        <v>4939</v>
      </c>
      <c r="X239" t="s">
        <v>4940</v>
      </c>
      <c r="Y239" t="s">
        <v>4941</v>
      </c>
      <c r="Z239" t="s">
        <v>4942</v>
      </c>
      <c r="AA239" t="s">
        <v>4943</v>
      </c>
      <c r="AB239" t="s">
        <v>4944</v>
      </c>
      <c r="AC239" t="s">
        <v>4945</v>
      </c>
      <c r="AD239" t="s">
        <v>4946</v>
      </c>
      <c r="AE239" t="s">
        <v>4947</v>
      </c>
      <c r="AF239" t="s">
        <v>74</v>
      </c>
      <c r="AG239">
        <v>43</v>
      </c>
      <c r="AH239">
        <v>50</v>
      </c>
      <c r="AI239">
        <v>56</v>
      </c>
      <c r="AJ239">
        <v>2</v>
      </c>
      <c r="AK239">
        <v>62</v>
      </c>
      <c r="AL239" t="s">
        <v>92</v>
      </c>
      <c r="AM239" t="s">
        <v>550</v>
      </c>
      <c r="AN239" t="s">
        <v>1398</v>
      </c>
      <c r="AO239" t="s">
        <v>4773</v>
      </c>
      <c r="AP239" t="s">
        <v>4774</v>
      </c>
      <c r="AQ239" t="s">
        <v>74</v>
      </c>
      <c r="AR239" t="s">
        <v>4775</v>
      </c>
      <c r="AS239" t="s">
        <v>4776</v>
      </c>
      <c r="AT239" t="s">
        <v>2170</v>
      </c>
      <c r="AU239">
        <v>2015</v>
      </c>
      <c r="AV239">
        <v>38</v>
      </c>
      <c r="AW239">
        <v>10</v>
      </c>
      <c r="AX239" t="s">
        <v>74</v>
      </c>
      <c r="AY239" t="s">
        <v>74</v>
      </c>
      <c r="AZ239" t="s">
        <v>74</v>
      </c>
      <c r="BA239" t="s">
        <v>74</v>
      </c>
      <c r="BB239">
        <v>1565</v>
      </c>
      <c r="BC239">
        <v>1574</v>
      </c>
      <c r="BD239" t="s">
        <v>74</v>
      </c>
      <c r="BE239" t="s">
        <v>4948</v>
      </c>
      <c r="BF239" t="str">
        <f>HYPERLINK("http://dx.doi.org/10.1007/s00300-015-1717-9","http://dx.doi.org/10.1007/s00300-015-1717-9")</f>
        <v>http://dx.doi.org/10.1007/s00300-015-1717-9</v>
      </c>
      <c r="BG239" t="s">
        <v>74</v>
      </c>
      <c r="BH239" t="s">
        <v>74</v>
      </c>
      <c r="BI239">
        <v>10</v>
      </c>
      <c r="BJ239" t="s">
        <v>4778</v>
      </c>
      <c r="BK239" t="s">
        <v>101</v>
      </c>
      <c r="BL239" t="s">
        <v>3806</v>
      </c>
      <c r="BM239" t="s">
        <v>4779</v>
      </c>
      <c r="BN239" t="s">
        <v>74</v>
      </c>
      <c r="BO239" t="s">
        <v>74</v>
      </c>
      <c r="BP239" t="s">
        <v>74</v>
      </c>
      <c r="BQ239" t="s">
        <v>74</v>
      </c>
      <c r="BR239" t="s">
        <v>103</v>
      </c>
      <c r="BS239" t="s">
        <v>4949</v>
      </c>
      <c r="BT239" t="str">
        <f>HYPERLINK("https%3A%2F%2Fwww.webofscience.com%2Fwos%2Fwoscc%2Ffull-record%2FWOS:000360758200001","View Full Record in Web of Science")</f>
        <v>View Full Record in Web of Science</v>
      </c>
    </row>
    <row r="240" spans="1:72" x14ac:dyDescent="0.15">
      <c r="A240" t="s">
        <v>72</v>
      </c>
      <c r="B240" t="s">
        <v>4950</v>
      </c>
      <c r="C240" t="s">
        <v>74</v>
      </c>
      <c r="D240" t="s">
        <v>74</v>
      </c>
      <c r="E240" t="s">
        <v>74</v>
      </c>
      <c r="F240" t="s">
        <v>4951</v>
      </c>
      <c r="G240" t="s">
        <v>74</v>
      </c>
      <c r="H240" t="s">
        <v>74</v>
      </c>
      <c r="I240" t="s">
        <v>4952</v>
      </c>
      <c r="J240" t="s">
        <v>4759</v>
      </c>
      <c r="K240" t="s">
        <v>74</v>
      </c>
      <c r="L240" t="s">
        <v>74</v>
      </c>
      <c r="M240" t="s">
        <v>78</v>
      </c>
      <c r="N240" t="s">
        <v>79</v>
      </c>
      <c r="O240" t="s">
        <v>74</v>
      </c>
      <c r="P240" t="s">
        <v>74</v>
      </c>
      <c r="Q240" t="s">
        <v>74</v>
      </c>
      <c r="R240" t="s">
        <v>74</v>
      </c>
      <c r="S240" t="s">
        <v>74</v>
      </c>
      <c r="T240" t="s">
        <v>4953</v>
      </c>
      <c r="U240" t="s">
        <v>4954</v>
      </c>
      <c r="V240" t="s">
        <v>4955</v>
      </c>
      <c r="W240" t="s">
        <v>4956</v>
      </c>
      <c r="X240" t="s">
        <v>4957</v>
      </c>
      <c r="Y240" t="s">
        <v>4958</v>
      </c>
      <c r="Z240" t="s">
        <v>4959</v>
      </c>
      <c r="AA240" t="s">
        <v>4960</v>
      </c>
      <c r="AB240" t="s">
        <v>4961</v>
      </c>
      <c r="AC240" t="s">
        <v>4962</v>
      </c>
      <c r="AD240" t="s">
        <v>4963</v>
      </c>
      <c r="AE240" t="s">
        <v>4964</v>
      </c>
      <c r="AF240" t="s">
        <v>74</v>
      </c>
      <c r="AG240">
        <v>44</v>
      </c>
      <c r="AH240">
        <v>15</v>
      </c>
      <c r="AI240">
        <v>15</v>
      </c>
      <c r="AJ240">
        <v>3</v>
      </c>
      <c r="AK240">
        <v>75</v>
      </c>
      <c r="AL240" t="s">
        <v>92</v>
      </c>
      <c r="AM240" t="s">
        <v>550</v>
      </c>
      <c r="AN240" t="s">
        <v>4772</v>
      </c>
      <c r="AO240" t="s">
        <v>4773</v>
      </c>
      <c r="AP240" t="s">
        <v>4774</v>
      </c>
      <c r="AQ240" t="s">
        <v>74</v>
      </c>
      <c r="AR240" t="s">
        <v>4775</v>
      </c>
      <c r="AS240" t="s">
        <v>4776</v>
      </c>
      <c r="AT240" t="s">
        <v>2170</v>
      </c>
      <c r="AU240">
        <v>2015</v>
      </c>
      <c r="AV240">
        <v>38</v>
      </c>
      <c r="AW240">
        <v>10</v>
      </c>
      <c r="AX240" t="s">
        <v>74</v>
      </c>
      <c r="AY240" t="s">
        <v>74</v>
      </c>
      <c r="AZ240" t="s">
        <v>74</v>
      </c>
      <c r="BA240" t="s">
        <v>74</v>
      </c>
      <c r="BB240">
        <v>1575</v>
      </c>
      <c r="BC240">
        <v>1581</v>
      </c>
      <c r="BD240" t="s">
        <v>74</v>
      </c>
      <c r="BE240" t="s">
        <v>4965</v>
      </c>
      <c r="BF240" t="str">
        <f>HYPERLINK("http://dx.doi.org/10.1007/s00300-015-1718-8","http://dx.doi.org/10.1007/s00300-015-1718-8")</f>
        <v>http://dx.doi.org/10.1007/s00300-015-1718-8</v>
      </c>
      <c r="BG240" t="s">
        <v>74</v>
      </c>
      <c r="BH240" t="s">
        <v>74</v>
      </c>
      <c r="BI240">
        <v>7</v>
      </c>
      <c r="BJ240" t="s">
        <v>4778</v>
      </c>
      <c r="BK240" t="s">
        <v>101</v>
      </c>
      <c r="BL240" t="s">
        <v>3806</v>
      </c>
      <c r="BM240" t="s">
        <v>4779</v>
      </c>
      <c r="BN240" t="s">
        <v>74</v>
      </c>
      <c r="BO240" t="s">
        <v>74</v>
      </c>
      <c r="BP240" t="s">
        <v>74</v>
      </c>
      <c r="BQ240" t="s">
        <v>74</v>
      </c>
      <c r="BR240" t="s">
        <v>103</v>
      </c>
      <c r="BS240" t="s">
        <v>4966</v>
      </c>
      <c r="BT240" t="str">
        <f>HYPERLINK("https%3A%2F%2Fwww.webofscience.com%2Fwos%2Fwoscc%2Ffull-record%2FWOS:000360758200002","View Full Record in Web of Science")</f>
        <v>View Full Record in Web of Science</v>
      </c>
    </row>
    <row r="241" spans="1:72" x14ac:dyDescent="0.15">
      <c r="A241" t="s">
        <v>72</v>
      </c>
      <c r="B241" t="s">
        <v>4967</v>
      </c>
      <c r="C241" t="s">
        <v>74</v>
      </c>
      <c r="D241" t="s">
        <v>74</v>
      </c>
      <c r="E241" t="s">
        <v>74</v>
      </c>
      <c r="F241" t="s">
        <v>4968</v>
      </c>
      <c r="G241" t="s">
        <v>74</v>
      </c>
      <c r="H241" t="s">
        <v>74</v>
      </c>
      <c r="I241" t="s">
        <v>4969</v>
      </c>
      <c r="J241" t="s">
        <v>4759</v>
      </c>
      <c r="K241" t="s">
        <v>74</v>
      </c>
      <c r="L241" t="s">
        <v>74</v>
      </c>
      <c r="M241" t="s">
        <v>78</v>
      </c>
      <c r="N241" t="s">
        <v>79</v>
      </c>
      <c r="O241" t="s">
        <v>74</v>
      </c>
      <c r="P241" t="s">
        <v>74</v>
      </c>
      <c r="Q241" t="s">
        <v>74</v>
      </c>
      <c r="R241" t="s">
        <v>74</v>
      </c>
      <c r="S241" t="s">
        <v>74</v>
      </c>
      <c r="T241" t="s">
        <v>4970</v>
      </c>
      <c r="U241" t="s">
        <v>4971</v>
      </c>
      <c r="V241" t="s">
        <v>4972</v>
      </c>
      <c r="W241" t="s">
        <v>4973</v>
      </c>
      <c r="X241" t="s">
        <v>4974</v>
      </c>
      <c r="Y241" t="s">
        <v>4975</v>
      </c>
      <c r="Z241" t="s">
        <v>4976</v>
      </c>
      <c r="AA241" t="s">
        <v>4977</v>
      </c>
      <c r="AB241" t="s">
        <v>4978</v>
      </c>
      <c r="AC241" t="s">
        <v>4979</v>
      </c>
      <c r="AD241" t="s">
        <v>4980</v>
      </c>
      <c r="AE241" t="s">
        <v>4981</v>
      </c>
      <c r="AF241" t="s">
        <v>74</v>
      </c>
      <c r="AG241">
        <v>67</v>
      </c>
      <c r="AH241">
        <v>5</v>
      </c>
      <c r="AI241">
        <v>5</v>
      </c>
      <c r="AJ241">
        <v>5</v>
      </c>
      <c r="AK241">
        <v>28</v>
      </c>
      <c r="AL241" t="s">
        <v>92</v>
      </c>
      <c r="AM241" t="s">
        <v>550</v>
      </c>
      <c r="AN241" t="s">
        <v>4772</v>
      </c>
      <c r="AO241" t="s">
        <v>4773</v>
      </c>
      <c r="AP241" t="s">
        <v>4774</v>
      </c>
      <c r="AQ241" t="s">
        <v>74</v>
      </c>
      <c r="AR241" t="s">
        <v>4775</v>
      </c>
      <c r="AS241" t="s">
        <v>4776</v>
      </c>
      <c r="AT241" t="s">
        <v>2170</v>
      </c>
      <c r="AU241">
        <v>2015</v>
      </c>
      <c r="AV241">
        <v>38</v>
      </c>
      <c r="AW241">
        <v>10</v>
      </c>
      <c r="AX241" t="s">
        <v>74</v>
      </c>
      <c r="AY241" t="s">
        <v>74</v>
      </c>
      <c r="AZ241" t="s">
        <v>74</v>
      </c>
      <c r="BA241" t="s">
        <v>74</v>
      </c>
      <c r="BB241">
        <v>1583</v>
      </c>
      <c r="BC241">
        <v>1596</v>
      </c>
      <c r="BD241" t="s">
        <v>74</v>
      </c>
      <c r="BE241" t="s">
        <v>4982</v>
      </c>
      <c r="BF241" t="str">
        <f>HYPERLINK("http://dx.doi.org/10.1007/s00300-015-1720-1","http://dx.doi.org/10.1007/s00300-015-1720-1")</f>
        <v>http://dx.doi.org/10.1007/s00300-015-1720-1</v>
      </c>
      <c r="BG241" t="s">
        <v>74</v>
      </c>
      <c r="BH241" t="s">
        <v>74</v>
      </c>
      <c r="BI241">
        <v>14</v>
      </c>
      <c r="BJ241" t="s">
        <v>4778</v>
      </c>
      <c r="BK241" t="s">
        <v>101</v>
      </c>
      <c r="BL241" t="s">
        <v>3806</v>
      </c>
      <c r="BM241" t="s">
        <v>4779</v>
      </c>
      <c r="BN241" t="s">
        <v>74</v>
      </c>
      <c r="BO241" t="s">
        <v>74</v>
      </c>
      <c r="BP241" t="s">
        <v>74</v>
      </c>
      <c r="BQ241" t="s">
        <v>74</v>
      </c>
      <c r="BR241" t="s">
        <v>103</v>
      </c>
      <c r="BS241" t="s">
        <v>4983</v>
      </c>
      <c r="BT241" t="str">
        <f>HYPERLINK("https%3A%2F%2Fwww.webofscience.com%2Fwos%2Fwoscc%2Ffull-record%2FWOS:000360758200003","View Full Record in Web of Science")</f>
        <v>View Full Record in Web of Science</v>
      </c>
    </row>
    <row r="242" spans="1:72" x14ac:dyDescent="0.15">
      <c r="A242" t="s">
        <v>72</v>
      </c>
      <c r="B242" t="s">
        <v>4984</v>
      </c>
      <c r="C242" t="s">
        <v>74</v>
      </c>
      <c r="D242" t="s">
        <v>74</v>
      </c>
      <c r="E242" t="s">
        <v>74</v>
      </c>
      <c r="F242" t="s">
        <v>4985</v>
      </c>
      <c r="G242" t="s">
        <v>74</v>
      </c>
      <c r="H242" t="s">
        <v>74</v>
      </c>
      <c r="I242" t="s">
        <v>4986</v>
      </c>
      <c r="J242" t="s">
        <v>4759</v>
      </c>
      <c r="K242" t="s">
        <v>74</v>
      </c>
      <c r="L242" t="s">
        <v>74</v>
      </c>
      <c r="M242" t="s">
        <v>78</v>
      </c>
      <c r="N242" t="s">
        <v>79</v>
      </c>
      <c r="O242" t="s">
        <v>74</v>
      </c>
      <c r="P242" t="s">
        <v>74</v>
      </c>
      <c r="Q242" t="s">
        <v>74</v>
      </c>
      <c r="R242" t="s">
        <v>74</v>
      </c>
      <c r="S242" t="s">
        <v>74</v>
      </c>
      <c r="T242" t="s">
        <v>4987</v>
      </c>
      <c r="U242" t="s">
        <v>4988</v>
      </c>
      <c r="V242" t="s">
        <v>4989</v>
      </c>
      <c r="W242" t="s">
        <v>4990</v>
      </c>
      <c r="X242" t="s">
        <v>4991</v>
      </c>
      <c r="Y242" t="s">
        <v>4992</v>
      </c>
      <c r="Z242" t="s">
        <v>4993</v>
      </c>
      <c r="AA242" t="s">
        <v>4994</v>
      </c>
      <c r="AB242" t="s">
        <v>4995</v>
      </c>
      <c r="AC242" t="s">
        <v>4996</v>
      </c>
      <c r="AD242" t="s">
        <v>4996</v>
      </c>
      <c r="AE242" t="s">
        <v>4997</v>
      </c>
      <c r="AF242" t="s">
        <v>74</v>
      </c>
      <c r="AG242">
        <v>22</v>
      </c>
      <c r="AH242">
        <v>4</v>
      </c>
      <c r="AI242">
        <v>4</v>
      </c>
      <c r="AJ242">
        <v>0</v>
      </c>
      <c r="AK242">
        <v>6</v>
      </c>
      <c r="AL242" t="s">
        <v>92</v>
      </c>
      <c r="AM242" t="s">
        <v>550</v>
      </c>
      <c r="AN242" t="s">
        <v>4772</v>
      </c>
      <c r="AO242" t="s">
        <v>4773</v>
      </c>
      <c r="AP242" t="s">
        <v>4774</v>
      </c>
      <c r="AQ242" t="s">
        <v>74</v>
      </c>
      <c r="AR242" t="s">
        <v>4775</v>
      </c>
      <c r="AS242" t="s">
        <v>4776</v>
      </c>
      <c r="AT242" t="s">
        <v>2170</v>
      </c>
      <c r="AU242">
        <v>2015</v>
      </c>
      <c r="AV242">
        <v>38</v>
      </c>
      <c r="AW242">
        <v>10</v>
      </c>
      <c r="AX242" t="s">
        <v>74</v>
      </c>
      <c r="AY242" t="s">
        <v>74</v>
      </c>
      <c r="AZ242" t="s">
        <v>74</v>
      </c>
      <c r="BA242" t="s">
        <v>74</v>
      </c>
      <c r="BB242">
        <v>1597</v>
      </c>
      <c r="BC242">
        <v>1603</v>
      </c>
      <c r="BD242" t="s">
        <v>74</v>
      </c>
      <c r="BE242" t="s">
        <v>4998</v>
      </c>
      <c r="BF242" t="str">
        <f>HYPERLINK("http://dx.doi.org/10.1007/s00300-015-1721-0","http://dx.doi.org/10.1007/s00300-015-1721-0")</f>
        <v>http://dx.doi.org/10.1007/s00300-015-1721-0</v>
      </c>
      <c r="BG242" t="s">
        <v>74</v>
      </c>
      <c r="BH242" t="s">
        <v>74</v>
      </c>
      <c r="BI242">
        <v>7</v>
      </c>
      <c r="BJ242" t="s">
        <v>4778</v>
      </c>
      <c r="BK242" t="s">
        <v>101</v>
      </c>
      <c r="BL242" t="s">
        <v>3806</v>
      </c>
      <c r="BM242" t="s">
        <v>4779</v>
      </c>
      <c r="BN242" t="s">
        <v>74</v>
      </c>
      <c r="BO242" t="s">
        <v>74</v>
      </c>
      <c r="BP242" t="s">
        <v>74</v>
      </c>
      <c r="BQ242" t="s">
        <v>74</v>
      </c>
      <c r="BR242" t="s">
        <v>103</v>
      </c>
      <c r="BS242" t="s">
        <v>4999</v>
      </c>
      <c r="BT242" t="str">
        <f>HYPERLINK("https%3A%2F%2Fwww.webofscience.com%2Fwos%2Fwoscc%2Ffull-record%2FWOS:000360758200004","View Full Record in Web of Science")</f>
        <v>View Full Record in Web of Science</v>
      </c>
    </row>
    <row r="243" spans="1:72" x14ac:dyDescent="0.15">
      <c r="A243" t="s">
        <v>72</v>
      </c>
      <c r="B243" t="s">
        <v>5000</v>
      </c>
      <c r="C243" t="s">
        <v>74</v>
      </c>
      <c r="D243" t="s">
        <v>74</v>
      </c>
      <c r="E243" t="s">
        <v>74</v>
      </c>
      <c r="F243" t="s">
        <v>5001</v>
      </c>
      <c r="G243" t="s">
        <v>74</v>
      </c>
      <c r="H243" t="s">
        <v>74</v>
      </c>
      <c r="I243" t="s">
        <v>5002</v>
      </c>
      <c r="J243" t="s">
        <v>4759</v>
      </c>
      <c r="K243" t="s">
        <v>74</v>
      </c>
      <c r="L243" t="s">
        <v>74</v>
      </c>
      <c r="M243" t="s">
        <v>78</v>
      </c>
      <c r="N243" t="s">
        <v>79</v>
      </c>
      <c r="O243" t="s">
        <v>74</v>
      </c>
      <c r="P243" t="s">
        <v>74</v>
      </c>
      <c r="Q243" t="s">
        <v>74</v>
      </c>
      <c r="R243" t="s">
        <v>74</v>
      </c>
      <c r="S243" t="s">
        <v>74</v>
      </c>
      <c r="T243" t="s">
        <v>5003</v>
      </c>
      <c r="U243" t="s">
        <v>5004</v>
      </c>
      <c r="V243" t="s">
        <v>5005</v>
      </c>
      <c r="W243" t="s">
        <v>5006</v>
      </c>
      <c r="X243" t="s">
        <v>5007</v>
      </c>
      <c r="Y243" t="s">
        <v>5008</v>
      </c>
      <c r="Z243" t="s">
        <v>5009</v>
      </c>
      <c r="AA243" t="s">
        <v>5010</v>
      </c>
      <c r="AB243" t="s">
        <v>5011</v>
      </c>
      <c r="AC243" t="s">
        <v>5012</v>
      </c>
      <c r="AD243" t="s">
        <v>5013</v>
      </c>
      <c r="AE243" t="s">
        <v>5014</v>
      </c>
      <c r="AF243" t="s">
        <v>74</v>
      </c>
      <c r="AG243">
        <v>48</v>
      </c>
      <c r="AH243">
        <v>7</v>
      </c>
      <c r="AI243">
        <v>7</v>
      </c>
      <c r="AJ243">
        <v>1</v>
      </c>
      <c r="AK243">
        <v>31</v>
      </c>
      <c r="AL243" t="s">
        <v>92</v>
      </c>
      <c r="AM243" t="s">
        <v>550</v>
      </c>
      <c r="AN243" t="s">
        <v>1398</v>
      </c>
      <c r="AO243" t="s">
        <v>4773</v>
      </c>
      <c r="AP243" t="s">
        <v>4774</v>
      </c>
      <c r="AQ243" t="s">
        <v>74</v>
      </c>
      <c r="AR243" t="s">
        <v>4775</v>
      </c>
      <c r="AS243" t="s">
        <v>4776</v>
      </c>
      <c r="AT243" t="s">
        <v>2170</v>
      </c>
      <c r="AU243">
        <v>2015</v>
      </c>
      <c r="AV243">
        <v>38</v>
      </c>
      <c r="AW243">
        <v>10</v>
      </c>
      <c r="AX243" t="s">
        <v>74</v>
      </c>
      <c r="AY243" t="s">
        <v>74</v>
      </c>
      <c r="AZ243" t="s">
        <v>74</v>
      </c>
      <c r="BA243" t="s">
        <v>74</v>
      </c>
      <c r="BB243">
        <v>1605</v>
      </c>
      <c r="BC243">
        <v>1612</v>
      </c>
      <c r="BD243" t="s">
        <v>74</v>
      </c>
      <c r="BE243" t="s">
        <v>5015</v>
      </c>
      <c r="BF243" t="str">
        <f>HYPERLINK("http://dx.doi.org/10.1007/s00300-015-1722-z","http://dx.doi.org/10.1007/s00300-015-1722-z")</f>
        <v>http://dx.doi.org/10.1007/s00300-015-1722-z</v>
      </c>
      <c r="BG243" t="s">
        <v>74</v>
      </c>
      <c r="BH243" t="s">
        <v>74</v>
      </c>
      <c r="BI243">
        <v>8</v>
      </c>
      <c r="BJ243" t="s">
        <v>4778</v>
      </c>
      <c r="BK243" t="s">
        <v>101</v>
      </c>
      <c r="BL243" t="s">
        <v>3806</v>
      </c>
      <c r="BM243" t="s">
        <v>4779</v>
      </c>
      <c r="BN243" t="s">
        <v>74</v>
      </c>
      <c r="BO243" t="s">
        <v>74</v>
      </c>
      <c r="BP243" t="s">
        <v>74</v>
      </c>
      <c r="BQ243" t="s">
        <v>74</v>
      </c>
      <c r="BR243" t="s">
        <v>103</v>
      </c>
      <c r="BS243" t="s">
        <v>5016</v>
      </c>
      <c r="BT243" t="str">
        <f>HYPERLINK("https%3A%2F%2Fwww.webofscience.com%2Fwos%2Fwoscc%2Ffull-record%2FWOS:000360758200005","View Full Record in Web of Science")</f>
        <v>View Full Record in Web of Science</v>
      </c>
    </row>
    <row r="244" spans="1:72" x14ac:dyDescent="0.15">
      <c r="A244" t="s">
        <v>72</v>
      </c>
      <c r="B244" t="s">
        <v>5017</v>
      </c>
      <c r="C244" t="s">
        <v>74</v>
      </c>
      <c r="D244" t="s">
        <v>74</v>
      </c>
      <c r="E244" t="s">
        <v>74</v>
      </c>
      <c r="F244" t="s">
        <v>5018</v>
      </c>
      <c r="G244" t="s">
        <v>74</v>
      </c>
      <c r="H244" t="s">
        <v>74</v>
      </c>
      <c r="I244" t="s">
        <v>5019</v>
      </c>
      <c r="J244" t="s">
        <v>4759</v>
      </c>
      <c r="K244" t="s">
        <v>74</v>
      </c>
      <c r="L244" t="s">
        <v>74</v>
      </c>
      <c r="M244" t="s">
        <v>78</v>
      </c>
      <c r="N244" t="s">
        <v>79</v>
      </c>
      <c r="O244" t="s">
        <v>74</v>
      </c>
      <c r="P244" t="s">
        <v>74</v>
      </c>
      <c r="Q244" t="s">
        <v>74</v>
      </c>
      <c r="R244" t="s">
        <v>74</v>
      </c>
      <c r="S244" t="s">
        <v>74</v>
      </c>
      <c r="T244" t="s">
        <v>5020</v>
      </c>
      <c r="U244" t="s">
        <v>5021</v>
      </c>
      <c r="V244" t="s">
        <v>5022</v>
      </c>
      <c r="W244" t="s">
        <v>5023</v>
      </c>
      <c r="X244" t="s">
        <v>5024</v>
      </c>
      <c r="Y244" t="s">
        <v>5025</v>
      </c>
      <c r="Z244" t="s">
        <v>5026</v>
      </c>
      <c r="AA244" t="s">
        <v>5027</v>
      </c>
      <c r="AB244" t="s">
        <v>5028</v>
      </c>
      <c r="AC244" t="s">
        <v>5029</v>
      </c>
      <c r="AD244" t="s">
        <v>5030</v>
      </c>
      <c r="AE244" t="s">
        <v>5031</v>
      </c>
      <c r="AF244" t="s">
        <v>74</v>
      </c>
      <c r="AG244">
        <v>21</v>
      </c>
      <c r="AH244">
        <v>2</v>
      </c>
      <c r="AI244">
        <v>3</v>
      </c>
      <c r="AJ244">
        <v>0</v>
      </c>
      <c r="AK244">
        <v>9</v>
      </c>
      <c r="AL244" t="s">
        <v>92</v>
      </c>
      <c r="AM244" t="s">
        <v>550</v>
      </c>
      <c r="AN244" t="s">
        <v>4772</v>
      </c>
      <c r="AO244" t="s">
        <v>4773</v>
      </c>
      <c r="AP244" t="s">
        <v>4774</v>
      </c>
      <c r="AQ244" t="s">
        <v>74</v>
      </c>
      <c r="AR244" t="s">
        <v>4775</v>
      </c>
      <c r="AS244" t="s">
        <v>4776</v>
      </c>
      <c r="AT244" t="s">
        <v>2170</v>
      </c>
      <c r="AU244">
        <v>2015</v>
      </c>
      <c r="AV244">
        <v>38</v>
      </c>
      <c r="AW244">
        <v>10</v>
      </c>
      <c r="AX244" t="s">
        <v>74</v>
      </c>
      <c r="AY244" t="s">
        <v>74</v>
      </c>
      <c r="AZ244" t="s">
        <v>74</v>
      </c>
      <c r="BA244" t="s">
        <v>74</v>
      </c>
      <c r="BB244">
        <v>1623</v>
      </c>
      <c r="BC244">
        <v>1629</v>
      </c>
      <c r="BD244" t="s">
        <v>74</v>
      </c>
      <c r="BE244" t="s">
        <v>5032</v>
      </c>
      <c r="BF244" t="str">
        <f>HYPERLINK("http://dx.doi.org/10.1007/s00300-015-1727-7","http://dx.doi.org/10.1007/s00300-015-1727-7")</f>
        <v>http://dx.doi.org/10.1007/s00300-015-1727-7</v>
      </c>
      <c r="BG244" t="s">
        <v>74</v>
      </c>
      <c r="BH244" t="s">
        <v>74</v>
      </c>
      <c r="BI244">
        <v>7</v>
      </c>
      <c r="BJ244" t="s">
        <v>4778</v>
      </c>
      <c r="BK244" t="s">
        <v>101</v>
      </c>
      <c r="BL244" t="s">
        <v>3806</v>
      </c>
      <c r="BM244" t="s">
        <v>4779</v>
      </c>
      <c r="BN244" t="s">
        <v>74</v>
      </c>
      <c r="BO244" t="s">
        <v>74</v>
      </c>
      <c r="BP244" t="s">
        <v>74</v>
      </c>
      <c r="BQ244" t="s">
        <v>74</v>
      </c>
      <c r="BR244" t="s">
        <v>103</v>
      </c>
      <c r="BS244" t="s">
        <v>5033</v>
      </c>
      <c r="BT244" t="str">
        <f>HYPERLINK("https%3A%2F%2Fwww.webofscience.com%2Fwos%2Fwoscc%2Ffull-record%2FWOS:000360758200007","View Full Record in Web of Science")</f>
        <v>View Full Record in Web of Science</v>
      </c>
    </row>
    <row r="245" spans="1:72" x14ac:dyDescent="0.15">
      <c r="A245" t="s">
        <v>72</v>
      </c>
      <c r="B245" t="s">
        <v>5034</v>
      </c>
      <c r="C245" t="s">
        <v>74</v>
      </c>
      <c r="D245" t="s">
        <v>74</v>
      </c>
      <c r="E245" t="s">
        <v>74</v>
      </c>
      <c r="F245" t="s">
        <v>5035</v>
      </c>
      <c r="G245" t="s">
        <v>74</v>
      </c>
      <c r="H245" t="s">
        <v>74</v>
      </c>
      <c r="I245" t="s">
        <v>5036</v>
      </c>
      <c r="J245" t="s">
        <v>4759</v>
      </c>
      <c r="K245" t="s">
        <v>74</v>
      </c>
      <c r="L245" t="s">
        <v>74</v>
      </c>
      <c r="M245" t="s">
        <v>78</v>
      </c>
      <c r="N245" t="s">
        <v>79</v>
      </c>
      <c r="O245" t="s">
        <v>74</v>
      </c>
      <c r="P245" t="s">
        <v>74</v>
      </c>
      <c r="Q245" t="s">
        <v>74</v>
      </c>
      <c r="R245" t="s">
        <v>74</v>
      </c>
      <c r="S245" t="s">
        <v>74</v>
      </c>
      <c r="T245" t="s">
        <v>5037</v>
      </c>
      <c r="U245" t="s">
        <v>5038</v>
      </c>
      <c r="V245" t="s">
        <v>5039</v>
      </c>
      <c r="W245" t="s">
        <v>5040</v>
      </c>
      <c r="X245" t="s">
        <v>5041</v>
      </c>
      <c r="Y245" t="s">
        <v>5042</v>
      </c>
      <c r="Z245" t="s">
        <v>5043</v>
      </c>
      <c r="AA245" t="s">
        <v>5044</v>
      </c>
      <c r="AB245" t="s">
        <v>5045</v>
      </c>
      <c r="AC245" t="s">
        <v>5046</v>
      </c>
      <c r="AD245" t="s">
        <v>5047</v>
      </c>
      <c r="AE245" t="s">
        <v>5048</v>
      </c>
      <c r="AF245" t="s">
        <v>74</v>
      </c>
      <c r="AG245">
        <v>55</v>
      </c>
      <c r="AH245">
        <v>21</v>
      </c>
      <c r="AI245">
        <v>22</v>
      </c>
      <c r="AJ245">
        <v>1</v>
      </c>
      <c r="AK245">
        <v>26</v>
      </c>
      <c r="AL245" t="s">
        <v>92</v>
      </c>
      <c r="AM245" t="s">
        <v>550</v>
      </c>
      <c r="AN245" t="s">
        <v>4772</v>
      </c>
      <c r="AO245" t="s">
        <v>4773</v>
      </c>
      <c r="AP245" t="s">
        <v>4774</v>
      </c>
      <c r="AQ245" t="s">
        <v>74</v>
      </c>
      <c r="AR245" t="s">
        <v>4775</v>
      </c>
      <c r="AS245" t="s">
        <v>4776</v>
      </c>
      <c r="AT245" t="s">
        <v>2170</v>
      </c>
      <c r="AU245">
        <v>2015</v>
      </c>
      <c r="AV245">
        <v>38</v>
      </c>
      <c r="AW245">
        <v>10</v>
      </c>
      <c r="AX245" t="s">
        <v>74</v>
      </c>
      <c r="AY245" t="s">
        <v>74</v>
      </c>
      <c r="AZ245" t="s">
        <v>74</v>
      </c>
      <c r="BA245" t="s">
        <v>74</v>
      </c>
      <c r="BB245">
        <v>1657</v>
      </c>
      <c r="BC245">
        <v>1666</v>
      </c>
      <c r="BD245" t="s">
        <v>74</v>
      </c>
      <c r="BE245" t="s">
        <v>5049</v>
      </c>
      <c r="BF245" t="str">
        <f>HYPERLINK("http://dx.doi.org/10.1007/s00300-015-1731-y","http://dx.doi.org/10.1007/s00300-015-1731-y")</f>
        <v>http://dx.doi.org/10.1007/s00300-015-1731-y</v>
      </c>
      <c r="BG245" t="s">
        <v>74</v>
      </c>
      <c r="BH245" t="s">
        <v>74</v>
      </c>
      <c r="BI245">
        <v>10</v>
      </c>
      <c r="BJ245" t="s">
        <v>4778</v>
      </c>
      <c r="BK245" t="s">
        <v>101</v>
      </c>
      <c r="BL245" t="s">
        <v>3806</v>
      </c>
      <c r="BM245" t="s">
        <v>4779</v>
      </c>
      <c r="BN245" t="s">
        <v>74</v>
      </c>
      <c r="BO245" t="s">
        <v>559</v>
      </c>
      <c r="BP245" t="s">
        <v>74</v>
      </c>
      <c r="BQ245" t="s">
        <v>74</v>
      </c>
      <c r="BR245" t="s">
        <v>103</v>
      </c>
      <c r="BS245" t="s">
        <v>5050</v>
      </c>
      <c r="BT245" t="str">
        <f>HYPERLINK("https%3A%2F%2Fwww.webofscience.com%2Fwos%2Fwoscc%2Ffull-record%2FWOS:000360758200010","View Full Record in Web of Science")</f>
        <v>View Full Record in Web of Science</v>
      </c>
    </row>
    <row r="246" spans="1:72" x14ac:dyDescent="0.15">
      <c r="A246" t="s">
        <v>72</v>
      </c>
      <c r="B246" t="s">
        <v>5051</v>
      </c>
      <c r="C246" t="s">
        <v>74</v>
      </c>
      <c r="D246" t="s">
        <v>74</v>
      </c>
      <c r="E246" t="s">
        <v>74</v>
      </c>
      <c r="F246" t="s">
        <v>5052</v>
      </c>
      <c r="G246" t="s">
        <v>74</v>
      </c>
      <c r="H246" t="s">
        <v>74</v>
      </c>
      <c r="I246" t="s">
        <v>5053</v>
      </c>
      <c r="J246" t="s">
        <v>4759</v>
      </c>
      <c r="K246" t="s">
        <v>74</v>
      </c>
      <c r="L246" t="s">
        <v>74</v>
      </c>
      <c r="M246" t="s">
        <v>78</v>
      </c>
      <c r="N246" t="s">
        <v>79</v>
      </c>
      <c r="O246" t="s">
        <v>74</v>
      </c>
      <c r="P246" t="s">
        <v>74</v>
      </c>
      <c r="Q246" t="s">
        <v>74</v>
      </c>
      <c r="R246" t="s">
        <v>74</v>
      </c>
      <c r="S246" t="s">
        <v>74</v>
      </c>
      <c r="T246" t="s">
        <v>5054</v>
      </c>
      <c r="U246" t="s">
        <v>5055</v>
      </c>
      <c r="V246" t="s">
        <v>5056</v>
      </c>
      <c r="W246" t="s">
        <v>5057</v>
      </c>
      <c r="X246" t="s">
        <v>5058</v>
      </c>
      <c r="Y246" t="s">
        <v>5059</v>
      </c>
      <c r="Z246" t="s">
        <v>5060</v>
      </c>
      <c r="AA246" t="s">
        <v>74</v>
      </c>
      <c r="AB246" t="s">
        <v>5061</v>
      </c>
      <c r="AC246" t="s">
        <v>5062</v>
      </c>
      <c r="AD246" t="s">
        <v>5063</v>
      </c>
      <c r="AE246" t="s">
        <v>5064</v>
      </c>
      <c r="AF246" t="s">
        <v>74</v>
      </c>
      <c r="AG246">
        <v>65</v>
      </c>
      <c r="AH246">
        <v>21</v>
      </c>
      <c r="AI246">
        <v>26</v>
      </c>
      <c r="AJ246">
        <v>1</v>
      </c>
      <c r="AK246">
        <v>52</v>
      </c>
      <c r="AL246" t="s">
        <v>92</v>
      </c>
      <c r="AM246" t="s">
        <v>550</v>
      </c>
      <c r="AN246" t="s">
        <v>4772</v>
      </c>
      <c r="AO246" t="s">
        <v>4773</v>
      </c>
      <c r="AP246" t="s">
        <v>4774</v>
      </c>
      <c r="AQ246" t="s">
        <v>74</v>
      </c>
      <c r="AR246" t="s">
        <v>4775</v>
      </c>
      <c r="AS246" t="s">
        <v>4776</v>
      </c>
      <c r="AT246" t="s">
        <v>2170</v>
      </c>
      <c r="AU246">
        <v>2015</v>
      </c>
      <c r="AV246">
        <v>38</v>
      </c>
      <c r="AW246">
        <v>10</v>
      </c>
      <c r="AX246" t="s">
        <v>74</v>
      </c>
      <c r="AY246" t="s">
        <v>74</v>
      </c>
      <c r="AZ246" t="s">
        <v>74</v>
      </c>
      <c r="BA246" t="s">
        <v>74</v>
      </c>
      <c r="BB246">
        <v>1687</v>
      </c>
      <c r="BC246">
        <v>1700</v>
      </c>
      <c r="BD246" t="s">
        <v>74</v>
      </c>
      <c r="BE246" t="s">
        <v>5065</v>
      </c>
      <c r="BF246" t="str">
        <f>HYPERLINK("http://dx.doi.org/10.1007/s00300-015-1735-7","http://dx.doi.org/10.1007/s00300-015-1735-7")</f>
        <v>http://dx.doi.org/10.1007/s00300-015-1735-7</v>
      </c>
      <c r="BG246" t="s">
        <v>74</v>
      </c>
      <c r="BH246" t="s">
        <v>74</v>
      </c>
      <c r="BI246">
        <v>14</v>
      </c>
      <c r="BJ246" t="s">
        <v>4778</v>
      </c>
      <c r="BK246" t="s">
        <v>101</v>
      </c>
      <c r="BL246" t="s">
        <v>3806</v>
      </c>
      <c r="BM246" t="s">
        <v>4779</v>
      </c>
      <c r="BN246" t="s">
        <v>74</v>
      </c>
      <c r="BO246" t="s">
        <v>5066</v>
      </c>
      <c r="BP246" t="s">
        <v>74</v>
      </c>
      <c r="BQ246" t="s">
        <v>74</v>
      </c>
      <c r="BR246" t="s">
        <v>103</v>
      </c>
      <c r="BS246" t="s">
        <v>5067</v>
      </c>
      <c r="BT246" t="str">
        <f>HYPERLINK("https%3A%2F%2Fwww.webofscience.com%2Fwos%2Fwoscc%2Ffull-record%2FWOS:000360758200013","View Full Record in Web of Science")</f>
        <v>View Full Record in Web of Science</v>
      </c>
    </row>
    <row r="247" spans="1:72" x14ac:dyDescent="0.15">
      <c r="A247" t="s">
        <v>72</v>
      </c>
      <c r="B247" t="s">
        <v>5068</v>
      </c>
      <c r="C247" t="s">
        <v>74</v>
      </c>
      <c r="D247" t="s">
        <v>74</v>
      </c>
      <c r="E247" t="s">
        <v>74</v>
      </c>
      <c r="F247" t="s">
        <v>5069</v>
      </c>
      <c r="G247" t="s">
        <v>74</v>
      </c>
      <c r="H247" t="s">
        <v>74</v>
      </c>
      <c r="I247" t="s">
        <v>5070</v>
      </c>
      <c r="J247" t="s">
        <v>4759</v>
      </c>
      <c r="K247" t="s">
        <v>74</v>
      </c>
      <c r="L247" t="s">
        <v>74</v>
      </c>
      <c r="M247" t="s">
        <v>78</v>
      </c>
      <c r="N247" t="s">
        <v>79</v>
      </c>
      <c r="O247" t="s">
        <v>74</v>
      </c>
      <c r="P247" t="s">
        <v>74</v>
      </c>
      <c r="Q247" t="s">
        <v>74</v>
      </c>
      <c r="R247" t="s">
        <v>74</v>
      </c>
      <c r="S247" t="s">
        <v>74</v>
      </c>
      <c r="T247" t="s">
        <v>5071</v>
      </c>
      <c r="U247" t="s">
        <v>5072</v>
      </c>
      <c r="V247" t="s">
        <v>5073</v>
      </c>
      <c r="W247" t="s">
        <v>5074</v>
      </c>
      <c r="X247" t="s">
        <v>5075</v>
      </c>
      <c r="Y247" t="s">
        <v>5076</v>
      </c>
      <c r="Z247" t="s">
        <v>5077</v>
      </c>
      <c r="AA247" t="s">
        <v>5078</v>
      </c>
      <c r="AB247" t="s">
        <v>5079</v>
      </c>
      <c r="AC247" t="s">
        <v>5080</v>
      </c>
      <c r="AD247" t="s">
        <v>5080</v>
      </c>
      <c r="AE247" t="s">
        <v>5081</v>
      </c>
      <c r="AF247" t="s">
        <v>74</v>
      </c>
      <c r="AG247">
        <v>74</v>
      </c>
      <c r="AH247">
        <v>6</v>
      </c>
      <c r="AI247">
        <v>6</v>
      </c>
      <c r="AJ247">
        <v>0</v>
      </c>
      <c r="AK247">
        <v>17</v>
      </c>
      <c r="AL247" t="s">
        <v>92</v>
      </c>
      <c r="AM247" t="s">
        <v>550</v>
      </c>
      <c r="AN247" t="s">
        <v>4772</v>
      </c>
      <c r="AO247" t="s">
        <v>4773</v>
      </c>
      <c r="AP247" t="s">
        <v>4774</v>
      </c>
      <c r="AQ247" t="s">
        <v>74</v>
      </c>
      <c r="AR247" t="s">
        <v>4775</v>
      </c>
      <c r="AS247" t="s">
        <v>4776</v>
      </c>
      <c r="AT247" t="s">
        <v>2170</v>
      </c>
      <c r="AU247">
        <v>2015</v>
      </c>
      <c r="AV247">
        <v>38</v>
      </c>
      <c r="AW247">
        <v>10</v>
      </c>
      <c r="AX247" t="s">
        <v>74</v>
      </c>
      <c r="AY247" t="s">
        <v>74</v>
      </c>
      <c r="AZ247" t="s">
        <v>74</v>
      </c>
      <c r="BA247" t="s">
        <v>74</v>
      </c>
      <c r="BB247">
        <v>1741</v>
      </c>
      <c r="BC247">
        <v>1752</v>
      </c>
      <c r="BD247" t="s">
        <v>74</v>
      </c>
      <c r="BE247" t="s">
        <v>5082</v>
      </c>
      <c r="BF247" t="str">
        <f>HYPERLINK("http://dx.doi.org/10.1007/s00300-015-1739-3","http://dx.doi.org/10.1007/s00300-015-1739-3")</f>
        <v>http://dx.doi.org/10.1007/s00300-015-1739-3</v>
      </c>
      <c r="BG247" t="s">
        <v>74</v>
      </c>
      <c r="BH247" t="s">
        <v>74</v>
      </c>
      <c r="BI247">
        <v>12</v>
      </c>
      <c r="BJ247" t="s">
        <v>4778</v>
      </c>
      <c r="BK247" t="s">
        <v>101</v>
      </c>
      <c r="BL247" t="s">
        <v>3806</v>
      </c>
      <c r="BM247" t="s">
        <v>4779</v>
      </c>
      <c r="BN247" t="s">
        <v>74</v>
      </c>
      <c r="BO247" t="s">
        <v>74</v>
      </c>
      <c r="BP247" t="s">
        <v>74</v>
      </c>
      <c r="BQ247" t="s">
        <v>74</v>
      </c>
      <c r="BR247" t="s">
        <v>103</v>
      </c>
      <c r="BS247" t="s">
        <v>5083</v>
      </c>
      <c r="BT247" t="str">
        <f>HYPERLINK("https%3A%2F%2Fwww.webofscience.com%2Fwos%2Fwoscc%2Ffull-record%2FWOS:000360758200017","View Full Record in Web of Science")</f>
        <v>View Full Record in Web of Science</v>
      </c>
    </row>
    <row r="248" spans="1:72" x14ac:dyDescent="0.15">
      <c r="A248" t="s">
        <v>72</v>
      </c>
      <c r="B248" t="s">
        <v>5084</v>
      </c>
      <c r="C248" t="s">
        <v>74</v>
      </c>
      <c r="D248" t="s">
        <v>74</v>
      </c>
      <c r="E248" t="s">
        <v>74</v>
      </c>
      <c r="F248" t="s">
        <v>5085</v>
      </c>
      <c r="G248" t="s">
        <v>74</v>
      </c>
      <c r="H248" t="s">
        <v>74</v>
      </c>
      <c r="I248" t="s">
        <v>5086</v>
      </c>
      <c r="J248" t="s">
        <v>4759</v>
      </c>
      <c r="K248" t="s">
        <v>74</v>
      </c>
      <c r="L248" t="s">
        <v>74</v>
      </c>
      <c r="M248" t="s">
        <v>78</v>
      </c>
      <c r="N248" t="s">
        <v>79</v>
      </c>
      <c r="O248" t="s">
        <v>74</v>
      </c>
      <c r="P248" t="s">
        <v>74</v>
      </c>
      <c r="Q248" t="s">
        <v>74</v>
      </c>
      <c r="R248" t="s">
        <v>74</v>
      </c>
      <c r="S248" t="s">
        <v>74</v>
      </c>
      <c r="T248" t="s">
        <v>5087</v>
      </c>
      <c r="U248" t="s">
        <v>5088</v>
      </c>
      <c r="V248" t="s">
        <v>5089</v>
      </c>
      <c r="W248" t="s">
        <v>5090</v>
      </c>
      <c r="X248" t="s">
        <v>5091</v>
      </c>
      <c r="Y248" t="s">
        <v>5092</v>
      </c>
      <c r="Z248" t="s">
        <v>5093</v>
      </c>
      <c r="AA248" t="s">
        <v>74</v>
      </c>
      <c r="AB248" t="s">
        <v>5094</v>
      </c>
      <c r="AC248" t="s">
        <v>5095</v>
      </c>
      <c r="AD248" t="s">
        <v>5096</v>
      </c>
      <c r="AE248" t="s">
        <v>5097</v>
      </c>
      <c r="AF248" t="s">
        <v>74</v>
      </c>
      <c r="AG248">
        <v>64</v>
      </c>
      <c r="AH248">
        <v>15</v>
      </c>
      <c r="AI248">
        <v>15</v>
      </c>
      <c r="AJ248">
        <v>2</v>
      </c>
      <c r="AK248">
        <v>31</v>
      </c>
      <c r="AL248" t="s">
        <v>92</v>
      </c>
      <c r="AM248" t="s">
        <v>550</v>
      </c>
      <c r="AN248" t="s">
        <v>1398</v>
      </c>
      <c r="AO248" t="s">
        <v>4773</v>
      </c>
      <c r="AP248" t="s">
        <v>4774</v>
      </c>
      <c r="AQ248" t="s">
        <v>74</v>
      </c>
      <c r="AR248" t="s">
        <v>4775</v>
      </c>
      <c r="AS248" t="s">
        <v>4776</v>
      </c>
      <c r="AT248" t="s">
        <v>2170</v>
      </c>
      <c r="AU248">
        <v>2015</v>
      </c>
      <c r="AV248">
        <v>38</v>
      </c>
      <c r="AW248">
        <v>10</v>
      </c>
      <c r="AX248" t="s">
        <v>74</v>
      </c>
      <c r="AY248" t="s">
        <v>74</v>
      </c>
      <c r="AZ248" t="s">
        <v>74</v>
      </c>
      <c r="BA248" t="s">
        <v>74</v>
      </c>
      <c r="BB248">
        <v>1753</v>
      </c>
      <c r="BC248">
        <v>1765</v>
      </c>
      <c r="BD248" t="s">
        <v>74</v>
      </c>
      <c r="BE248" t="s">
        <v>5098</v>
      </c>
      <c r="BF248" t="str">
        <f>HYPERLINK("http://dx.doi.org/10.1007/s00300-015-1740-x","http://dx.doi.org/10.1007/s00300-015-1740-x")</f>
        <v>http://dx.doi.org/10.1007/s00300-015-1740-x</v>
      </c>
      <c r="BG248" t="s">
        <v>74</v>
      </c>
      <c r="BH248" t="s">
        <v>74</v>
      </c>
      <c r="BI248">
        <v>13</v>
      </c>
      <c r="BJ248" t="s">
        <v>4778</v>
      </c>
      <c r="BK248" t="s">
        <v>101</v>
      </c>
      <c r="BL248" t="s">
        <v>3806</v>
      </c>
      <c r="BM248" t="s">
        <v>4779</v>
      </c>
      <c r="BN248" t="s">
        <v>74</v>
      </c>
      <c r="BO248" t="s">
        <v>1235</v>
      </c>
      <c r="BP248" t="s">
        <v>74</v>
      </c>
      <c r="BQ248" t="s">
        <v>74</v>
      </c>
      <c r="BR248" t="s">
        <v>103</v>
      </c>
      <c r="BS248" t="s">
        <v>5099</v>
      </c>
      <c r="BT248" t="str">
        <f>HYPERLINK("https%3A%2F%2Fwww.webofscience.com%2Fwos%2Fwoscc%2Ffull-record%2FWOS:000360758200018","View Full Record in Web of Science")</f>
        <v>View Full Record in Web of Science</v>
      </c>
    </row>
    <row r="249" spans="1:72" x14ac:dyDescent="0.15">
      <c r="A249" t="s">
        <v>72</v>
      </c>
      <c r="B249" t="s">
        <v>5100</v>
      </c>
      <c r="C249" t="s">
        <v>74</v>
      </c>
      <c r="D249" t="s">
        <v>74</v>
      </c>
      <c r="E249" t="s">
        <v>74</v>
      </c>
      <c r="F249" t="s">
        <v>5101</v>
      </c>
      <c r="G249" t="s">
        <v>74</v>
      </c>
      <c r="H249" t="s">
        <v>74</v>
      </c>
      <c r="I249" t="s">
        <v>5102</v>
      </c>
      <c r="J249" t="s">
        <v>4759</v>
      </c>
      <c r="K249" t="s">
        <v>74</v>
      </c>
      <c r="L249" t="s">
        <v>74</v>
      </c>
      <c r="M249" t="s">
        <v>78</v>
      </c>
      <c r="N249" t="s">
        <v>79</v>
      </c>
      <c r="O249" t="s">
        <v>74</v>
      </c>
      <c r="P249" t="s">
        <v>74</v>
      </c>
      <c r="Q249" t="s">
        <v>74</v>
      </c>
      <c r="R249" t="s">
        <v>74</v>
      </c>
      <c r="S249" t="s">
        <v>74</v>
      </c>
      <c r="T249" t="s">
        <v>5103</v>
      </c>
      <c r="U249" t="s">
        <v>5104</v>
      </c>
      <c r="V249" t="s">
        <v>5105</v>
      </c>
      <c r="W249" t="s">
        <v>5106</v>
      </c>
      <c r="X249" t="s">
        <v>5107</v>
      </c>
      <c r="Y249" t="s">
        <v>5108</v>
      </c>
      <c r="Z249" t="s">
        <v>5109</v>
      </c>
      <c r="AA249" t="s">
        <v>5110</v>
      </c>
      <c r="AB249" t="s">
        <v>5111</v>
      </c>
      <c r="AC249" t="s">
        <v>5112</v>
      </c>
      <c r="AD249" t="s">
        <v>5113</v>
      </c>
      <c r="AE249" t="s">
        <v>5114</v>
      </c>
      <c r="AF249" t="s">
        <v>74</v>
      </c>
      <c r="AG249">
        <v>33</v>
      </c>
      <c r="AH249">
        <v>18</v>
      </c>
      <c r="AI249">
        <v>19</v>
      </c>
      <c r="AJ249">
        <v>1</v>
      </c>
      <c r="AK249">
        <v>56</v>
      </c>
      <c r="AL249" t="s">
        <v>92</v>
      </c>
      <c r="AM249" t="s">
        <v>550</v>
      </c>
      <c r="AN249" t="s">
        <v>4772</v>
      </c>
      <c r="AO249" t="s">
        <v>4773</v>
      </c>
      <c r="AP249" t="s">
        <v>4774</v>
      </c>
      <c r="AQ249" t="s">
        <v>74</v>
      </c>
      <c r="AR249" t="s">
        <v>4775</v>
      </c>
      <c r="AS249" t="s">
        <v>4776</v>
      </c>
      <c r="AT249" t="s">
        <v>2170</v>
      </c>
      <c r="AU249">
        <v>2015</v>
      </c>
      <c r="AV249">
        <v>38</v>
      </c>
      <c r="AW249">
        <v>10</v>
      </c>
      <c r="AX249" t="s">
        <v>74</v>
      </c>
      <c r="AY249" t="s">
        <v>74</v>
      </c>
      <c r="AZ249" t="s">
        <v>74</v>
      </c>
      <c r="BA249" t="s">
        <v>74</v>
      </c>
      <c r="BB249">
        <v>1775</v>
      </c>
      <c r="BC249">
        <v>1781</v>
      </c>
      <c r="BD249" t="s">
        <v>74</v>
      </c>
      <c r="BE249" t="s">
        <v>5115</v>
      </c>
      <c r="BF249" t="str">
        <f>HYPERLINK("http://dx.doi.org/10.1007/s00300-015-1732-x","http://dx.doi.org/10.1007/s00300-015-1732-x")</f>
        <v>http://dx.doi.org/10.1007/s00300-015-1732-x</v>
      </c>
      <c r="BG249" t="s">
        <v>74</v>
      </c>
      <c r="BH249" t="s">
        <v>74</v>
      </c>
      <c r="BI249">
        <v>7</v>
      </c>
      <c r="BJ249" t="s">
        <v>4778</v>
      </c>
      <c r="BK249" t="s">
        <v>101</v>
      </c>
      <c r="BL249" t="s">
        <v>3806</v>
      </c>
      <c r="BM249" t="s">
        <v>4779</v>
      </c>
      <c r="BN249" t="s">
        <v>74</v>
      </c>
      <c r="BO249" t="s">
        <v>74</v>
      </c>
      <c r="BP249" t="s">
        <v>74</v>
      </c>
      <c r="BQ249" t="s">
        <v>74</v>
      </c>
      <c r="BR249" t="s">
        <v>103</v>
      </c>
      <c r="BS249" t="s">
        <v>5116</v>
      </c>
      <c r="BT249" t="str">
        <f>HYPERLINK("https%3A%2F%2Fwww.webofscience.com%2Fwos%2Fwoscc%2Ffull-record%2FWOS:000360758200020","View Full Record in Web of Science")</f>
        <v>View Full Record in Web of Science</v>
      </c>
    </row>
    <row r="250" spans="1:72" x14ac:dyDescent="0.15">
      <c r="A250" t="s">
        <v>72</v>
      </c>
      <c r="B250" t="s">
        <v>5117</v>
      </c>
      <c r="C250" t="s">
        <v>74</v>
      </c>
      <c r="D250" t="s">
        <v>74</v>
      </c>
      <c r="E250" t="s">
        <v>74</v>
      </c>
      <c r="F250" t="s">
        <v>5118</v>
      </c>
      <c r="G250" t="s">
        <v>74</v>
      </c>
      <c r="H250" t="s">
        <v>74</v>
      </c>
      <c r="I250" t="s">
        <v>5119</v>
      </c>
      <c r="J250" t="s">
        <v>5120</v>
      </c>
      <c r="K250" t="s">
        <v>74</v>
      </c>
      <c r="L250" t="s">
        <v>74</v>
      </c>
      <c r="M250" t="s">
        <v>78</v>
      </c>
      <c r="N250" t="s">
        <v>79</v>
      </c>
      <c r="O250" t="s">
        <v>74</v>
      </c>
      <c r="P250" t="s">
        <v>74</v>
      </c>
      <c r="Q250" t="s">
        <v>74</v>
      </c>
      <c r="R250" t="s">
        <v>74</v>
      </c>
      <c r="S250" t="s">
        <v>74</v>
      </c>
      <c r="T250" t="s">
        <v>74</v>
      </c>
      <c r="U250" t="s">
        <v>5121</v>
      </c>
      <c r="V250" t="s">
        <v>5122</v>
      </c>
      <c r="W250" t="s">
        <v>5123</v>
      </c>
      <c r="X250" t="s">
        <v>5124</v>
      </c>
      <c r="Y250" t="s">
        <v>5125</v>
      </c>
      <c r="Z250" t="s">
        <v>5126</v>
      </c>
      <c r="AA250" t="s">
        <v>74</v>
      </c>
      <c r="AB250" t="s">
        <v>5127</v>
      </c>
      <c r="AC250" t="s">
        <v>5128</v>
      </c>
      <c r="AD250" t="s">
        <v>5129</v>
      </c>
      <c r="AE250" t="s">
        <v>5130</v>
      </c>
      <c r="AF250" t="s">
        <v>74</v>
      </c>
      <c r="AG250">
        <v>24</v>
      </c>
      <c r="AH250">
        <v>3</v>
      </c>
      <c r="AI250">
        <v>3</v>
      </c>
      <c r="AJ250">
        <v>0</v>
      </c>
      <c r="AK250">
        <v>20</v>
      </c>
      <c r="AL250" t="s">
        <v>92</v>
      </c>
      <c r="AM250" t="s">
        <v>550</v>
      </c>
      <c r="AN250" t="s">
        <v>4772</v>
      </c>
      <c r="AO250" t="s">
        <v>5131</v>
      </c>
      <c r="AP250" t="s">
        <v>5132</v>
      </c>
      <c r="AQ250" t="s">
        <v>74</v>
      </c>
      <c r="AR250" t="s">
        <v>5133</v>
      </c>
      <c r="AS250" t="s">
        <v>5134</v>
      </c>
      <c r="AT250" t="s">
        <v>2170</v>
      </c>
      <c r="AU250">
        <v>2015</v>
      </c>
      <c r="AV250">
        <v>71</v>
      </c>
      <c r="AW250">
        <v>4</v>
      </c>
      <c r="AX250" t="s">
        <v>74</v>
      </c>
      <c r="AY250" t="s">
        <v>74</v>
      </c>
      <c r="AZ250" t="s">
        <v>74</v>
      </c>
      <c r="BA250" t="s">
        <v>74</v>
      </c>
      <c r="BB250">
        <v>483</v>
      </c>
      <c r="BC250">
        <v>489</v>
      </c>
      <c r="BD250" t="s">
        <v>74</v>
      </c>
      <c r="BE250" t="s">
        <v>5135</v>
      </c>
      <c r="BF250" t="str">
        <f>HYPERLINK("http://dx.doi.org/10.1007/s00284-015-0874-y","http://dx.doi.org/10.1007/s00284-015-0874-y")</f>
        <v>http://dx.doi.org/10.1007/s00284-015-0874-y</v>
      </c>
      <c r="BG250" t="s">
        <v>74</v>
      </c>
      <c r="BH250" t="s">
        <v>74</v>
      </c>
      <c r="BI250">
        <v>7</v>
      </c>
      <c r="BJ250" t="s">
        <v>160</v>
      </c>
      <c r="BK250" t="s">
        <v>101</v>
      </c>
      <c r="BL250" t="s">
        <v>160</v>
      </c>
      <c r="BM250" t="s">
        <v>5136</v>
      </c>
      <c r="BN250">
        <v>26198412</v>
      </c>
      <c r="BO250" t="s">
        <v>74</v>
      </c>
      <c r="BP250" t="s">
        <v>74</v>
      </c>
      <c r="BQ250" t="s">
        <v>74</v>
      </c>
      <c r="BR250" t="s">
        <v>103</v>
      </c>
      <c r="BS250" t="s">
        <v>5137</v>
      </c>
      <c r="BT250" t="str">
        <f>HYPERLINK("https%3A%2F%2Fwww.webofscience.com%2Fwos%2Fwoscc%2Ffull-record%2FWOS:000359807900009","View Full Record in Web of Science")</f>
        <v>View Full Record in Web of Science</v>
      </c>
    </row>
    <row r="251" spans="1:72" x14ac:dyDescent="0.15">
      <c r="A251" t="s">
        <v>72</v>
      </c>
      <c r="B251" t="s">
        <v>5138</v>
      </c>
      <c r="C251" t="s">
        <v>74</v>
      </c>
      <c r="D251" t="s">
        <v>74</v>
      </c>
      <c r="E251" t="s">
        <v>74</v>
      </c>
      <c r="F251" t="s">
        <v>5139</v>
      </c>
      <c r="G251" t="s">
        <v>74</v>
      </c>
      <c r="H251" t="s">
        <v>74</v>
      </c>
      <c r="I251" t="s">
        <v>5140</v>
      </c>
      <c r="J251" t="s">
        <v>1690</v>
      </c>
      <c r="K251" t="s">
        <v>74</v>
      </c>
      <c r="L251" t="s">
        <v>74</v>
      </c>
      <c r="M251" t="s">
        <v>78</v>
      </c>
      <c r="N251" t="s">
        <v>79</v>
      </c>
      <c r="O251" t="s">
        <v>74</v>
      </c>
      <c r="P251" t="s">
        <v>74</v>
      </c>
      <c r="Q251" t="s">
        <v>74</v>
      </c>
      <c r="R251" t="s">
        <v>74</v>
      </c>
      <c r="S251" t="s">
        <v>74</v>
      </c>
      <c r="T251" t="s">
        <v>5141</v>
      </c>
      <c r="U251" t="s">
        <v>5142</v>
      </c>
      <c r="V251" t="s">
        <v>5143</v>
      </c>
      <c r="W251" t="s">
        <v>5144</v>
      </c>
      <c r="X251" t="s">
        <v>5145</v>
      </c>
      <c r="Y251" t="s">
        <v>5146</v>
      </c>
      <c r="Z251" t="s">
        <v>5147</v>
      </c>
      <c r="AA251" t="s">
        <v>5148</v>
      </c>
      <c r="AB251" t="s">
        <v>5149</v>
      </c>
      <c r="AC251" t="s">
        <v>5150</v>
      </c>
      <c r="AD251" t="s">
        <v>5151</v>
      </c>
      <c r="AE251" t="s">
        <v>5152</v>
      </c>
      <c r="AF251" t="s">
        <v>74</v>
      </c>
      <c r="AG251">
        <v>41</v>
      </c>
      <c r="AH251">
        <v>47</v>
      </c>
      <c r="AI251">
        <v>49</v>
      </c>
      <c r="AJ251">
        <v>0</v>
      </c>
      <c r="AK251">
        <v>42</v>
      </c>
      <c r="AL251" t="s">
        <v>883</v>
      </c>
      <c r="AM251" t="s">
        <v>884</v>
      </c>
      <c r="AN251" t="s">
        <v>885</v>
      </c>
      <c r="AO251" t="s">
        <v>1702</v>
      </c>
      <c r="AP251" t="s">
        <v>1703</v>
      </c>
      <c r="AQ251" t="s">
        <v>74</v>
      </c>
      <c r="AR251" t="s">
        <v>1704</v>
      </c>
      <c r="AS251" t="s">
        <v>1705</v>
      </c>
      <c r="AT251" t="s">
        <v>2847</v>
      </c>
      <c r="AU251">
        <v>2015</v>
      </c>
      <c r="AV251">
        <v>427</v>
      </c>
      <c r="AW251" t="s">
        <v>74</v>
      </c>
      <c r="AX251" t="s">
        <v>74</v>
      </c>
      <c r="AY251" t="s">
        <v>74</v>
      </c>
      <c r="AZ251" t="s">
        <v>74</v>
      </c>
      <c r="BA251" t="s">
        <v>74</v>
      </c>
      <c r="BB251">
        <v>125</v>
      </c>
      <c r="BC251">
        <v>135</v>
      </c>
      <c r="BD251" t="s">
        <v>74</v>
      </c>
      <c r="BE251" t="s">
        <v>5153</v>
      </c>
      <c r="BF251" t="str">
        <f>HYPERLINK("http://dx.doi.org/10.1016/j.epsl.2015.06.047","http://dx.doi.org/10.1016/j.epsl.2015.06.047")</f>
        <v>http://dx.doi.org/10.1016/j.epsl.2015.06.047</v>
      </c>
      <c r="BG251" t="s">
        <v>74</v>
      </c>
      <c r="BH251" t="s">
        <v>74</v>
      </c>
      <c r="BI251">
        <v>11</v>
      </c>
      <c r="BJ251" t="s">
        <v>1707</v>
      </c>
      <c r="BK251" t="s">
        <v>101</v>
      </c>
      <c r="BL251" t="s">
        <v>1707</v>
      </c>
      <c r="BM251" t="s">
        <v>3782</v>
      </c>
      <c r="BN251" t="s">
        <v>74</v>
      </c>
      <c r="BO251" t="s">
        <v>74</v>
      </c>
      <c r="BP251" t="s">
        <v>74</v>
      </c>
      <c r="BQ251" t="s">
        <v>74</v>
      </c>
      <c r="BR251" t="s">
        <v>103</v>
      </c>
      <c r="BS251" t="s">
        <v>5154</v>
      </c>
      <c r="BT251" t="str">
        <f>HYPERLINK("https%3A%2F%2Fwww.webofscience.com%2Fwos%2Fwoscc%2Ffull-record%2FWOS:000359330800014","View Full Record in Web of Science")</f>
        <v>View Full Record in Web of Science</v>
      </c>
    </row>
    <row r="252" spans="1:72" x14ac:dyDescent="0.15">
      <c r="A252" t="s">
        <v>72</v>
      </c>
      <c r="B252" t="s">
        <v>5155</v>
      </c>
      <c r="C252" t="s">
        <v>74</v>
      </c>
      <c r="D252" t="s">
        <v>74</v>
      </c>
      <c r="E252" t="s">
        <v>74</v>
      </c>
      <c r="F252" t="s">
        <v>5156</v>
      </c>
      <c r="G252" t="s">
        <v>74</v>
      </c>
      <c r="H252" t="s">
        <v>74</v>
      </c>
      <c r="I252" t="s">
        <v>5157</v>
      </c>
      <c r="J252" t="s">
        <v>913</v>
      </c>
      <c r="K252" t="s">
        <v>74</v>
      </c>
      <c r="L252" t="s">
        <v>74</v>
      </c>
      <c r="M252" t="s">
        <v>78</v>
      </c>
      <c r="N252" t="s">
        <v>79</v>
      </c>
      <c r="O252" t="s">
        <v>74</v>
      </c>
      <c r="P252" t="s">
        <v>74</v>
      </c>
      <c r="Q252" t="s">
        <v>74</v>
      </c>
      <c r="R252" t="s">
        <v>74</v>
      </c>
      <c r="S252" t="s">
        <v>74</v>
      </c>
      <c r="T252" t="s">
        <v>5158</v>
      </c>
      <c r="U252" t="s">
        <v>5159</v>
      </c>
      <c r="V252" t="s">
        <v>5160</v>
      </c>
      <c r="W252" t="s">
        <v>5161</v>
      </c>
      <c r="X252" t="s">
        <v>5162</v>
      </c>
      <c r="Y252" t="s">
        <v>5163</v>
      </c>
      <c r="Z252" t="s">
        <v>5060</v>
      </c>
      <c r="AA252" t="s">
        <v>74</v>
      </c>
      <c r="AB252" t="s">
        <v>5164</v>
      </c>
      <c r="AC252" t="s">
        <v>5165</v>
      </c>
      <c r="AD252" t="s">
        <v>5166</v>
      </c>
      <c r="AE252" t="s">
        <v>5167</v>
      </c>
      <c r="AF252" t="s">
        <v>74</v>
      </c>
      <c r="AG252">
        <v>25</v>
      </c>
      <c r="AH252">
        <v>8</v>
      </c>
      <c r="AI252">
        <v>11</v>
      </c>
      <c r="AJ252">
        <v>0</v>
      </c>
      <c r="AK252">
        <v>28</v>
      </c>
      <c r="AL252" t="s">
        <v>883</v>
      </c>
      <c r="AM252" t="s">
        <v>884</v>
      </c>
      <c r="AN252" t="s">
        <v>885</v>
      </c>
      <c r="AO252" t="s">
        <v>927</v>
      </c>
      <c r="AP252" t="s">
        <v>928</v>
      </c>
      <c r="AQ252" t="s">
        <v>74</v>
      </c>
      <c r="AR252" t="s">
        <v>929</v>
      </c>
      <c r="AS252" t="s">
        <v>930</v>
      </c>
      <c r="AT252" t="s">
        <v>2170</v>
      </c>
      <c r="AU252">
        <v>2015</v>
      </c>
      <c r="AV252">
        <v>170</v>
      </c>
      <c r="AW252" t="s">
        <v>74</v>
      </c>
      <c r="AX252" t="s">
        <v>74</v>
      </c>
      <c r="AY252" t="s">
        <v>74</v>
      </c>
      <c r="AZ252" t="s">
        <v>74</v>
      </c>
      <c r="BA252" t="s">
        <v>74</v>
      </c>
      <c r="BB252">
        <v>102</v>
      </c>
      <c r="BC252">
        <v>105</v>
      </c>
      <c r="BD252" t="s">
        <v>74</v>
      </c>
      <c r="BE252" t="s">
        <v>5168</v>
      </c>
      <c r="BF252" t="str">
        <f>HYPERLINK("http://dx.doi.org/10.1016/j.fishres.2015.05.019","http://dx.doi.org/10.1016/j.fishres.2015.05.019")</f>
        <v>http://dx.doi.org/10.1016/j.fishres.2015.05.019</v>
      </c>
      <c r="BG252" t="s">
        <v>74</v>
      </c>
      <c r="BH252" t="s">
        <v>74</v>
      </c>
      <c r="BI252">
        <v>4</v>
      </c>
      <c r="BJ252" t="s">
        <v>933</v>
      </c>
      <c r="BK252" t="s">
        <v>101</v>
      </c>
      <c r="BL252" t="s">
        <v>933</v>
      </c>
      <c r="BM252" t="s">
        <v>5169</v>
      </c>
      <c r="BN252" t="s">
        <v>74</v>
      </c>
      <c r="BO252" t="s">
        <v>5170</v>
      </c>
      <c r="BP252" t="s">
        <v>74</v>
      </c>
      <c r="BQ252" t="s">
        <v>74</v>
      </c>
      <c r="BR252" t="s">
        <v>103</v>
      </c>
      <c r="BS252" t="s">
        <v>5171</v>
      </c>
      <c r="BT252" t="str">
        <f>HYPERLINK("https%3A%2F%2Fwww.webofscience.com%2Fwos%2Fwoscc%2Ffull-record%2FWOS:000359032900013","View Full Record in Web of Science")</f>
        <v>View Full Record in Web of Science</v>
      </c>
    </row>
    <row r="253" spans="1:72" x14ac:dyDescent="0.15">
      <c r="A253" t="s">
        <v>72</v>
      </c>
      <c r="B253" t="s">
        <v>5172</v>
      </c>
      <c r="C253" t="s">
        <v>74</v>
      </c>
      <c r="D253" t="s">
        <v>74</v>
      </c>
      <c r="E253" t="s">
        <v>74</v>
      </c>
      <c r="F253" t="s">
        <v>5173</v>
      </c>
      <c r="G253" t="s">
        <v>74</v>
      </c>
      <c r="H253" t="s">
        <v>74</v>
      </c>
      <c r="I253" t="s">
        <v>5174</v>
      </c>
      <c r="J253" t="s">
        <v>5175</v>
      </c>
      <c r="K253" t="s">
        <v>74</v>
      </c>
      <c r="L253" t="s">
        <v>74</v>
      </c>
      <c r="M253" t="s">
        <v>78</v>
      </c>
      <c r="N253" t="s">
        <v>79</v>
      </c>
      <c r="O253" t="s">
        <v>74</v>
      </c>
      <c r="P253" t="s">
        <v>74</v>
      </c>
      <c r="Q253" t="s">
        <v>74</v>
      </c>
      <c r="R253" t="s">
        <v>74</v>
      </c>
      <c r="S253" t="s">
        <v>74</v>
      </c>
      <c r="T253" t="s">
        <v>5176</v>
      </c>
      <c r="U253" t="s">
        <v>5177</v>
      </c>
      <c r="V253" t="s">
        <v>5178</v>
      </c>
      <c r="W253" t="s">
        <v>5179</v>
      </c>
      <c r="X253" t="s">
        <v>5180</v>
      </c>
      <c r="Y253" t="s">
        <v>5181</v>
      </c>
      <c r="Z253" t="s">
        <v>5182</v>
      </c>
      <c r="AA253" t="s">
        <v>5183</v>
      </c>
      <c r="AB253" t="s">
        <v>5184</v>
      </c>
      <c r="AC253" t="s">
        <v>5185</v>
      </c>
      <c r="AD253" t="s">
        <v>5186</v>
      </c>
      <c r="AE253" t="s">
        <v>5187</v>
      </c>
      <c r="AF253" t="s">
        <v>74</v>
      </c>
      <c r="AG253">
        <v>92</v>
      </c>
      <c r="AH253">
        <v>35</v>
      </c>
      <c r="AI253">
        <v>37</v>
      </c>
      <c r="AJ253">
        <v>3</v>
      </c>
      <c r="AK253">
        <v>47</v>
      </c>
      <c r="AL253" t="s">
        <v>2279</v>
      </c>
      <c r="AM253" t="s">
        <v>398</v>
      </c>
      <c r="AN253" t="s">
        <v>2280</v>
      </c>
      <c r="AO253" t="s">
        <v>5188</v>
      </c>
      <c r="AP253" t="s">
        <v>74</v>
      </c>
      <c r="AQ253" t="s">
        <v>74</v>
      </c>
      <c r="AR253" t="s">
        <v>5189</v>
      </c>
      <c r="AS253" t="s">
        <v>5190</v>
      </c>
      <c r="AT253" t="s">
        <v>5191</v>
      </c>
      <c r="AU253">
        <v>2015</v>
      </c>
      <c r="AV253">
        <v>3</v>
      </c>
      <c r="AW253" t="s">
        <v>74</v>
      </c>
      <c r="AX253" t="s">
        <v>74</v>
      </c>
      <c r="AY253" t="s">
        <v>74</v>
      </c>
      <c r="AZ253" t="s">
        <v>74</v>
      </c>
      <c r="BA253" t="s">
        <v>74</v>
      </c>
      <c r="BB253" t="s">
        <v>74</v>
      </c>
      <c r="BC253" t="s">
        <v>74</v>
      </c>
      <c r="BD253" t="s">
        <v>5192</v>
      </c>
      <c r="BE253" t="s">
        <v>5193</v>
      </c>
      <c r="BF253" t="str">
        <f>HYPERLINK("http://dx.doi.org/10.1093/conphys/cov044","http://dx.doi.org/10.1093/conphys/cov044")</f>
        <v>http://dx.doi.org/10.1093/conphys/cov044</v>
      </c>
      <c r="BG253" t="s">
        <v>74</v>
      </c>
      <c r="BH253" t="s">
        <v>74</v>
      </c>
      <c r="BI253">
        <v>15</v>
      </c>
      <c r="BJ253" t="s">
        <v>5194</v>
      </c>
      <c r="BK253" t="s">
        <v>101</v>
      </c>
      <c r="BL253" t="s">
        <v>5195</v>
      </c>
      <c r="BM253" t="s">
        <v>5196</v>
      </c>
      <c r="BN253">
        <v>27303650</v>
      </c>
      <c r="BO253" t="s">
        <v>245</v>
      </c>
      <c r="BP253" t="s">
        <v>74</v>
      </c>
      <c r="BQ253" t="s">
        <v>74</v>
      </c>
      <c r="BR253" t="s">
        <v>103</v>
      </c>
      <c r="BS253" t="s">
        <v>5197</v>
      </c>
      <c r="BT253" t="str">
        <f>HYPERLINK("https%3A%2F%2Fwww.webofscience.com%2Fwos%2Fwoscc%2Ffull-record%2FWOS:000375201000002","View Full Record in Web of Science")</f>
        <v>View Full Record in Web of Science</v>
      </c>
    </row>
    <row r="254" spans="1:72" x14ac:dyDescent="0.15">
      <c r="A254" t="s">
        <v>72</v>
      </c>
      <c r="B254" t="s">
        <v>5198</v>
      </c>
      <c r="C254" t="s">
        <v>74</v>
      </c>
      <c r="D254" t="s">
        <v>74</v>
      </c>
      <c r="E254" t="s">
        <v>74</v>
      </c>
      <c r="F254" t="s">
        <v>5199</v>
      </c>
      <c r="G254" t="s">
        <v>74</v>
      </c>
      <c r="H254" t="s">
        <v>74</v>
      </c>
      <c r="I254" t="s">
        <v>5200</v>
      </c>
      <c r="J254" t="s">
        <v>1240</v>
      </c>
      <c r="K254" t="s">
        <v>74</v>
      </c>
      <c r="L254" t="s">
        <v>74</v>
      </c>
      <c r="M254" t="s">
        <v>78</v>
      </c>
      <c r="N254" t="s">
        <v>581</v>
      </c>
      <c r="O254" t="s">
        <v>74</v>
      </c>
      <c r="P254" t="s">
        <v>74</v>
      </c>
      <c r="Q254" t="s">
        <v>74</v>
      </c>
      <c r="R254" t="s">
        <v>74</v>
      </c>
      <c r="S254" t="s">
        <v>74</v>
      </c>
      <c r="T254" t="s">
        <v>5201</v>
      </c>
      <c r="U254" t="s">
        <v>5202</v>
      </c>
      <c r="V254" t="s">
        <v>5203</v>
      </c>
      <c r="W254" t="s">
        <v>5204</v>
      </c>
      <c r="X254" t="s">
        <v>5205</v>
      </c>
      <c r="Y254" t="s">
        <v>5206</v>
      </c>
      <c r="Z254" t="s">
        <v>5207</v>
      </c>
      <c r="AA254" t="s">
        <v>5208</v>
      </c>
      <c r="AB254" t="s">
        <v>5209</v>
      </c>
      <c r="AC254" t="s">
        <v>5210</v>
      </c>
      <c r="AD254" t="s">
        <v>5211</v>
      </c>
      <c r="AE254" t="s">
        <v>5212</v>
      </c>
      <c r="AF254" t="s">
        <v>74</v>
      </c>
      <c r="AG254">
        <v>156</v>
      </c>
      <c r="AH254">
        <v>43</v>
      </c>
      <c r="AI254">
        <v>46</v>
      </c>
      <c r="AJ254">
        <v>0</v>
      </c>
      <c r="AK254">
        <v>42</v>
      </c>
      <c r="AL254" t="s">
        <v>1253</v>
      </c>
      <c r="AM254" t="s">
        <v>1254</v>
      </c>
      <c r="AN254" t="s">
        <v>1255</v>
      </c>
      <c r="AO254" t="s">
        <v>74</v>
      </c>
      <c r="AP254" t="s">
        <v>1256</v>
      </c>
      <c r="AQ254" t="s">
        <v>74</v>
      </c>
      <c r="AR254" t="s">
        <v>1257</v>
      </c>
      <c r="AS254" t="s">
        <v>1258</v>
      </c>
      <c r="AT254" t="s">
        <v>5191</v>
      </c>
      <c r="AU254">
        <v>2015</v>
      </c>
      <c r="AV254">
        <v>6</v>
      </c>
      <c r="AW254" t="s">
        <v>74</v>
      </c>
      <c r="AX254" t="s">
        <v>74</v>
      </c>
      <c r="AY254" t="s">
        <v>74</v>
      </c>
      <c r="AZ254" t="s">
        <v>74</v>
      </c>
      <c r="BA254" t="s">
        <v>74</v>
      </c>
      <c r="BB254" t="s">
        <v>74</v>
      </c>
      <c r="BC254" t="s">
        <v>74</v>
      </c>
      <c r="BD254">
        <v>1058</v>
      </c>
      <c r="BE254" t="s">
        <v>5213</v>
      </c>
      <c r="BF254" t="str">
        <f>HYPERLINK("http://dx.doi.org/10.3389/fmicb.2015.01058","http://dx.doi.org/10.3389/fmicb.2015.01058")</f>
        <v>http://dx.doi.org/10.3389/fmicb.2015.01058</v>
      </c>
      <c r="BG254" t="s">
        <v>74</v>
      </c>
      <c r="BH254" t="s">
        <v>74</v>
      </c>
      <c r="BI254">
        <v>14</v>
      </c>
      <c r="BJ254" t="s">
        <v>160</v>
      </c>
      <c r="BK254" t="s">
        <v>101</v>
      </c>
      <c r="BL254" t="s">
        <v>160</v>
      </c>
      <c r="BM254" t="s">
        <v>5214</v>
      </c>
      <c r="BN254">
        <v>26483777</v>
      </c>
      <c r="BO254" t="s">
        <v>2600</v>
      </c>
      <c r="BP254" t="s">
        <v>74</v>
      </c>
      <c r="BQ254" t="s">
        <v>74</v>
      </c>
      <c r="BR254" t="s">
        <v>103</v>
      </c>
      <c r="BS254" t="s">
        <v>5215</v>
      </c>
      <c r="BT254" t="str">
        <f>HYPERLINK("https%3A%2F%2Fwww.webofscience.com%2Fwos%2Fwoscc%2Ffull-record%2FWOS:000363375200001","View Full Record in Web of Science")</f>
        <v>View Full Record in Web of Science</v>
      </c>
    </row>
    <row r="255" spans="1:72" x14ac:dyDescent="0.15">
      <c r="A255" t="s">
        <v>72</v>
      </c>
      <c r="B255" t="s">
        <v>5216</v>
      </c>
      <c r="C255" t="s">
        <v>74</v>
      </c>
      <c r="D255" t="s">
        <v>74</v>
      </c>
      <c r="E255" t="s">
        <v>74</v>
      </c>
      <c r="F255" t="s">
        <v>5217</v>
      </c>
      <c r="G255" t="s">
        <v>74</v>
      </c>
      <c r="H255" t="s">
        <v>74</v>
      </c>
      <c r="I255" t="s">
        <v>5218</v>
      </c>
      <c r="J255" t="s">
        <v>1078</v>
      </c>
      <c r="K255" t="s">
        <v>74</v>
      </c>
      <c r="L255" t="s">
        <v>74</v>
      </c>
      <c r="M255" t="s">
        <v>78</v>
      </c>
      <c r="N255" t="s">
        <v>79</v>
      </c>
      <c r="O255" t="s">
        <v>74</v>
      </c>
      <c r="P255" t="s">
        <v>74</v>
      </c>
      <c r="Q255" t="s">
        <v>74</v>
      </c>
      <c r="R255" t="s">
        <v>74</v>
      </c>
      <c r="S255" t="s">
        <v>74</v>
      </c>
      <c r="T255" t="s">
        <v>74</v>
      </c>
      <c r="U255" t="s">
        <v>5219</v>
      </c>
      <c r="V255" t="s">
        <v>5220</v>
      </c>
      <c r="W255" t="s">
        <v>5221</v>
      </c>
      <c r="X255" t="s">
        <v>5222</v>
      </c>
      <c r="Y255" t="s">
        <v>5223</v>
      </c>
      <c r="Z255" t="s">
        <v>5224</v>
      </c>
      <c r="AA255" t="s">
        <v>5225</v>
      </c>
      <c r="AB255" t="s">
        <v>5226</v>
      </c>
      <c r="AC255" t="s">
        <v>5227</v>
      </c>
      <c r="AD255" t="s">
        <v>5228</v>
      </c>
      <c r="AE255" t="s">
        <v>5229</v>
      </c>
      <c r="AF255" t="s">
        <v>74</v>
      </c>
      <c r="AG255">
        <v>57</v>
      </c>
      <c r="AH255">
        <v>62</v>
      </c>
      <c r="AI255">
        <v>67</v>
      </c>
      <c r="AJ255">
        <v>5</v>
      </c>
      <c r="AK255">
        <v>49</v>
      </c>
      <c r="AL255" t="s">
        <v>1089</v>
      </c>
      <c r="AM255" t="s">
        <v>1090</v>
      </c>
      <c r="AN255" t="s">
        <v>1091</v>
      </c>
      <c r="AO255" t="s">
        <v>1092</v>
      </c>
      <c r="AP255" t="s">
        <v>74</v>
      </c>
      <c r="AQ255" t="s">
        <v>74</v>
      </c>
      <c r="AR255" t="s">
        <v>1078</v>
      </c>
      <c r="AS255" t="s">
        <v>1093</v>
      </c>
      <c r="AT255" t="s">
        <v>5191</v>
      </c>
      <c r="AU255">
        <v>2015</v>
      </c>
      <c r="AV255">
        <v>10</v>
      </c>
      <c r="AW255">
        <v>9</v>
      </c>
      <c r="AX255" t="s">
        <v>74</v>
      </c>
      <c r="AY255" t="s">
        <v>74</v>
      </c>
      <c r="AZ255" t="s">
        <v>74</v>
      </c>
      <c r="BA255" t="s">
        <v>74</v>
      </c>
      <c r="BB255" t="s">
        <v>74</v>
      </c>
      <c r="BC255" t="s">
        <v>74</v>
      </c>
      <c r="BD255" t="s">
        <v>5230</v>
      </c>
      <c r="BE255" t="s">
        <v>5231</v>
      </c>
      <c r="BF255" t="str">
        <f>HYPERLINK("http://dx.doi.org/10.1371/journal.pone.0138837","http://dx.doi.org/10.1371/journal.pone.0138837")</f>
        <v>http://dx.doi.org/10.1371/journal.pone.0138837</v>
      </c>
      <c r="BG255" t="s">
        <v>74</v>
      </c>
      <c r="BH255" t="s">
        <v>74</v>
      </c>
      <c r="BI255">
        <v>19</v>
      </c>
      <c r="BJ255" t="s">
        <v>530</v>
      </c>
      <c r="BK255" t="s">
        <v>101</v>
      </c>
      <c r="BL255" t="s">
        <v>531</v>
      </c>
      <c r="BM255" t="s">
        <v>5232</v>
      </c>
      <c r="BN255">
        <v>26421612</v>
      </c>
      <c r="BO255" t="s">
        <v>5233</v>
      </c>
      <c r="BP255" t="s">
        <v>74</v>
      </c>
      <c r="BQ255" t="s">
        <v>74</v>
      </c>
      <c r="BR255" t="s">
        <v>103</v>
      </c>
      <c r="BS255" t="s">
        <v>5234</v>
      </c>
      <c r="BT255" t="str">
        <f>HYPERLINK("https%3A%2F%2Fwww.webofscience.com%2Fwos%2Fwoscc%2Ffull-record%2FWOS:000362175700051","View Full Record in Web of Science")</f>
        <v>View Full Record in Web of Science</v>
      </c>
    </row>
    <row r="256" spans="1:72" x14ac:dyDescent="0.15">
      <c r="A256" t="s">
        <v>72</v>
      </c>
      <c r="B256" t="s">
        <v>5235</v>
      </c>
      <c r="C256" t="s">
        <v>74</v>
      </c>
      <c r="D256" t="s">
        <v>74</v>
      </c>
      <c r="E256" t="s">
        <v>74</v>
      </c>
      <c r="F256" t="s">
        <v>5236</v>
      </c>
      <c r="G256" t="s">
        <v>74</v>
      </c>
      <c r="H256" t="s">
        <v>74</v>
      </c>
      <c r="I256" t="s">
        <v>5237</v>
      </c>
      <c r="J256" t="s">
        <v>1033</v>
      </c>
      <c r="K256" t="s">
        <v>74</v>
      </c>
      <c r="L256" t="s">
        <v>74</v>
      </c>
      <c r="M256" t="s">
        <v>78</v>
      </c>
      <c r="N256" t="s">
        <v>79</v>
      </c>
      <c r="O256" t="s">
        <v>74</v>
      </c>
      <c r="P256" t="s">
        <v>74</v>
      </c>
      <c r="Q256" t="s">
        <v>74</v>
      </c>
      <c r="R256" t="s">
        <v>74</v>
      </c>
      <c r="S256" t="s">
        <v>74</v>
      </c>
      <c r="T256" t="s">
        <v>5238</v>
      </c>
      <c r="U256" t="s">
        <v>5239</v>
      </c>
      <c r="V256" t="s">
        <v>5240</v>
      </c>
      <c r="W256" t="s">
        <v>5241</v>
      </c>
      <c r="X256" t="s">
        <v>5242</v>
      </c>
      <c r="Y256" t="s">
        <v>5243</v>
      </c>
      <c r="Z256" t="s">
        <v>5244</v>
      </c>
      <c r="AA256" t="s">
        <v>5245</v>
      </c>
      <c r="AB256" t="s">
        <v>5246</v>
      </c>
      <c r="AC256" t="s">
        <v>5247</v>
      </c>
      <c r="AD256" t="s">
        <v>5248</v>
      </c>
      <c r="AE256" t="s">
        <v>5249</v>
      </c>
      <c r="AF256" t="s">
        <v>74</v>
      </c>
      <c r="AG256">
        <v>47</v>
      </c>
      <c r="AH256">
        <v>21</v>
      </c>
      <c r="AI256">
        <v>24</v>
      </c>
      <c r="AJ256">
        <v>0</v>
      </c>
      <c r="AK256">
        <v>21</v>
      </c>
      <c r="AL256" t="s">
        <v>1046</v>
      </c>
      <c r="AM256" t="s">
        <v>1047</v>
      </c>
      <c r="AN256" t="s">
        <v>1048</v>
      </c>
      <c r="AO256" t="s">
        <v>1049</v>
      </c>
      <c r="AP256" t="s">
        <v>1050</v>
      </c>
      <c r="AQ256" t="s">
        <v>74</v>
      </c>
      <c r="AR256" t="s">
        <v>1051</v>
      </c>
      <c r="AS256" t="s">
        <v>1052</v>
      </c>
      <c r="AT256" t="s">
        <v>5250</v>
      </c>
      <c r="AU256">
        <v>2015</v>
      </c>
      <c r="AV256">
        <v>536</v>
      </c>
      <c r="AW256" t="s">
        <v>74</v>
      </c>
      <c r="AX256" t="s">
        <v>74</v>
      </c>
      <c r="AY256" t="s">
        <v>74</v>
      </c>
      <c r="AZ256" t="s">
        <v>74</v>
      </c>
      <c r="BA256" t="s">
        <v>74</v>
      </c>
      <c r="BB256">
        <v>107</v>
      </c>
      <c r="BC256">
        <v>121</v>
      </c>
      <c r="BD256" t="s">
        <v>74</v>
      </c>
      <c r="BE256" t="s">
        <v>5251</v>
      </c>
      <c r="BF256" t="str">
        <f>HYPERLINK("http://dx.doi.org/10.3354/meps11396","http://dx.doi.org/10.3354/meps11396")</f>
        <v>http://dx.doi.org/10.3354/meps11396</v>
      </c>
      <c r="BG256" t="s">
        <v>74</v>
      </c>
      <c r="BH256" t="s">
        <v>74</v>
      </c>
      <c r="BI256">
        <v>15</v>
      </c>
      <c r="BJ256" t="s">
        <v>1054</v>
      </c>
      <c r="BK256" t="s">
        <v>101</v>
      </c>
      <c r="BL256" t="s">
        <v>1055</v>
      </c>
      <c r="BM256" t="s">
        <v>5252</v>
      </c>
      <c r="BN256" t="s">
        <v>74</v>
      </c>
      <c r="BO256" t="s">
        <v>559</v>
      </c>
      <c r="BP256" t="s">
        <v>74</v>
      </c>
      <c r="BQ256" t="s">
        <v>74</v>
      </c>
      <c r="BR256" t="s">
        <v>103</v>
      </c>
      <c r="BS256" t="s">
        <v>5253</v>
      </c>
      <c r="BT256" t="str">
        <f>HYPERLINK("https%3A%2F%2Fwww.webofscience.com%2Fwos%2Fwoscc%2Ffull-record%2FWOS:000363732500009","View Full Record in Web of Science")</f>
        <v>View Full Record in Web of Science</v>
      </c>
    </row>
    <row r="257" spans="1:72" x14ac:dyDescent="0.15">
      <c r="A257" t="s">
        <v>72</v>
      </c>
      <c r="B257" t="s">
        <v>5254</v>
      </c>
      <c r="C257" t="s">
        <v>74</v>
      </c>
      <c r="D257" t="s">
        <v>74</v>
      </c>
      <c r="E257" t="s">
        <v>74</v>
      </c>
      <c r="F257" t="s">
        <v>5255</v>
      </c>
      <c r="G257" t="s">
        <v>74</v>
      </c>
      <c r="H257" t="s">
        <v>74</v>
      </c>
      <c r="I257" t="s">
        <v>5256</v>
      </c>
      <c r="J257" t="s">
        <v>1033</v>
      </c>
      <c r="K257" t="s">
        <v>74</v>
      </c>
      <c r="L257" t="s">
        <v>74</v>
      </c>
      <c r="M257" t="s">
        <v>78</v>
      </c>
      <c r="N257" t="s">
        <v>79</v>
      </c>
      <c r="O257" t="s">
        <v>74</v>
      </c>
      <c r="P257" t="s">
        <v>74</v>
      </c>
      <c r="Q257" t="s">
        <v>74</v>
      </c>
      <c r="R257" t="s">
        <v>74</v>
      </c>
      <c r="S257" t="s">
        <v>74</v>
      </c>
      <c r="T257" t="s">
        <v>5257</v>
      </c>
      <c r="U257" t="s">
        <v>74</v>
      </c>
      <c r="V257" t="s">
        <v>5258</v>
      </c>
      <c r="W257" t="s">
        <v>5259</v>
      </c>
      <c r="X257" t="s">
        <v>5260</v>
      </c>
      <c r="Y257" t="s">
        <v>5261</v>
      </c>
      <c r="Z257" t="s">
        <v>5262</v>
      </c>
      <c r="AA257" t="s">
        <v>5263</v>
      </c>
      <c r="AB257" t="s">
        <v>5264</v>
      </c>
      <c r="AC257" t="s">
        <v>5265</v>
      </c>
      <c r="AD257" t="s">
        <v>5266</v>
      </c>
      <c r="AE257" t="s">
        <v>5267</v>
      </c>
      <c r="AF257" t="s">
        <v>74</v>
      </c>
      <c r="AG257">
        <v>0</v>
      </c>
      <c r="AH257">
        <v>14</v>
      </c>
      <c r="AI257">
        <v>15</v>
      </c>
      <c r="AJ257">
        <v>2</v>
      </c>
      <c r="AK257">
        <v>50</v>
      </c>
      <c r="AL257" t="s">
        <v>1046</v>
      </c>
      <c r="AM257" t="s">
        <v>1047</v>
      </c>
      <c r="AN257" t="s">
        <v>1048</v>
      </c>
      <c r="AO257" t="s">
        <v>1049</v>
      </c>
      <c r="AP257" t="s">
        <v>1050</v>
      </c>
      <c r="AQ257" t="s">
        <v>74</v>
      </c>
      <c r="AR257" t="s">
        <v>1051</v>
      </c>
      <c r="AS257" t="s">
        <v>1052</v>
      </c>
      <c r="AT257" t="s">
        <v>5250</v>
      </c>
      <c r="AU257">
        <v>2015</v>
      </c>
      <c r="AV257">
        <v>536</v>
      </c>
      <c r="AW257" t="s">
        <v>74</v>
      </c>
      <c r="AX257" t="s">
        <v>74</v>
      </c>
      <c r="AY257" t="s">
        <v>74</v>
      </c>
      <c r="AZ257" t="s">
        <v>74</v>
      </c>
      <c r="BA257" t="s">
        <v>74</v>
      </c>
      <c r="BB257">
        <v>187</v>
      </c>
      <c r="BC257">
        <v>201</v>
      </c>
      <c r="BD257" t="s">
        <v>74</v>
      </c>
      <c r="BE257" t="s">
        <v>5268</v>
      </c>
      <c r="BF257" t="str">
        <f>HYPERLINK("http://dx.doi.org/10.3354/meps11436","http://dx.doi.org/10.3354/meps11436")</f>
        <v>http://dx.doi.org/10.3354/meps11436</v>
      </c>
      <c r="BG257" t="s">
        <v>74</v>
      </c>
      <c r="BH257" t="s">
        <v>74</v>
      </c>
      <c r="BI257">
        <v>15</v>
      </c>
      <c r="BJ257" t="s">
        <v>1054</v>
      </c>
      <c r="BK257" t="s">
        <v>101</v>
      </c>
      <c r="BL257" t="s">
        <v>1055</v>
      </c>
      <c r="BM257" t="s">
        <v>5252</v>
      </c>
      <c r="BN257" t="s">
        <v>74</v>
      </c>
      <c r="BO257" t="s">
        <v>162</v>
      </c>
      <c r="BP257" t="s">
        <v>74</v>
      </c>
      <c r="BQ257" t="s">
        <v>74</v>
      </c>
      <c r="BR257" t="s">
        <v>103</v>
      </c>
      <c r="BS257" t="s">
        <v>5269</v>
      </c>
      <c r="BT257" t="str">
        <f>HYPERLINK("https%3A%2F%2Fwww.webofscience.com%2Fwos%2Fwoscc%2Ffull-record%2FWOS:000363732500015","View Full Record in Web of Science")</f>
        <v>View Full Record in Web of Science</v>
      </c>
    </row>
    <row r="258" spans="1:72" x14ac:dyDescent="0.15">
      <c r="A258" t="s">
        <v>72</v>
      </c>
      <c r="B258" t="s">
        <v>5270</v>
      </c>
      <c r="C258" t="s">
        <v>74</v>
      </c>
      <c r="D258" t="s">
        <v>74</v>
      </c>
      <c r="E258" t="s">
        <v>74</v>
      </c>
      <c r="F258" t="s">
        <v>5271</v>
      </c>
      <c r="G258" t="s">
        <v>74</v>
      </c>
      <c r="H258" t="s">
        <v>74</v>
      </c>
      <c r="I258" t="s">
        <v>5272</v>
      </c>
      <c r="J258" t="s">
        <v>1008</v>
      </c>
      <c r="K258" t="s">
        <v>74</v>
      </c>
      <c r="L258" t="s">
        <v>74</v>
      </c>
      <c r="M258" t="s">
        <v>78</v>
      </c>
      <c r="N258" t="s">
        <v>79</v>
      </c>
      <c r="O258" t="s">
        <v>74</v>
      </c>
      <c r="P258" t="s">
        <v>74</v>
      </c>
      <c r="Q258" t="s">
        <v>74</v>
      </c>
      <c r="R258" t="s">
        <v>74</v>
      </c>
      <c r="S258" t="s">
        <v>74</v>
      </c>
      <c r="T258" t="s">
        <v>5273</v>
      </c>
      <c r="U258" t="s">
        <v>5274</v>
      </c>
      <c r="V258" t="s">
        <v>5275</v>
      </c>
      <c r="W258" t="s">
        <v>5276</v>
      </c>
      <c r="X258" t="s">
        <v>5277</v>
      </c>
      <c r="Y258" t="s">
        <v>5278</v>
      </c>
      <c r="Z258" t="s">
        <v>5279</v>
      </c>
      <c r="AA258" t="s">
        <v>5280</v>
      </c>
      <c r="AB258" t="s">
        <v>5281</v>
      </c>
      <c r="AC258" t="s">
        <v>5282</v>
      </c>
      <c r="AD258" t="s">
        <v>5283</v>
      </c>
      <c r="AE258" t="s">
        <v>5284</v>
      </c>
      <c r="AF258" t="s">
        <v>74</v>
      </c>
      <c r="AG258">
        <v>21</v>
      </c>
      <c r="AH258">
        <v>51</v>
      </c>
      <c r="AI258">
        <v>52</v>
      </c>
      <c r="AJ258">
        <v>0</v>
      </c>
      <c r="AK258">
        <v>19</v>
      </c>
      <c r="AL258" t="s">
        <v>306</v>
      </c>
      <c r="AM258" t="s">
        <v>307</v>
      </c>
      <c r="AN258" t="s">
        <v>308</v>
      </c>
      <c r="AO258" t="s">
        <v>1021</v>
      </c>
      <c r="AP258" t="s">
        <v>1022</v>
      </c>
      <c r="AQ258" t="s">
        <v>74</v>
      </c>
      <c r="AR258" t="s">
        <v>1023</v>
      </c>
      <c r="AS258" t="s">
        <v>1024</v>
      </c>
      <c r="AT258" t="s">
        <v>5285</v>
      </c>
      <c r="AU258">
        <v>2015</v>
      </c>
      <c r="AV258">
        <v>42</v>
      </c>
      <c r="AW258">
        <v>18</v>
      </c>
      <c r="AX258" t="s">
        <v>74</v>
      </c>
      <c r="AY258" t="s">
        <v>74</v>
      </c>
      <c r="AZ258" t="s">
        <v>74</v>
      </c>
      <c r="BA258" t="s">
        <v>74</v>
      </c>
      <c r="BB258">
        <v>7615</v>
      </c>
      <c r="BC258">
        <v>7622</v>
      </c>
      <c r="BD258" t="s">
        <v>74</v>
      </c>
      <c r="BE258" t="s">
        <v>5286</v>
      </c>
      <c r="BF258" t="str">
        <f>HYPERLINK("http://dx.doi.org/10.1002/2015GL065254","http://dx.doi.org/10.1002/2015GL065254")</f>
        <v>http://dx.doi.org/10.1002/2015GL065254</v>
      </c>
      <c r="BG258" t="s">
        <v>74</v>
      </c>
      <c r="BH258" t="s">
        <v>74</v>
      </c>
      <c r="BI258">
        <v>8</v>
      </c>
      <c r="BJ258" t="s">
        <v>314</v>
      </c>
      <c r="BK258" t="s">
        <v>101</v>
      </c>
      <c r="BL258" t="s">
        <v>315</v>
      </c>
      <c r="BM258" t="s">
        <v>5287</v>
      </c>
      <c r="BN258" t="s">
        <v>74</v>
      </c>
      <c r="BO258" t="s">
        <v>1528</v>
      </c>
      <c r="BP258" t="s">
        <v>74</v>
      </c>
      <c r="BQ258" t="s">
        <v>74</v>
      </c>
      <c r="BR258" t="s">
        <v>103</v>
      </c>
      <c r="BS258" t="s">
        <v>5288</v>
      </c>
      <c r="BT258" t="str">
        <f>HYPERLINK("https%3A%2F%2Fwww.webofscience.com%2Fwos%2Fwoscc%2Ffull-record%2FWOS:000363412400047","View Full Record in Web of Science")</f>
        <v>View Full Record in Web of Science</v>
      </c>
    </row>
    <row r="259" spans="1:72" x14ac:dyDescent="0.15">
      <c r="A259" t="s">
        <v>72</v>
      </c>
      <c r="B259" t="s">
        <v>5289</v>
      </c>
      <c r="C259" t="s">
        <v>74</v>
      </c>
      <c r="D259" t="s">
        <v>74</v>
      </c>
      <c r="E259" t="s">
        <v>74</v>
      </c>
      <c r="F259" t="s">
        <v>5290</v>
      </c>
      <c r="G259" t="s">
        <v>74</v>
      </c>
      <c r="H259" t="s">
        <v>74</v>
      </c>
      <c r="I259" t="s">
        <v>5291</v>
      </c>
      <c r="J259" t="s">
        <v>1008</v>
      </c>
      <c r="K259" t="s">
        <v>74</v>
      </c>
      <c r="L259" t="s">
        <v>74</v>
      </c>
      <c r="M259" t="s">
        <v>78</v>
      </c>
      <c r="N259" t="s">
        <v>79</v>
      </c>
      <c r="O259" t="s">
        <v>74</v>
      </c>
      <c r="P259" t="s">
        <v>74</v>
      </c>
      <c r="Q259" t="s">
        <v>74</v>
      </c>
      <c r="R259" t="s">
        <v>74</v>
      </c>
      <c r="S259" t="s">
        <v>74</v>
      </c>
      <c r="T259" t="s">
        <v>5292</v>
      </c>
      <c r="U259" t="s">
        <v>5293</v>
      </c>
      <c r="V259" t="s">
        <v>5294</v>
      </c>
      <c r="W259" t="s">
        <v>5295</v>
      </c>
      <c r="X259" t="s">
        <v>5296</v>
      </c>
      <c r="Y259" t="s">
        <v>5297</v>
      </c>
      <c r="Z259" t="s">
        <v>5298</v>
      </c>
      <c r="AA259" t="s">
        <v>5299</v>
      </c>
      <c r="AB259" t="s">
        <v>5300</v>
      </c>
      <c r="AC259" t="s">
        <v>5301</v>
      </c>
      <c r="AD259" t="s">
        <v>5302</v>
      </c>
      <c r="AE259" t="s">
        <v>5303</v>
      </c>
      <c r="AF259" t="s">
        <v>74</v>
      </c>
      <c r="AG259">
        <v>25</v>
      </c>
      <c r="AH259">
        <v>31</v>
      </c>
      <c r="AI259">
        <v>32</v>
      </c>
      <c r="AJ259">
        <v>0</v>
      </c>
      <c r="AK259">
        <v>15</v>
      </c>
      <c r="AL259" t="s">
        <v>306</v>
      </c>
      <c r="AM259" t="s">
        <v>307</v>
      </c>
      <c r="AN259" t="s">
        <v>308</v>
      </c>
      <c r="AO259" t="s">
        <v>1021</v>
      </c>
      <c r="AP259" t="s">
        <v>1022</v>
      </c>
      <c r="AQ259" t="s">
        <v>74</v>
      </c>
      <c r="AR259" t="s">
        <v>1023</v>
      </c>
      <c r="AS259" t="s">
        <v>1024</v>
      </c>
      <c r="AT259" t="s">
        <v>5285</v>
      </c>
      <c r="AU259">
        <v>2015</v>
      </c>
      <c r="AV259">
        <v>42</v>
      </c>
      <c r="AW259">
        <v>18</v>
      </c>
      <c r="AX259" t="s">
        <v>74</v>
      </c>
      <c r="AY259" t="s">
        <v>74</v>
      </c>
      <c r="AZ259" t="s">
        <v>74</v>
      </c>
      <c r="BA259" t="s">
        <v>74</v>
      </c>
      <c r="BB259">
        <v>7714</v>
      </c>
      <c r="BC259">
        <v>7721</v>
      </c>
      <c r="BD259" t="s">
        <v>74</v>
      </c>
      <c r="BE259" t="s">
        <v>5304</v>
      </c>
      <c r="BF259" t="str">
        <f>HYPERLINK("http://dx.doi.org/10.1002/2015GL065525","http://dx.doi.org/10.1002/2015GL065525")</f>
        <v>http://dx.doi.org/10.1002/2015GL065525</v>
      </c>
      <c r="BG259" t="s">
        <v>74</v>
      </c>
      <c r="BH259" t="s">
        <v>74</v>
      </c>
      <c r="BI259">
        <v>8</v>
      </c>
      <c r="BJ259" t="s">
        <v>314</v>
      </c>
      <c r="BK259" t="s">
        <v>101</v>
      </c>
      <c r="BL259" t="s">
        <v>315</v>
      </c>
      <c r="BM259" t="s">
        <v>5287</v>
      </c>
      <c r="BN259" t="s">
        <v>74</v>
      </c>
      <c r="BO259" t="s">
        <v>4189</v>
      </c>
      <c r="BP259" t="s">
        <v>74</v>
      </c>
      <c r="BQ259" t="s">
        <v>74</v>
      </c>
      <c r="BR259" t="s">
        <v>103</v>
      </c>
      <c r="BS259" t="s">
        <v>5305</v>
      </c>
      <c r="BT259" t="str">
        <f>HYPERLINK("https%3A%2F%2Fwww.webofscience.com%2Fwos%2Fwoscc%2Ffull-record%2FWOS:000363412400059","View Full Record in Web of Science")</f>
        <v>View Full Record in Web of Science</v>
      </c>
    </row>
    <row r="260" spans="1:72" x14ac:dyDescent="0.15">
      <c r="A260" t="s">
        <v>72</v>
      </c>
      <c r="B260" t="s">
        <v>5306</v>
      </c>
      <c r="C260" t="s">
        <v>74</v>
      </c>
      <c r="D260" t="s">
        <v>74</v>
      </c>
      <c r="E260" t="s">
        <v>74</v>
      </c>
      <c r="F260" t="s">
        <v>5307</v>
      </c>
      <c r="G260" t="s">
        <v>74</v>
      </c>
      <c r="H260" t="s">
        <v>74</v>
      </c>
      <c r="I260" t="s">
        <v>5308</v>
      </c>
      <c r="J260" t="s">
        <v>1008</v>
      </c>
      <c r="K260" t="s">
        <v>74</v>
      </c>
      <c r="L260" t="s">
        <v>74</v>
      </c>
      <c r="M260" t="s">
        <v>78</v>
      </c>
      <c r="N260" t="s">
        <v>79</v>
      </c>
      <c r="O260" t="s">
        <v>74</v>
      </c>
      <c r="P260" t="s">
        <v>74</v>
      </c>
      <c r="Q260" t="s">
        <v>74</v>
      </c>
      <c r="R260" t="s">
        <v>74</v>
      </c>
      <c r="S260" t="s">
        <v>74</v>
      </c>
      <c r="T260" t="s">
        <v>5309</v>
      </c>
      <c r="U260" t="s">
        <v>5310</v>
      </c>
      <c r="V260" t="s">
        <v>5311</v>
      </c>
      <c r="W260" t="s">
        <v>5312</v>
      </c>
      <c r="X260" t="s">
        <v>5313</v>
      </c>
      <c r="Y260" t="s">
        <v>5314</v>
      </c>
      <c r="Z260" t="s">
        <v>5315</v>
      </c>
      <c r="AA260" t="s">
        <v>5316</v>
      </c>
      <c r="AB260" t="s">
        <v>5317</v>
      </c>
      <c r="AC260" t="s">
        <v>5318</v>
      </c>
      <c r="AD260" t="s">
        <v>5319</v>
      </c>
      <c r="AE260" t="s">
        <v>5320</v>
      </c>
      <c r="AF260" t="s">
        <v>74</v>
      </c>
      <c r="AG260">
        <v>22</v>
      </c>
      <c r="AH260">
        <v>24</v>
      </c>
      <c r="AI260">
        <v>27</v>
      </c>
      <c r="AJ260">
        <v>0</v>
      </c>
      <c r="AK260">
        <v>8</v>
      </c>
      <c r="AL260" t="s">
        <v>306</v>
      </c>
      <c r="AM260" t="s">
        <v>307</v>
      </c>
      <c r="AN260" t="s">
        <v>308</v>
      </c>
      <c r="AO260" t="s">
        <v>1021</v>
      </c>
      <c r="AP260" t="s">
        <v>1022</v>
      </c>
      <c r="AQ260" t="s">
        <v>74</v>
      </c>
      <c r="AR260" t="s">
        <v>1023</v>
      </c>
      <c r="AS260" t="s">
        <v>1024</v>
      </c>
      <c r="AT260" t="s">
        <v>5285</v>
      </c>
      <c r="AU260">
        <v>2015</v>
      </c>
      <c r="AV260">
        <v>42</v>
      </c>
      <c r="AW260">
        <v>18</v>
      </c>
      <c r="AX260" t="s">
        <v>74</v>
      </c>
      <c r="AY260" t="s">
        <v>74</v>
      </c>
      <c r="AZ260" t="s">
        <v>74</v>
      </c>
      <c r="BA260" t="s">
        <v>74</v>
      </c>
      <c r="BB260">
        <v>7248</v>
      </c>
      <c r="BC260">
        <v>7254</v>
      </c>
      <c r="BD260" t="s">
        <v>74</v>
      </c>
      <c r="BE260" t="s">
        <v>5321</v>
      </c>
      <c r="BF260" t="str">
        <f>HYPERLINK("http://dx.doi.org/10.1002/2015GL065776","http://dx.doi.org/10.1002/2015GL065776")</f>
        <v>http://dx.doi.org/10.1002/2015GL065776</v>
      </c>
      <c r="BG260" t="s">
        <v>74</v>
      </c>
      <c r="BH260" t="s">
        <v>74</v>
      </c>
      <c r="BI260">
        <v>7</v>
      </c>
      <c r="BJ260" t="s">
        <v>314</v>
      </c>
      <c r="BK260" t="s">
        <v>101</v>
      </c>
      <c r="BL260" t="s">
        <v>315</v>
      </c>
      <c r="BM260" t="s">
        <v>5287</v>
      </c>
      <c r="BN260" t="s">
        <v>74</v>
      </c>
      <c r="BO260" t="s">
        <v>5066</v>
      </c>
      <c r="BP260" t="s">
        <v>74</v>
      </c>
      <c r="BQ260" t="s">
        <v>74</v>
      </c>
      <c r="BR260" t="s">
        <v>103</v>
      </c>
      <c r="BS260" t="s">
        <v>5322</v>
      </c>
      <c r="BT260" t="str">
        <f>HYPERLINK("https%3A%2F%2Fwww.webofscience.com%2Fwos%2Fwoscc%2Ffull-record%2FWOS:000363412400002","View Full Record in Web of Science")</f>
        <v>View Full Record in Web of Science</v>
      </c>
    </row>
    <row r="261" spans="1:72" x14ac:dyDescent="0.15">
      <c r="A261" t="s">
        <v>72</v>
      </c>
      <c r="B261" t="s">
        <v>5323</v>
      </c>
      <c r="C261" t="s">
        <v>74</v>
      </c>
      <c r="D261" t="s">
        <v>74</v>
      </c>
      <c r="E261" t="s">
        <v>74</v>
      </c>
      <c r="F261" t="s">
        <v>5324</v>
      </c>
      <c r="G261" t="s">
        <v>74</v>
      </c>
      <c r="H261" t="s">
        <v>74</v>
      </c>
      <c r="I261" t="s">
        <v>5325</v>
      </c>
      <c r="J261" t="s">
        <v>1008</v>
      </c>
      <c r="K261" t="s">
        <v>74</v>
      </c>
      <c r="L261" t="s">
        <v>74</v>
      </c>
      <c r="M261" t="s">
        <v>78</v>
      </c>
      <c r="N261" t="s">
        <v>79</v>
      </c>
      <c r="O261" t="s">
        <v>74</v>
      </c>
      <c r="P261" t="s">
        <v>74</v>
      </c>
      <c r="Q261" t="s">
        <v>74</v>
      </c>
      <c r="R261" t="s">
        <v>74</v>
      </c>
      <c r="S261" t="s">
        <v>74</v>
      </c>
      <c r="T261" t="s">
        <v>5326</v>
      </c>
      <c r="U261" t="s">
        <v>5327</v>
      </c>
      <c r="V261" t="s">
        <v>5328</v>
      </c>
      <c r="W261" t="s">
        <v>5329</v>
      </c>
      <c r="X261" t="s">
        <v>5330</v>
      </c>
      <c r="Y261" t="s">
        <v>5331</v>
      </c>
      <c r="Z261" t="s">
        <v>5332</v>
      </c>
      <c r="AA261" t="s">
        <v>5333</v>
      </c>
      <c r="AB261" t="s">
        <v>5334</v>
      </c>
      <c r="AC261" t="s">
        <v>5335</v>
      </c>
      <c r="AD261" t="s">
        <v>5336</v>
      </c>
      <c r="AE261" t="s">
        <v>5337</v>
      </c>
      <c r="AF261" t="s">
        <v>74</v>
      </c>
      <c r="AG261">
        <v>38</v>
      </c>
      <c r="AH261">
        <v>65</v>
      </c>
      <c r="AI261">
        <v>71</v>
      </c>
      <c r="AJ261">
        <v>2</v>
      </c>
      <c r="AK261">
        <v>40</v>
      </c>
      <c r="AL261" t="s">
        <v>306</v>
      </c>
      <c r="AM261" t="s">
        <v>307</v>
      </c>
      <c r="AN261" t="s">
        <v>308</v>
      </c>
      <c r="AO261" t="s">
        <v>1021</v>
      </c>
      <c r="AP261" t="s">
        <v>1022</v>
      </c>
      <c r="AQ261" t="s">
        <v>74</v>
      </c>
      <c r="AR261" t="s">
        <v>1023</v>
      </c>
      <c r="AS261" t="s">
        <v>1024</v>
      </c>
      <c r="AT261" t="s">
        <v>5285</v>
      </c>
      <c r="AU261">
        <v>2015</v>
      </c>
      <c r="AV261">
        <v>42</v>
      </c>
      <c r="AW261">
        <v>18</v>
      </c>
      <c r="AX261" t="s">
        <v>74</v>
      </c>
      <c r="AY261" t="s">
        <v>74</v>
      </c>
      <c r="AZ261" t="s">
        <v>74</v>
      </c>
      <c r="BA261" t="s">
        <v>74</v>
      </c>
      <c r="BB261">
        <v>7623</v>
      </c>
      <c r="BC261">
        <v>7630</v>
      </c>
      <c r="BD261" t="s">
        <v>74</v>
      </c>
      <c r="BE261" t="s">
        <v>5338</v>
      </c>
      <c r="BF261" t="str">
        <f>HYPERLINK("http://dx.doi.org/10.1002/2015GL065194","http://dx.doi.org/10.1002/2015GL065194")</f>
        <v>http://dx.doi.org/10.1002/2015GL065194</v>
      </c>
      <c r="BG261" t="s">
        <v>74</v>
      </c>
      <c r="BH261" t="s">
        <v>74</v>
      </c>
      <c r="BI261">
        <v>8</v>
      </c>
      <c r="BJ261" t="s">
        <v>314</v>
      </c>
      <c r="BK261" t="s">
        <v>101</v>
      </c>
      <c r="BL261" t="s">
        <v>315</v>
      </c>
      <c r="BM261" t="s">
        <v>5287</v>
      </c>
      <c r="BN261" t="s">
        <v>74</v>
      </c>
      <c r="BO261" t="s">
        <v>162</v>
      </c>
      <c r="BP261" t="s">
        <v>74</v>
      </c>
      <c r="BQ261" t="s">
        <v>74</v>
      </c>
      <c r="BR261" t="s">
        <v>103</v>
      </c>
      <c r="BS261" t="s">
        <v>5339</v>
      </c>
      <c r="BT261" t="str">
        <f>HYPERLINK("https%3A%2F%2Fwww.webofscience.com%2Fwos%2Fwoscc%2Ffull-record%2FWOS:000363412400048","View Full Record in Web of Science")</f>
        <v>View Full Record in Web of Science</v>
      </c>
    </row>
    <row r="262" spans="1:72" x14ac:dyDescent="0.15">
      <c r="A262" t="s">
        <v>72</v>
      </c>
      <c r="B262" t="s">
        <v>5340</v>
      </c>
      <c r="C262" t="s">
        <v>74</v>
      </c>
      <c r="D262" t="s">
        <v>74</v>
      </c>
      <c r="E262" t="s">
        <v>74</v>
      </c>
      <c r="F262" t="s">
        <v>5341</v>
      </c>
      <c r="G262" t="s">
        <v>74</v>
      </c>
      <c r="H262" t="s">
        <v>74</v>
      </c>
      <c r="I262" t="s">
        <v>5342</v>
      </c>
      <c r="J262" t="s">
        <v>1218</v>
      </c>
      <c r="K262" t="s">
        <v>74</v>
      </c>
      <c r="L262" t="s">
        <v>74</v>
      </c>
      <c r="M262" t="s">
        <v>78</v>
      </c>
      <c r="N262" t="s">
        <v>79</v>
      </c>
      <c r="O262" t="s">
        <v>74</v>
      </c>
      <c r="P262" t="s">
        <v>74</v>
      </c>
      <c r="Q262" t="s">
        <v>74</v>
      </c>
      <c r="R262" t="s">
        <v>74</v>
      </c>
      <c r="S262" t="s">
        <v>74</v>
      </c>
      <c r="T262" t="s">
        <v>5343</v>
      </c>
      <c r="U262" t="s">
        <v>5344</v>
      </c>
      <c r="V262" t="s">
        <v>5345</v>
      </c>
      <c r="W262" t="s">
        <v>5346</v>
      </c>
      <c r="X262" t="s">
        <v>5347</v>
      </c>
      <c r="Y262" t="s">
        <v>5348</v>
      </c>
      <c r="Z262" t="s">
        <v>5349</v>
      </c>
      <c r="AA262" t="s">
        <v>5350</v>
      </c>
      <c r="AB262" t="s">
        <v>5351</v>
      </c>
      <c r="AC262" t="s">
        <v>5352</v>
      </c>
      <c r="AD262" t="s">
        <v>5353</v>
      </c>
      <c r="AE262" t="s">
        <v>5354</v>
      </c>
      <c r="AF262" t="s">
        <v>74</v>
      </c>
      <c r="AG262">
        <v>51</v>
      </c>
      <c r="AH262">
        <v>45</v>
      </c>
      <c r="AI262">
        <v>49</v>
      </c>
      <c r="AJ262">
        <v>0</v>
      </c>
      <c r="AK262">
        <v>17</v>
      </c>
      <c r="AL262" t="s">
        <v>306</v>
      </c>
      <c r="AM262" t="s">
        <v>307</v>
      </c>
      <c r="AN262" t="s">
        <v>308</v>
      </c>
      <c r="AO262" t="s">
        <v>1229</v>
      </c>
      <c r="AP262" t="s">
        <v>1230</v>
      </c>
      <c r="AQ262" t="s">
        <v>74</v>
      </c>
      <c r="AR262" t="s">
        <v>1231</v>
      </c>
      <c r="AS262" t="s">
        <v>1232</v>
      </c>
      <c r="AT262" t="s">
        <v>5355</v>
      </c>
      <c r="AU262">
        <v>2015</v>
      </c>
      <c r="AV262">
        <v>120</v>
      </c>
      <c r="AW262">
        <v>18</v>
      </c>
      <c r="AX262" t="s">
        <v>74</v>
      </c>
      <c r="AY262" t="s">
        <v>74</v>
      </c>
      <c r="AZ262" t="s">
        <v>74</v>
      </c>
      <c r="BA262" t="s">
        <v>74</v>
      </c>
      <c r="BB262">
        <v>9323</v>
      </c>
      <c r="BC262">
        <v>9337</v>
      </c>
      <c r="BD262" t="s">
        <v>74</v>
      </c>
      <c r="BE262" t="s">
        <v>5356</v>
      </c>
      <c r="BF262" t="str">
        <f>HYPERLINK("http://dx.doi.org/10.1002/2015JD023197","http://dx.doi.org/10.1002/2015JD023197")</f>
        <v>http://dx.doi.org/10.1002/2015JD023197</v>
      </c>
      <c r="BG262" t="s">
        <v>74</v>
      </c>
      <c r="BH262" t="s">
        <v>74</v>
      </c>
      <c r="BI262">
        <v>15</v>
      </c>
      <c r="BJ262" t="s">
        <v>271</v>
      </c>
      <c r="BK262" t="s">
        <v>101</v>
      </c>
      <c r="BL262" t="s">
        <v>271</v>
      </c>
      <c r="BM262" t="s">
        <v>5357</v>
      </c>
      <c r="BN262" t="s">
        <v>74</v>
      </c>
      <c r="BO262" t="s">
        <v>701</v>
      </c>
      <c r="BP262" t="s">
        <v>74</v>
      </c>
      <c r="BQ262" t="s">
        <v>74</v>
      </c>
      <c r="BR262" t="s">
        <v>103</v>
      </c>
      <c r="BS262" t="s">
        <v>5358</v>
      </c>
      <c r="BT262" t="str">
        <f>HYPERLINK("https%3A%2F%2Fwww.webofscience.com%2Fwos%2Fwoscc%2Ffull-record%2FWOS:000363425900017","View Full Record in Web of Science")</f>
        <v>View Full Record in Web of Science</v>
      </c>
    </row>
    <row r="263" spans="1:72" x14ac:dyDescent="0.15">
      <c r="A263" t="s">
        <v>72</v>
      </c>
      <c r="B263" t="s">
        <v>5359</v>
      </c>
      <c r="C263" t="s">
        <v>74</v>
      </c>
      <c r="D263" t="s">
        <v>74</v>
      </c>
      <c r="E263" t="s">
        <v>74</v>
      </c>
      <c r="F263" t="s">
        <v>5360</v>
      </c>
      <c r="G263" t="s">
        <v>74</v>
      </c>
      <c r="H263" t="s">
        <v>74</v>
      </c>
      <c r="I263" t="s">
        <v>5361</v>
      </c>
      <c r="J263" t="s">
        <v>1218</v>
      </c>
      <c r="K263" t="s">
        <v>74</v>
      </c>
      <c r="L263" t="s">
        <v>74</v>
      </c>
      <c r="M263" t="s">
        <v>78</v>
      </c>
      <c r="N263" t="s">
        <v>79</v>
      </c>
      <c r="O263" t="s">
        <v>74</v>
      </c>
      <c r="P263" t="s">
        <v>74</v>
      </c>
      <c r="Q263" t="s">
        <v>74</v>
      </c>
      <c r="R263" t="s">
        <v>74</v>
      </c>
      <c r="S263" t="s">
        <v>74</v>
      </c>
      <c r="T263" t="s">
        <v>5362</v>
      </c>
      <c r="U263" t="s">
        <v>5363</v>
      </c>
      <c r="V263" t="s">
        <v>5364</v>
      </c>
      <c r="W263" t="s">
        <v>5365</v>
      </c>
      <c r="X263" t="s">
        <v>5366</v>
      </c>
      <c r="Y263" t="s">
        <v>5367</v>
      </c>
      <c r="Z263" t="s">
        <v>5368</v>
      </c>
      <c r="AA263" t="s">
        <v>74</v>
      </c>
      <c r="AB263" t="s">
        <v>5369</v>
      </c>
      <c r="AC263" t="s">
        <v>5370</v>
      </c>
      <c r="AD263" t="s">
        <v>4996</v>
      </c>
      <c r="AE263" t="s">
        <v>5371</v>
      </c>
      <c r="AF263" t="s">
        <v>74</v>
      </c>
      <c r="AG263">
        <v>30</v>
      </c>
      <c r="AH263">
        <v>10</v>
      </c>
      <c r="AI263">
        <v>10</v>
      </c>
      <c r="AJ263">
        <v>0</v>
      </c>
      <c r="AK263">
        <v>4</v>
      </c>
      <c r="AL263" t="s">
        <v>306</v>
      </c>
      <c r="AM263" t="s">
        <v>307</v>
      </c>
      <c r="AN263" t="s">
        <v>308</v>
      </c>
      <c r="AO263" t="s">
        <v>1229</v>
      </c>
      <c r="AP263" t="s">
        <v>1230</v>
      </c>
      <c r="AQ263" t="s">
        <v>74</v>
      </c>
      <c r="AR263" t="s">
        <v>1231</v>
      </c>
      <c r="AS263" t="s">
        <v>1232</v>
      </c>
      <c r="AT263" t="s">
        <v>5355</v>
      </c>
      <c r="AU263">
        <v>2015</v>
      </c>
      <c r="AV263">
        <v>120</v>
      </c>
      <c r="AW263">
        <v>18</v>
      </c>
      <c r="AX263" t="s">
        <v>74</v>
      </c>
      <c r="AY263" t="s">
        <v>74</v>
      </c>
      <c r="AZ263" t="s">
        <v>74</v>
      </c>
      <c r="BA263" t="s">
        <v>74</v>
      </c>
      <c r="BB263">
        <v>9514</v>
      </c>
      <c r="BC263">
        <v>9538</v>
      </c>
      <c r="BD263" t="s">
        <v>74</v>
      </c>
      <c r="BE263" t="s">
        <v>5372</v>
      </c>
      <c r="BF263" t="str">
        <f>HYPERLINK("http://dx.doi.org/10.1002/2015JD023575","http://dx.doi.org/10.1002/2015JD023575")</f>
        <v>http://dx.doi.org/10.1002/2015JD023575</v>
      </c>
      <c r="BG263" t="s">
        <v>74</v>
      </c>
      <c r="BH263" t="s">
        <v>74</v>
      </c>
      <c r="BI263">
        <v>25</v>
      </c>
      <c r="BJ263" t="s">
        <v>271</v>
      </c>
      <c r="BK263" t="s">
        <v>101</v>
      </c>
      <c r="BL263" t="s">
        <v>271</v>
      </c>
      <c r="BM263" t="s">
        <v>5357</v>
      </c>
      <c r="BN263" t="s">
        <v>74</v>
      </c>
      <c r="BO263" t="s">
        <v>162</v>
      </c>
      <c r="BP263" t="s">
        <v>74</v>
      </c>
      <c r="BQ263" t="s">
        <v>74</v>
      </c>
      <c r="BR263" t="s">
        <v>103</v>
      </c>
      <c r="BS263" t="s">
        <v>5373</v>
      </c>
      <c r="BT263" t="str">
        <f>HYPERLINK("https%3A%2F%2Fwww.webofscience.com%2Fwos%2Fwoscc%2Ffull-record%2FWOS:000363425900028","View Full Record in Web of Science")</f>
        <v>View Full Record in Web of Science</v>
      </c>
    </row>
    <row r="264" spans="1:72" x14ac:dyDescent="0.15">
      <c r="A264" t="s">
        <v>72</v>
      </c>
      <c r="B264" t="s">
        <v>5374</v>
      </c>
      <c r="C264" t="s">
        <v>74</v>
      </c>
      <c r="D264" t="s">
        <v>74</v>
      </c>
      <c r="E264" t="s">
        <v>74</v>
      </c>
      <c r="F264" t="s">
        <v>5375</v>
      </c>
      <c r="G264" t="s">
        <v>74</v>
      </c>
      <c r="H264" t="s">
        <v>74</v>
      </c>
      <c r="I264" t="s">
        <v>5376</v>
      </c>
      <c r="J264" t="s">
        <v>1218</v>
      </c>
      <c r="K264" t="s">
        <v>74</v>
      </c>
      <c r="L264" t="s">
        <v>74</v>
      </c>
      <c r="M264" t="s">
        <v>78</v>
      </c>
      <c r="N264" t="s">
        <v>79</v>
      </c>
      <c r="O264" t="s">
        <v>74</v>
      </c>
      <c r="P264" t="s">
        <v>74</v>
      </c>
      <c r="Q264" t="s">
        <v>74</v>
      </c>
      <c r="R264" t="s">
        <v>74</v>
      </c>
      <c r="S264" t="s">
        <v>74</v>
      </c>
      <c r="T264" t="s">
        <v>5377</v>
      </c>
      <c r="U264" t="s">
        <v>5378</v>
      </c>
      <c r="V264" t="s">
        <v>5379</v>
      </c>
      <c r="W264" t="s">
        <v>5380</v>
      </c>
      <c r="X264" t="s">
        <v>5381</v>
      </c>
      <c r="Y264" t="s">
        <v>5382</v>
      </c>
      <c r="Z264" t="s">
        <v>5383</v>
      </c>
      <c r="AA264" t="s">
        <v>5384</v>
      </c>
      <c r="AB264" t="s">
        <v>5385</v>
      </c>
      <c r="AC264" t="s">
        <v>5386</v>
      </c>
      <c r="AD264" t="s">
        <v>5387</v>
      </c>
      <c r="AE264" t="s">
        <v>5388</v>
      </c>
      <c r="AF264" t="s">
        <v>74</v>
      </c>
      <c r="AG264">
        <v>92</v>
      </c>
      <c r="AH264">
        <v>85</v>
      </c>
      <c r="AI264">
        <v>92</v>
      </c>
      <c r="AJ264">
        <v>4</v>
      </c>
      <c r="AK264">
        <v>42</v>
      </c>
      <c r="AL264" t="s">
        <v>306</v>
      </c>
      <c r="AM264" t="s">
        <v>307</v>
      </c>
      <c r="AN264" t="s">
        <v>308</v>
      </c>
      <c r="AO264" t="s">
        <v>1229</v>
      </c>
      <c r="AP264" t="s">
        <v>1230</v>
      </c>
      <c r="AQ264" t="s">
        <v>74</v>
      </c>
      <c r="AR264" t="s">
        <v>1231</v>
      </c>
      <c r="AS264" t="s">
        <v>1232</v>
      </c>
      <c r="AT264" t="s">
        <v>5355</v>
      </c>
      <c r="AU264">
        <v>2015</v>
      </c>
      <c r="AV264">
        <v>120</v>
      </c>
      <c r="AW264">
        <v>18</v>
      </c>
      <c r="AX264" t="s">
        <v>74</v>
      </c>
      <c r="AY264" t="s">
        <v>74</v>
      </c>
      <c r="AZ264" t="s">
        <v>74</v>
      </c>
      <c r="BA264" t="s">
        <v>74</v>
      </c>
      <c r="BB264">
        <v>9303</v>
      </c>
      <c r="BC264">
        <v>9322</v>
      </c>
      <c r="BD264" t="s">
        <v>74</v>
      </c>
      <c r="BE264" t="s">
        <v>5389</v>
      </c>
      <c r="BF264" t="str">
        <f>HYPERLINK("http://dx.doi.org/10.1002/2015JD023304","http://dx.doi.org/10.1002/2015JD023304")</f>
        <v>http://dx.doi.org/10.1002/2015JD023304</v>
      </c>
      <c r="BG264" t="s">
        <v>74</v>
      </c>
      <c r="BH264" t="s">
        <v>74</v>
      </c>
      <c r="BI264">
        <v>20</v>
      </c>
      <c r="BJ264" t="s">
        <v>271</v>
      </c>
      <c r="BK264" t="s">
        <v>101</v>
      </c>
      <c r="BL264" t="s">
        <v>271</v>
      </c>
      <c r="BM264" t="s">
        <v>5357</v>
      </c>
      <c r="BN264" t="s">
        <v>74</v>
      </c>
      <c r="BO264" t="s">
        <v>162</v>
      </c>
      <c r="BP264" t="s">
        <v>74</v>
      </c>
      <c r="BQ264" t="s">
        <v>74</v>
      </c>
      <c r="BR264" t="s">
        <v>103</v>
      </c>
      <c r="BS264" t="s">
        <v>5390</v>
      </c>
      <c r="BT264" t="str">
        <f>HYPERLINK("https%3A%2F%2Fwww.webofscience.com%2Fwos%2Fwoscc%2Ffull-record%2FWOS:000363425900016","View Full Record in Web of Science")</f>
        <v>View Full Record in Web of Science</v>
      </c>
    </row>
    <row r="265" spans="1:72" x14ac:dyDescent="0.15">
      <c r="A265" t="s">
        <v>72</v>
      </c>
      <c r="B265" t="s">
        <v>5391</v>
      </c>
      <c r="C265" t="s">
        <v>74</v>
      </c>
      <c r="D265" t="s">
        <v>74</v>
      </c>
      <c r="E265" t="s">
        <v>74</v>
      </c>
      <c r="F265" t="s">
        <v>5392</v>
      </c>
      <c r="G265" t="s">
        <v>74</v>
      </c>
      <c r="H265" t="s">
        <v>74</v>
      </c>
      <c r="I265" t="s">
        <v>5393</v>
      </c>
      <c r="J265" t="s">
        <v>1078</v>
      </c>
      <c r="K265" t="s">
        <v>74</v>
      </c>
      <c r="L265" t="s">
        <v>74</v>
      </c>
      <c r="M265" t="s">
        <v>78</v>
      </c>
      <c r="N265" t="s">
        <v>79</v>
      </c>
      <c r="O265" t="s">
        <v>74</v>
      </c>
      <c r="P265" t="s">
        <v>74</v>
      </c>
      <c r="Q265" t="s">
        <v>74</v>
      </c>
      <c r="R265" t="s">
        <v>74</v>
      </c>
      <c r="S265" t="s">
        <v>74</v>
      </c>
      <c r="T265" t="s">
        <v>74</v>
      </c>
      <c r="U265" t="s">
        <v>5394</v>
      </c>
      <c r="V265" t="s">
        <v>5395</v>
      </c>
      <c r="W265" t="s">
        <v>5396</v>
      </c>
      <c r="X265" t="s">
        <v>5397</v>
      </c>
      <c r="Y265" t="s">
        <v>5398</v>
      </c>
      <c r="Z265" t="s">
        <v>5399</v>
      </c>
      <c r="AA265" t="s">
        <v>5400</v>
      </c>
      <c r="AB265" t="s">
        <v>5401</v>
      </c>
      <c r="AC265" t="s">
        <v>5402</v>
      </c>
      <c r="AD265" t="s">
        <v>5403</v>
      </c>
      <c r="AE265" t="s">
        <v>5404</v>
      </c>
      <c r="AF265" t="s">
        <v>74</v>
      </c>
      <c r="AG265">
        <v>43</v>
      </c>
      <c r="AH265">
        <v>25</v>
      </c>
      <c r="AI265">
        <v>25</v>
      </c>
      <c r="AJ265">
        <v>0</v>
      </c>
      <c r="AK265">
        <v>23</v>
      </c>
      <c r="AL265" t="s">
        <v>1089</v>
      </c>
      <c r="AM265" t="s">
        <v>1090</v>
      </c>
      <c r="AN265" t="s">
        <v>1091</v>
      </c>
      <c r="AO265" t="s">
        <v>1092</v>
      </c>
      <c r="AP265" t="s">
        <v>74</v>
      </c>
      <c r="AQ265" t="s">
        <v>74</v>
      </c>
      <c r="AR265" t="s">
        <v>1078</v>
      </c>
      <c r="AS265" t="s">
        <v>1093</v>
      </c>
      <c r="AT265" t="s">
        <v>5405</v>
      </c>
      <c r="AU265">
        <v>2015</v>
      </c>
      <c r="AV265">
        <v>10</v>
      </c>
      <c r="AW265">
        <v>9</v>
      </c>
      <c r="AX265" t="s">
        <v>74</v>
      </c>
      <c r="AY265" t="s">
        <v>74</v>
      </c>
      <c r="AZ265" t="s">
        <v>74</v>
      </c>
      <c r="BA265" t="s">
        <v>74</v>
      </c>
      <c r="BB265" t="s">
        <v>74</v>
      </c>
      <c r="BC265" t="s">
        <v>74</v>
      </c>
      <c r="BD265" t="s">
        <v>5406</v>
      </c>
      <c r="BE265" t="s">
        <v>5407</v>
      </c>
      <c r="BF265" t="str">
        <f>HYPERLINK("http://dx.doi.org/10.1371/journal.pone.0139174","http://dx.doi.org/10.1371/journal.pone.0139174")</f>
        <v>http://dx.doi.org/10.1371/journal.pone.0139174</v>
      </c>
      <c r="BG265" t="s">
        <v>74</v>
      </c>
      <c r="BH265" t="s">
        <v>74</v>
      </c>
      <c r="BI265">
        <v>14</v>
      </c>
      <c r="BJ265" t="s">
        <v>530</v>
      </c>
      <c r="BK265" t="s">
        <v>101</v>
      </c>
      <c r="BL265" t="s">
        <v>531</v>
      </c>
      <c r="BM265" t="s">
        <v>5408</v>
      </c>
      <c r="BN265">
        <v>26407095</v>
      </c>
      <c r="BO265" t="s">
        <v>5409</v>
      </c>
      <c r="BP265" t="s">
        <v>74</v>
      </c>
      <c r="BQ265" t="s">
        <v>74</v>
      </c>
      <c r="BR265" t="s">
        <v>103</v>
      </c>
      <c r="BS265" t="s">
        <v>5410</v>
      </c>
      <c r="BT265" t="str">
        <f>HYPERLINK("https%3A%2F%2Fwww.webofscience.com%2Fwos%2Fwoscc%2Ffull-record%2FWOS:000361800700184","View Full Record in Web of Science")</f>
        <v>View Full Record in Web of Science</v>
      </c>
    </row>
    <row r="266" spans="1:72" x14ac:dyDescent="0.15">
      <c r="A266" t="s">
        <v>72</v>
      </c>
      <c r="B266" t="s">
        <v>5411</v>
      </c>
      <c r="C266" t="s">
        <v>74</v>
      </c>
      <c r="D266" t="s">
        <v>74</v>
      </c>
      <c r="E266" t="s">
        <v>74</v>
      </c>
      <c r="F266" t="s">
        <v>5412</v>
      </c>
      <c r="G266" t="s">
        <v>74</v>
      </c>
      <c r="H266" t="s">
        <v>74</v>
      </c>
      <c r="I266" t="s">
        <v>5413</v>
      </c>
      <c r="J266" t="s">
        <v>996</v>
      </c>
      <c r="K266" t="s">
        <v>74</v>
      </c>
      <c r="L266" t="s">
        <v>74</v>
      </c>
      <c r="M266" t="s">
        <v>78</v>
      </c>
      <c r="N266" t="s">
        <v>79</v>
      </c>
      <c r="O266" t="s">
        <v>74</v>
      </c>
      <c r="P266" t="s">
        <v>74</v>
      </c>
      <c r="Q266" t="s">
        <v>74</v>
      </c>
      <c r="R266" t="s">
        <v>74</v>
      </c>
      <c r="S266" t="s">
        <v>74</v>
      </c>
      <c r="T266" t="s">
        <v>74</v>
      </c>
      <c r="U266" t="s">
        <v>5414</v>
      </c>
      <c r="V266" t="s">
        <v>5415</v>
      </c>
      <c r="W266" t="s">
        <v>5416</v>
      </c>
      <c r="X266" t="s">
        <v>5417</v>
      </c>
      <c r="Y266" t="s">
        <v>5418</v>
      </c>
      <c r="Z266" t="s">
        <v>5419</v>
      </c>
      <c r="AA266" t="s">
        <v>5420</v>
      </c>
      <c r="AB266" t="s">
        <v>5421</v>
      </c>
      <c r="AC266" t="s">
        <v>5422</v>
      </c>
      <c r="AD266" t="s">
        <v>5423</v>
      </c>
      <c r="AE266" t="s">
        <v>5424</v>
      </c>
      <c r="AF266" t="s">
        <v>74</v>
      </c>
      <c r="AG266">
        <v>39</v>
      </c>
      <c r="AH266">
        <v>87</v>
      </c>
      <c r="AI266">
        <v>101</v>
      </c>
      <c r="AJ266">
        <v>8</v>
      </c>
      <c r="AK266">
        <v>94</v>
      </c>
      <c r="AL266" t="s">
        <v>776</v>
      </c>
      <c r="AM266" t="s">
        <v>307</v>
      </c>
      <c r="AN266" t="s">
        <v>777</v>
      </c>
      <c r="AO266" t="s">
        <v>998</v>
      </c>
      <c r="AP266" t="s">
        <v>999</v>
      </c>
      <c r="AQ266" t="s">
        <v>74</v>
      </c>
      <c r="AR266" t="s">
        <v>996</v>
      </c>
      <c r="AS266" t="s">
        <v>1000</v>
      </c>
      <c r="AT266" t="s">
        <v>5405</v>
      </c>
      <c r="AU266">
        <v>2015</v>
      </c>
      <c r="AV266">
        <v>349</v>
      </c>
      <c r="AW266">
        <v>6255</v>
      </c>
      <c r="AX266" t="s">
        <v>74</v>
      </c>
      <c r="AY266" t="s">
        <v>74</v>
      </c>
      <c r="AZ266" t="s">
        <v>74</v>
      </c>
      <c r="BA266" t="s">
        <v>74</v>
      </c>
      <c r="BB266">
        <v>1537</v>
      </c>
      <c r="BC266">
        <v>1541</v>
      </c>
      <c r="BD266" t="s">
        <v>74</v>
      </c>
      <c r="BE266" t="s">
        <v>5425</v>
      </c>
      <c r="BF266" t="str">
        <f>HYPERLINK("http://dx.doi.org/10.1126/science.aac6159","http://dx.doi.org/10.1126/science.aac6159")</f>
        <v>http://dx.doi.org/10.1126/science.aac6159</v>
      </c>
      <c r="BG266" t="s">
        <v>74</v>
      </c>
      <c r="BH266" t="s">
        <v>74</v>
      </c>
      <c r="BI266">
        <v>5</v>
      </c>
      <c r="BJ266" t="s">
        <v>530</v>
      </c>
      <c r="BK266" t="s">
        <v>101</v>
      </c>
      <c r="BL266" t="s">
        <v>531</v>
      </c>
      <c r="BM266" t="s">
        <v>5426</v>
      </c>
      <c r="BN266">
        <v>26404835</v>
      </c>
      <c r="BO266" t="s">
        <v>1073</v>
      </c>
      <c r="BP266" t="s">
        <v>74</v>
      </c>
      <c r="BQ266" t="s">
        <v>74</v>
      </c>
      <c r="BR266" t="s">
        <v>103</v>
      </c>
      <c r="BS266" t="s">
        <v>5427</v>
      </c>
      <c r="BT266" t="str">
        <f>HYPERLINK("https%3A%2F%2Fwww.webofscience.com%2Fwos%2Fwoscc%2Ffull-record%2FWOS:000361707000047","View Full Record in Web of Science")</f>
        <v>View Full Record in Web of Science</v>
      </c>
    </row>
    <row r="267" spans="1:72" x14ac:dyDescent="0.15">
      <c r="A267" t="s">
        <v>72</v>
      </c>
      <c r="B267" t="s">
        <v>5428</v>
      </c>
      <c r="C267" t="s">
        <v>74</v>
      </c>
      <c r="D267" t="s">
        <v>74</v>
      </c>
      <c r="E267" t="s">
        <v>74</v>
      </c>
      <c r="F267" t="s">
        <v>5429</v>
      </c>
      <c r="G267" t="s">
        <v>74</v>
      </c>
      <c r="H267" t="s">
        <v>74</v>
      </c>
      <c r="I267" t="s">
        <v>5430</v>
      </c>
      <c r="J267" t="s">
        <v>1193</v>
      </c>
      <c r="K267" t="s">
        <v>74</v>
      </c>
      <c r="L267" t="s">
        <v>74</v>
      </c>
      <c r="M267" t="s">
        <v>78</v>
      </c>
      <c r="N267" t="s">
        <v>79</v>
      </c>
      <c r="O267" t="s">
        <v>74</v>
      </c>
      <c r="P267" t="s">
        <v>74</v>
      </c>
      <c r="Q267" t="s">
        <v>74</v>
      </c>
      <c r="R267" t="s">
        <v>74</v>
      </c>
      <c r="S267" t="s">
        <v>74</v>
      </c>
      <c r="T267" t="s">
        <v>5431</v>
      </c>
      <c r="U267" t="s">
        <v>5432</v>
      </c>
      <c r="V267" t="s">
        <v>5433</v>
      </c>
      <c r="W267" t="s">
        <v>5434</v>
      </c>
      <c r="X267" t="s">
        <v>5435</v>
      </c>
      <c r="Y267" t="s">
        <v>5436</v>
      </c>
      <c r="Z267" t="s">
        <v>5437</v>
      </c>
      <c r="AA267" t="s">
        <v>74</v>
      </c>
      <c r="AB267" t="s">
        <v>74</v>
      </c>
      <c r="AC267" t="s">
        <v>5438</v>
      </c>
      <c r="AD267" t="s">
        <v>5439</v>
      </c>
      <c r="AE267" t="s">
        <v>5440</v>
      </c>
      <c r="AF267" t="s">
        <v>74</v>
      </c>
      <c r="AG267">
        <v>34</v>
      </c>
      <c r="AH267">
        <v>3</v>
      </c>
      <c r="AI267">
        <v>3</v>
      </c>
      <c r="AJ267">
        <v>0</v>
      </c>
      <c r="AK267">
        <v>0</v>
      </c>
      <c r="AL267" t="s">
        <v>1206</v>
      </c>
      <c r="AM267" t="s">
        <v>1207</v>
      </c>
      <c r="AN267" t="s">
        <v>1208</v>
      </c>
      <c r="AO267" t="s">
        <v>1209</v>
      </c>
      <c r="AP267" t="s">
        <v>1210</v>
      </c>
      <c r="AQ267" t="s">
        <v>74</v>
      </c>
      <c r="AR267" t="s">
        <v>1193</v>
      </c>
      <c r="AS267" t="s">
        <v>1211</v>
      </c>
      <c r="AT267" t="s">
        <v>5441</v>
      </c>
      <c r="AU267">
        <v>2015</v>
      </c>
      <c r="AV267">
        <v>4021</v>
      </c>
      <c r="AW267">
        <v>1</v>
      </c>
      <c r="AX267" t="s">
        <v>74</v>
      </c>
      <c r="AY267" t="s">
        <v>74</v>
      </c>
      <c r="AZ267" t="s">
        <v>74</v>
      </c>
      <c r="BA267" t="s">
        <v>74</v>
      </c>
      <c r="BB267">
        <v>169</v>
      </c>
      <c r="BC267">
        <v>177</v>
      </c>
      <c r="BD267" t="s">
        <v>74</v>
      </c>
      <c r="BE267" t="s">
        <v>74</v>
      </c>
      <c r="BF267" t="s">
        <v>74</v>
      </c>
      <c r="BG267" t="s">
        <v>74</v>
      </c>
      <c r="BH267" t="s">
        <v>74</v>
      </c>
      <c r="BI267">
        <v>9</v>
      </c>
      <c r="BJ267" t="s">
        <v>243</v>
      </c>
      <c r="BK267" t="s">
        <v>101</v>
      </c>
      <c r="BL267" t="s">
        <v>243</v>
      </c>
      <c r="BM267" t="s">
        <v>5442</v>
      </c>
      <c r="BN267">
        <v>26624124</v>
      </c>
      <c r="BO267" t="s">
        <v>74</v>
      </c>
      <c r="BP267" t="s">
        <v>74</v>
      </c>
      <c r="BQ267" t="s">
        <v>74</v>
      </c>
      <c r="BR267" t="s">
        <v>103</v>
      </c>
      <c r="BS267" t="s">
        <v>5443</v>
      </c>
      <c r="BT267" t="str">
        <f>HYPERLINK("https%3A%2F%2Fwww.webofscience.com%2Fwos%2Fwoscc%2Ffull-record%2FWOS:000361845100007","View Full Record in Web of Science")</f>
        <v>View Full Record in Web of Science</v>
      </c>
    </row>
    <row r="268" spans="1:72" x14ac:dyDescent="0.15">
      <c r="A268" t="s">
        <v>72</v>
      </c>
      <c r="B268" t="s">
        <v>5444</v>
      </c>
      <c r="C268" t="s">
        <v>74</v>
      </c>
      <c r="D268" t="s">
        <v>74</v>
      </c>
      <c r="E268" t="s">
        <v>74</v>
      </c>
      <c r="F268" t="s">
        <v>5445</v>
      </c>
      <c r="G268" t="s">
        <v>74</v>
      </c>
      <c r="H268" t="s">
        <v>74</v>
      </c>
      <c r="I268" t="s">
        <v>5446</v>
      </c>
      <c r="J268" t="s">
        <v>1931</v>
      </c>
      <c r="K268" t="s">
        <v>74</v>
      </c>
      <c r="L268" t="s">
        <v>74</v>
      </c>
      <c r="M268" t="s">
        <v>78</v>
      </c>
      <c r="N268" t="s">
        <v>581</v>
      </c>
      <c r="O268" t="s">
        <v>74</v>
      </c>
      <c r="P268" t="s">
        <v>74</v>
      </c>
      <c r="Q268" t="s">
        <v>74</v>
      </c>
      <c r="R268" t="s">
        <v>74</v>
      </c>
      <c r="S268" t="s">
        <v>74</v>
      </c>
      <c r="T268" t="s">
        <v>5447</v>
      </c>
      <c r="U268" t="s">
        <v>5448</v>
      </c>
      <c r="V268" t="s">
        <v>5449</v>
      </c>
      <c r="W268" t="s">
        <v>5450</v>
      </c>
      <c r="X268" t="s">
        <v>5451</v>
      </c>
      <c r="Y268" t="s">
        <v>5452</v>
      </c>
      <c r="Z268" t="s">
        <v>5453</v>
      </c>
      <c r="AA268" t="s">
        <v>5454</v>
      </c>
      <c r="AB268" t="s">
        <v>5455</v>
      </c>
      <c r="AC268" t="s">
        <v>5456</v>
      </c>
      <c r="AD268" t="s">
        <v>74</v>
      </c>
      <c r="AE268" t="s">
        <v>5457</v>
      </c>
      <c r="AF268" t="s">
        <v>74</v>
      </c>
      <c r="AG268">
        <v>39</v>
      </c>
      <c r="AH268">
        <v>24</v>
      </c>
      <c r="AI268">
        <v>24</v>
      </c>
      <c r="AJ268">
        <v>1</v>
      </c>
      <c r="AK268">
        <v>40</v>
      </c>
      <c r="AL268" t="s">
        <v>1927</v>
      </c>
      <c r="AM268" t="s">
        <v>1928</v>
      </c>
      <c r="AN268" t="s">
        <v>1929</v>
      </c>
      <c r="AO268" t="s">
        <v>1930</v>
      </c>
      <c r="AP268" t="s">
        <v>74</v>
      </c>
      <c r="AQ268" t="s">
        <v>74</v>
      </c>
      <c r="AR268" t="s">
        <v>1931</v>
      </c>
      <c r="AS268" t="s">
        <v>1917</v>
      </c>
      <c r="AT268" t="s">
        <v>5441</v>
      </c>
      <c r="AU268">
        <v>2015</v>
      </c>
      <c r="AV268">
        <v>4</v>
      </c>
      <c r="AW268" t="s">
        <v>74</v>
      </c>
      <c r="AX268" t="s">
        <v>74</v>
      </c>
      <c r="AY268" t="s">
        <v>74</v>
      </c>
      <c r="AZ268" t="s">
        <v>74</v>
      </c>
      <c r="BA268" t="s">
        <v>74</v>
      </c>
      <c r="BB268" t="s">
        <v>74</v>
      </c>
      <c r="BC268" t="s">
        <v>74</v>
      </c>
      <c r="BD268">
        <v>545</v>
      </c>
      <c r="BE268" t="s">
        <v>5458</v>
      </c>
      <c r="BF268" t="str">
        <f>HYPERLINK("http://dx.doi.org/10.1186/s40064-015-1324-9","http://dx.doi.org/10.1186/s40064-015-1324-9")</f>
        <v>http://dx.doi.org/10.1186/s40064-015-1324-9</v>
      </c>
      <c r="BG268" t="s">
        <v>74</v>
      </c>
      <c r="BH268" t="s">
        <v>74</v>
      </c>
      <c r="BI268">
        <v>10</v>
      </c>
      <c r="BJ268" t="s">
        <v>530</v>
      </c>
      <c r="BK268" t="s">
        <v>101</v>
      </c>
      <c r="BL268" t="s">
        <v>531</v>
      </c>
      <c r="BM268" t="s">
        <v>5459</v>
      </c>
      <c r="BN268">
        <v>26435891</v>
      </c>
      <c r="BO268" t="s">
        <v>533</v>
      </c>
      <c r="BP268" t="s">
        <v>74</v>
      </c>
      <c r="BQ268" t="s">
        <v>74</v>
      </c>
      <c r="BR268" t="s">
        <v>103</v>
      </c>
      <c r="BS268" t="s">
        <v>5460</v>
      </c>
      <c r="BT268" t="str">
        <f>HYPERLINK("https%3A%2F%2Fwww.webofscience.com%2Fwos%2Fwoscc%2Ffull-record%2FWOS:000361639900003","View Full Record in Web of Science")</f>
        <v>View Full Record in Web of Science</v>
      </c>
    </row>
    <row r="269" spans="1:72" x14ac:dyDescent="0.15">
      <c r="A269" t="s">
        <v>72</v>
      </c>
      <c r="B269" t="s">
        <v>5461</v>
      </c>
      <c r="C269" t="s">
        <v>74</v>
      </c>
      <c r="D269" t="s">
        <v>74</v>
      </c>
      <c r="E269" t="s">
        <v>74</v>
      </c>
      <c r="F269" t="s">
        <v>5462</v>
      </c>
      <c r="G269" t="s">
        <v>74</v>
      </c>
      <c r="H269" t="s">
        <v>74</v>
      </c>
      <c r="I269" t="s">
        <v>5463</v>
      </c>
      <c r="J269" t="s">
        <v>1078</v>
      </c>
      <c r="K269" t="s">
        <v>74</v>
      </c>
      <c r="L269" t="s">
        <v>74</v>
      </c>
      <c r="M269" t="s">
        <v>78</v>
      </c>
      <c r="N269" t="s">
        <v>79</v>
      </c>
      <c r="O269" t="s">
        <v>74</v>
      </c>
      <c r="P269" t="s">
        <v>74</v>
      </c>
      <c r="Q269" t="s">
        <v>74</v>
      </c>
      <c r="R269" t="s">
        <v>74</v>
      </c>
      <c r="S269" t="s">
        <v>74</v>
      </c>
      <c r="T269" t="s">
        <v>74</v>
      </c>
      <c r="U269" t="s">
        <v>5464</v>
      </c>
      <c r="V269" t="s">
        <v>5465</v>
      </c>
      <c r="W269" t="s">
        <v>5466</v>
      </c>
      <c r="X269" t="s">
        <v>5467</v>
      </c>
      <c r="Y269" t="s">
        <v>5468</v>
      </c>
      <c r="Z269" t="s">
        <v>5469</v>
      </c>
      <c r="AA269" t="s">
        <v>5470</v>
      </c>
      <c r="AB269" t="s">
        <v>5471</v>
      </c>
      <c r="AC269" t="s">
        <v>5472</v>
      </c>
      <c r="AD269" t="s">
        <v>5473</v>
      </c>
      <c r="AE269" t="s">
        <v>5474</v>
      </c>
      <c r="AF269" t="s">
        <v>74</v>
      </c>
      <c r="AG269">
        <v>41</v>
      </c>
      <c r="AH269">
        <v>19</v>
      </c>
      <c r="AI269">
        <v>22</v>
      </c>
      <c r="AJ269">
        <v>0</v>
      </c>
      <c r="AK269">
        <v>39</v>
      </c>
      <c r="AL269" t="s">
        <v>1089</v>
      </c>
      <c r="AM269" t="s">
        <v>1090</v>
      </c>
      <c r="AN269" t="s">
        <v>1091</v>
      </c>
      <c r="AO269" t="s">
        <v>1092</v>
      </c>
      <c r="AP269" t="s">
        <v>74</v>
      </c>
      <c r="AQ269" t="s">
        <v>74</v>
      </c>
      <c r="AR269" t="s">
        <v>1078</v>
      </c>
      <c r="AS269" t="s">
        <v>1093</v>
      </c>
      <c r="AT269" t="s">
        <v>5475</v>
      </c>
      <c r="AU269">
        <v>2015</v>
      </c>
      <c r="AV269">
        <v>10</v>
      </c>
      <c r="AW269">
        <v>9</v>
      </c>
      <c r="AX269" t="s">
        <v>74</v>
      </c>
      <c r="AY269" t="s">
        <v>74</v>
      </c>
      <c r="AZ269" t="s">
        <v>74</v>
      </c>
      <c r="BA269" t="s">
        <v>74</v>
      </c>
      <c r="BB269" t="s">
        <v>74</v>
      </c>
      <c r="BC269" t="s">
        <v>74</v>
      </c>
      <c r="BD269" t="s">
        <v>5476</v>
      </c>
      <c r="BE269" t="s">
        <v>5477</v>
      </c>
      <c r="BF269" t="str">
        <f>HYPERLINK("http://dx.doi.org/10.1371/journal.pone.0138327","http://dx.doi.org/10.1371/journal.pone.0138327")</f>
        <v>http://dx.doi.org/10.1371/journal.pone.0138327</v>
      </c>
      <c r="BG269" t="s">
        <v>74</v>
      </c>
      <c r="BH269" t="s">
        <v>74</v>
      </c>
      <c r="BI269">
        <v>15</v>
      </c>
      <c r="BJ269" t="s">
        <v>530</v>
      </c>
      <c r="BK269" t="s">
        <v>101</v>
      </c>
      <c r="BL269" t="s">
        <v>531</v>
      </c>
      <c r="BM269" t="s">
        <v>5478</v>
      </c>
      <c r="BN269">
        <v>26398766</v>
      </c>
      <c r="BO269" t="s">
        <v>5479</v>
      </c>
      <c r="BP269" t="s">
        <v>74</v>
      </c>
      <c r="BQ269" t="s">
        <v>74</v>
      </c>
      <c r="BR269" t="s">
        <v>103</v>
      </c>
      <c r="BS269" t="s">
        <v>5480</v>
      </c>
      <c r="BT269" t="str">
        <f>HYPERLINK("https%3A%2F%2Fwww.webofscience.com%2Fwos%2Fwoscc%2Ffull-record%2FWOS:000361797500060","View Full Record in Web of Science")</f>
        <v>View Full Record in Web of Science</v>
      </c>
    </row>
    <row r="270" spans="1:72" x14ac:dyDescent="0.15">
      <c r="A270" t="s">
        <v>72</v>
      </c>
      <c r="B270" t="s">
        <v>5481</v>
      </c>
      <c r="C270" t="s">
        <v>74</v>
      </c>
      <c r="D270" t="s">
        <v>74</v>
      </c>
      <c r="E270" t="s">
        <v>74</v>
      </c>
      <c r="F270" t="s">
        <v>5482</v>
      </c>
      <c r="G270" t="s">
        <v>74</v>
      </c>
      <c r="H270" t="s">
        <v>74</v>
      </c>
      <c r="I270" t="s">
        <v>5483</v>
      </c>
      <c r="J270" t="s">
        <v>1078</v>
      </c>
      <c r="K270" t="s">
        <v>74</v>
      </c>
      <c r="L270" t="s">
        <v>74</v>
      </c>
      <c r="M270" t="s">
        <v>78</v>
      </c>
      <c r="N270" t="s">
        <v>79</v>
      </c>
      <c r="O270" t="s">
        <v>74</v>
      </c>
      <c r="P270" t="s">
        <v>74</v>
      </c>
      <c r="Q270" t="s">
        <v>74</v>
      </c>
      <c r="R270" t="s">
        <v>74</v>
      </c>
      <c r="S270" t="s">
        <v>74</v>
      </c>
      <c r="T270" t="s">
        <v>74</v>
      </c>
      <c r="U270" t="s">
        <v>5484</v>
      </c>
      <c r="V270" t="s">
        <v>5485</v>
      </c>
      <c r="W270" t="s">
        <v>5486</v>
      </c>
      <c r="X270" t="s">
        <v>5487</v>
      </c>
      <c r="Y270" t="s">
        <v>5488</v>
      </c>
      <c r="Z270" t="s">
        <v>5489</v>
      </c>
      <c r="AA270" t="s">
        <v>5490</v>
      </c>
      <c r="AB270" t="s">
        <v>5491</v>
      </c>
      <c r="AC270" t="s">
        <v>5492</v>
      </c>
      <c r="AD270" t="s">
        <v>5493</v>
      </c>
      <c r="AE270" t="s">
        <v>5494</v>
      </c>
      <c r="AF270" t="s">
        <v>74</v>
      </c>
      <c r="AG270">
        <v>80</v>
      </c>
      <c r="AH270">
        <v>26</v>
      </c>
      <c r="AI270">
        <v>29</v>
      </c>
      <c r="AJ270">
        <v>0</v>
      </c>
      <c r="AK270">
        <v>10</v>
      </c>
      <c r="AL270" t="s">
        <v>1089</v>
      </c>
      <c r="AM270" t="s">
        <v>1090</v>
      </c>
      <c r="AN270" t="s">
        <v>1091</v>
      </c>
      <c r="AO270" t="s">
        <v>1092</v>
      </c>
      <c r="AP270" t="s">
        <v>74</v>
      </c>
      <c r="AQ270" t="s">
        <v>74</v>
      </c>
      <c r="AR270" t="s">
        <v>1078</v>
      </c>
      <c r="AS270" t="s">
        <v>1093</v>
      </c>
      <c r="AT270" t="s">
        <v>5495</v>
      </c>
      <c r="AU270">
        <v>2015</v>
      </c>
      <c r="AV270">
        <v>10</v>
      </c>
      <c r="AW270">
        <v>9</v>
      </c>
      <c r="AX270" t="s">
        <v>74</v>
      </c>
      <c r="AY270" t="s">
        <v>74</v>
      </c>
      <c r="AZ270" t="s">
        <v>74</v>
      </c>
      <c r="BA270" t="s">
        <v>74</v>
      </c>
      <c r="BB270" t="s">
        <v>74</v>
      </c>
      <c r="BC270" t="s">
        <v>74</v>
      </c>
      <c r="BD270" t="s">
        <v>5496</v>
      </c>
      <c r="BE270" t="s">
        <v>5497</v>
      </c>
      <c r="BF270" t="str">
        <f>HYPERLINK("http://dx.doi.org/10.1371/journal.pone.0138878","http://dx.doi.org/10.1371/journal.pone.0138878")</f>
        <v>http://dx.doi.org/10.1371/journal.pone.0138878</v>
      </c>
      <c r="BG270" t="s">
        <v>74</v>
      </c>
      <c r="BH270" t="s">
        <v>74</v>
      </c>
      <c r="BI270">
        <v>17</v>
      </c>
      <c r="BJ270" t="s">
        <v>530</v>
      </c>
      <c r="BK270" t="s">
        <v>101</v>
      </c>
      <c r="BL270" t="s">
        <v>531</v>
      </c>
      <c r="BM270" t="s">
        <v>5498</v>
      </c>
      <c r="BN270">
        <v>26394331</v>
      </c>
      <c r="BO270" t="s">
        <v>1282</v>
      </c>
      <c r="BP270" t="s">
        <v>74</v>
      </c>
      <c r="BQ270" t="s">
        <v>74</v>
      </c>
      <c r="BR270" t="s">
        <v>103</v>
      </c>
      <c r="BS270" t="s">
        <v>5499</v>
      </c>
      <c r="BT270" t="str">
        <f>HYPERLINK("https%3A%2F%2Fwww.webofscience.com%2Fwos%2Fwoscc%2Ffull-record%2FWOS:000361792100112","View Full Record in Web of Science")</f>
        <v>View Full Record in Web of Science</v>
      </c>
    </row>
    <row r="271" spans="1:72" x14ac:dyDescent="0.15">
      <c r="A271" t="s">
        <v>72</v>
      </c>
      <c r="B271" t="s">
        <v>5500</v>
      </c>
      <c r="C271" t="s">
        <v>74</v>
      </c>
      <c r="D271" t="s">
        <v>74</v>
      </c>
      <c r="E271" t="s">
        <v>74</v>
      </c>
      <c r="F271" t="s">
        <v>5501</v>
      </c>
      <c r="G271" t="s">
        <v>74</v>
      </c>
      <c r="H271" t="s">
        <v>74</v>
      </c>
      <c r="I271" t="s">
        <v>5502</v>
      </c>
      <c r="J271" t="s">
        <v>1309</v>
      </c>
      <c r="K271" t="s">
        <v>74</v>
      </c>
      <c r="L271" t="s">
        <v>74</v>
      </c>
      <c r="M271" t="s">
        <v>78</v>
      </c>
      <c r="N271" t="s">
        <v>79</v>
      </c>
      <c r="O271" t="s">
        <v>74</v>
      </c>
      <c r="P271" t="s">
        <v>74</v>
      </c>
      <c r="Q271" t="s">
        <v>74</v>
      </c>
      <c r="R271" t="s">
        <v>74</v>
      </c>
      <c r="S271" t="s">
        <v>74</v>
      </c>
      <c r="T271" t="s">
        <v>5503</v>
      </c>
      <c r="U271" t="s">
        <v>5504</v>
      </c>
      <c r="V271" t="s">
        <v>5505</v>
      </c>
      <c r="W271" t="s">
        <v>5506</v>
      </c>
      <c r="X271" t="s">
        <v>5507</v>
      </c>
      <c r="Y271" t="s">
        <v>5508</v>
      </c>
      <c r="Z271" t="s">
        <v>3877</v>
      </c>
      <c r="AA271" t="s">
        <v>5263</v>
      </c>
      <c r="AB271" t="s">
        <v>5509</v>
      </c>
      <c r="AC271" t="s">
        <v>5510</v>
      </c>
      <c r="AD271" t="s">
        <v>5511</v>
      </c>
      <c r="AE271" t="s">
        <v>5512</v>
      </c>
      <c r="AF271" t="s">
        <v>74</v>
      </c>
      <c r="AG271">
        <v>60</v>
      </c>
      <c r="AH271">
        <v>37</v>
      </c>
      <c r="AI271">
        <v>37</v>
      </c>
      <c r="AJ271">
        <v>2</v>
      </c>
      <c r="AK271">
        <v>45</v>
      </c>
      <c r="AL271" t="s">
        <v>1321</v>
      </c>
      <c r="AM271" t="s">
        <v>180</v>
      </c>
      <c r="AN271" t="s">
        <v>1322</v>
      </c>
      <c r="AO271" t="s">
        <v>1323</v>
      </c>
      <c r="AP271" t="s">
        <v>1324</v>
      </c>
      <c r="AQ271" t="s">
        <v>74</v>
      </c>
      <c r="AR271" t="s">
        <v>1325</v>
      </c>
      <c r="AS271" t="s">
        <v>1326</v>
      </c>
      <c r="AT271" t="s">
        <v>5495</v>
      </c>
      <c r="AU271">
        <v>2015</v>
      </c>
      <c r="AV271">
        <v>282</v>
      </c>
      <c r="AW271">
        <v>1815</v>
      </c>
      <c r="AX271" t="s">
        <v>74</v>
      </c>
      <c r="AY271" t="s">
        <v>74</v>
      </c>
      <c r="AZ271" t="s">
        <v>74</v>
      </c>
      <c r="BA271" t="s">
        <v>74</v>
      </c>
      <c r="BB271" t="s">
        <v>74</v>
      </c>
      <c r="BC271" t="s">
        <v>74</v>
      </c>
      <c r="BD271">
        <v>20151513</v>
      </c>
      <c r="BE271" t="s">
        <v>5513</v>
      </c>
      <c r="BF271" t="str">
        <f>HYPERLINK("http://dx.doi.org/10.1098/rspb.2015.1513","http://dx.doi.org/10.1098/rspb.2015.1513")</f>
        <v>http://dx.doi.org/10.1098/rspb.2015.1513</v>
      </c>
      <c r="BG271" t="s">
        <v>74</v>
      </c>
      <c r="BH271" t="s">
        <v>74</v>
      </c>
      <c r="BI271">
        <v>9</v>
      </c>
      <c r="BJ271" t="s">
        <v>1329</v>
      </c>
      <c r="BK271" t="s">
        <v>101</v>
      </c>
      <c r="BL271" t="s">
        <v>1330</v>
      </c>
      <c r="BM271" t="s">
        <v>5514</v>
      </c>
      <c r="BN271">
        <v>26354939</v>
      </c>
      <c r="BO271" t="s">
        <v>4189</v>
      </c>
      <c r="BP271" t="s">
        <v>74</v>
      </c>
      <c r="BQ271" t="s">
        <v>74</v>
      </c>
      <c r="BR271" t="s">
        <v>103</v>
      </c>
      <c r="BS271" t="s">
        <v>5515</v>
      </c>
      <c r="BT271" t="str">
        <f>HYPERLINK("https%3A%2F%2Fwww.webofscience.com%2Fwos%2Fwoscc%2Ffull-record%2FWOS:000363357100014","View Full Record in Web of Science")</f>
        <v>View Full Record in Web of Science</v>
      </c>
    </row>
    <row r="272" spans="1:72" x14ac:dyDescent="0.15">
      <c r="A272" t="s">
        <v>72</v>
      </c>
      <c r="B272" t="s">
        <v>5516</v>
      </c>
      <c r="C272" t="s">
        <v>74</v>
      </c>
      <c r="D272" t="s">
        <v>74</v>
      </c>
      <c r="E272" t="s">
        <v>74</v>
      </c>
      <c r="F272" t="s">
        <v>5517</v>
      </c>
      <c r="G272" t="s">
        <v>74</v>
      </c>
      <c r="H272" t="s">
        <v>74</v>
      </c>
      <c r="I272" t="s">
        <v>5518</v>
      </c>
      <c r="J272" t="s">
        <v>5519</v>
      </c>
      <c r="K272" t="s">
        <v>74</v>
      </c>
      <c r="L272" t="s">
        <v>74</v>
      </c>
      <c r="M272" t="s">
        <v>78</v>
      </c>
      <c r="N272" t="s">
        <v>5520</v>
      </c>
      <c r="O272" t="s">
        <v>74</v>
      </c>
      <c r="P272" t="s">
        <v>74</v>
      </c>
      <c r="Q272" t="s">
        <v>74</v>
      </c>
      <c r="R272" t="s">
        <v>74</v>
      </c>
      <c r="S272" t="s">
        <v>74</v>
      </c>
      <c r="T272" t="s">
        <v>74</v>
      </c>
      <c r="U272" t="s">
        <v>5521</v>
      </c>
      <c r="V272" t="s">
        <v>74</v>
      </c>
      <c r="W272" t="s">
        <v>5522</v>
      </c>
      <c r="X272" t="s">
        <v>439</v>
      </c>
      <c r="Y272" t="s">
        <v>5523</v>
      </c>
      <c r="Z272" t="s">
        <v>5524</v>
      </c>
      <c r="AA272" t="s">
        <v>74</v>
      </c>
      <c r="AB272" t="s">
        <v>74</v>
      </c>
      <c r="AC272" t="s">
        <v>5525</v>
      </c>
      <c r="AD272" t="s">
        <v>5526</v>
      </c>
      <c r="AE272" t="s">
        <v>74</v>
      </c>
      <c r="AF272" t="s">
        <v>74</v>
      </c>
      <c r="AG272">
        <v>10</v>
      </c>
      <c r="AH272">
        <v>45</v>
      </c>
      <c r="AI272">
        <v>49</v>
      </c>
      <c r="AJ272">
        <v>0</v>
      </c>
      <c r="AK272">
        <v>29</v>
      </c>
      <c r="AL272" t="s">
        <v>5527</v>
      </c>
      <c r="AM272" t="s">
        <v>5528</v>
      </c>
      <c r="AN272" t="s">
        <v>5529</v>
      </c>
      <c r="AO272" t="s">
        <v>5530</v>
      </c>
      <c r="AP272" t="s">
        <v>5531</v>
      </c>
      <c r="AQ272" t="s">
        <v>74</v>
      </c>
      <c r="AR272" t="s">
        <v>5532</v>
      </c>
      <c r="AS272" t="s">
        <v>5533</v>
      </c>
      <c r="AT272" t="s">
        <v>5534</v>
      </c>
      <c r="AU272">
        <v>2015</v>
      </c>
      <c r="AV272">
        <v>25</v>
      </c>
      <c r="AW272">
        <v>18</v>
      </c>
      <c r="AX272" t="s">
        <v>74</v>
      </c>
      <c r="AY272" t="s">
        <v>74</v>
      </c>
      <c r="AZ272" t="s">
        <v>74</v>
      </c>
      <c r="BA272" t="s">
        <v>74</v>
      </c>
      <c r="BB272" t="s">
        <v>5535</v>
      </c>
      <c r="BC272" t="s">
        <v>5536</v>
      </c>
      <c r="BD272" t="s">
        <v>74</v>
      </c>
      <c r="BE272" t="s">
        <v>5537</v>
      </c>
      <c r="BF272" t="str">
        <f>HYPERLINK("http://dx.doi.org/10.1016/j.cub.2015.07.042","http://dx.doi.org/10.1016/j.cub.2015.07.042")</f>
        <v>http://dx.doi.org/10.1016/j.cub.2015.07.042</v>
      </c>
      <c r="BG272" t="s">
        <v>74</v>
      </c>
      <c r="BH272" t="s">
        <v>74</v>
      </c>
      <c r="BI272">
        <v>2</v>
      </c>
      <c r="BJ272" t="s">
        <v>5538</v>
      </c>
      <c r="BK272" t="s">
        <v>101</v>
      </c>
      <c r="BL272" t="s">
        <v>5539</v>
      </c>
      <c r="BM272" t="s">
        <v>5540</v>
      </c>
      <c r="BN272">
        <v>26394097</v>
      </c>
      <c r="BO272" t="s">
        <v>1235</v>
      </c>
      <c r="BP272" t="s">
        <v>74</v>
      </c>
      <c r="BQ272" t="s">
        <v>74</v>
      </c>
      <c r="BR272" t="s">
        <v>103</v>
      </c>
      <c r="BS272" t="s">
        <v>5541</v>
      </c>
      <c r="BT272" t="str">
        <f>HYPERLINK("https%3A%2F%2Fwww.webofscience.com%2Fwos%2Fwoscc%2Ffull-record%2FWOS:000361885100006","View Full Record in Web of Science")</f>
        <v>View Full Record in Web of Science</v>
      </c>
    </row>
    <row r="273" spans="1:72" x14ac:dyDescent="0.15">
      <c r="A273" t="s">
        <v>72</v>
      </c>
      <c r="B273" t="s">
        <v>5542</v>
      </c>
      <c r="C273" t="s">
        <v>74</v>
      </c>
      <c r="D273" t="s">
        <v>74</v>
      </c>
      <c r="E273" t="s">
        <v>74</v>
      </c>
      <c r="F273" t="s">
        <v>5543</v>
      </c>
      <c r="G273" t="s">
        <v>74</v>
      </c>
      <c r="H273" t="s">
        <v>74</v>
      </c>
      <c r="I273" t="s">
        <v>5544</v>
      </c>
      <c r="J273" t="s">
        <v>2881</v>
      </c>
      <c r="K273" t="s">
        <v>74</v>
      </c>
      <c r="L273" t="s">
        <v>74</v>
      </c>
      <c r="M273" t="s">
        <v>78</v>
      </c>
      <c r="N273" t="s">
        <v>79</v>
      </c>
      <c r="O273" t="s">
        <v>74</v>
      </c>
      <c r="P273" t="s">
        <v>74</v>
      </c>
      <c r="Q273" t="s">
        <v>74</v>
      </c>
      <c r="R273" t="s">
        <v>74</v>
      </c>
      <c r="S273" t="s">
        <v>74</v>
      </c>
      <c r="T273" t="s">
        <v>5545</v>
      </c>
      <c r="U273" t="s">
        <v>5546</v>
      </c>
      <c r="V273" t="s">
        <v>5547</v>
      </c>
      <c r="W273" t="s">
        <v>5548</v>
      </c>
      <c r="X273" t="s">
        <v>5549</v>
      </c>
      <c r="Y273" t="s">
        <v>5550</v>
      </c>
      <c r="Z273" t="s">
        <v>74</v>
      </c>
      <c r="AA273" t="s">
        <v>74</v>
      </c>
      <c r="AB273" t="s">
        <v>5551</v>
      </c>
      <c r="AC273" t="s">
        <v>5552</v>
      </c>
      <c r="AD273" t="s">
        <v>5553</v>
      </c>
      <c r="AE273" t="s">
        <v>5554</v>
      </c>
      <c r="AF273" t="s">
        <v>74</v>
      </c>
      <c r="AG273">
        <v>55</v>
      </c>
      <c r="AH273">
        <v>23</v>
      </c>
      <c r="AI273">
        <v>26</v>
      </c>
      <c r="AJ273">
        <v>0</v>
      </c>
      <c r="AK273">
        <v>1</v>
      </c>
      <c r="AL273" t="s">
        <v>2894</v>
      </c>
      <c r="AM273" t="s">
        <v>2895</v>
      </c>
      <c r="AN273" t="s">
        <v>2896</v>
      </c>
      <c r="AO273" t="s">
        <v>2897</v>
      </c>
      <c r="AP273" t="s">
        <v>2898</v>
      </c>
      <c r="AQ273" t="s">
        <v>74</v>
      </c>
      <c r="AR273" t="s">
        <v>2899</v>
      </c>
      <c r="AS273" t="s">
        <v>2900</v>
      </c>
      <c r="AT273" t="s">
        <v>5555</v>
      </c>
      <c r="AU273">
        <v>2015</v>
      </c>
      <c r="AV273">
        <v>811</v>
      </c>
      <c r="AW273">
        <v>1</v>
      </c>
      <c r="AX273" t="s">
        <v>74</v>
      </c>
      <c r="AY273" t="s">
        <v>74</v>
      </c>
      <c r="AZ273" t="s">
        <v>74</v>
      </c>
      <c r="BA273" t="s">
        <v>74</v>
      </c>
      <c r="BB273" t="s">
        <v>74</v>
      </c>
      <c r="BC273" t="s">
        <v>74</v>
      </c>
      <c r="BD273">
        <v>13</v>
      </c>
      <c r="BE273" t="s">
        <v>5556</v>
      </c>
      <c r="BF273" t="str">
        <f>HYPERLINK("http://dx.doi.org/10.1088/0004-637X/811/1/13","http://dx.doi.org/10.1088/0004-637X/811/1/13")</f>
        <v>http://dx.doi.org/10.1088/0004-637X/811/1/13</v>
      </c>
      <c r="BG273" t="s">
        <v>74</v>
      </c>
      <c r="BH273" t="s">
        <v>74</v>
      </c>
      <c r="BI273">
        <v>21</v>
      </c>
      <c r="BJ273" t="s">
        <v>378</v>
      </c>
      <c r="BK273" t="s">
        <v>101</v>
      </c>
      <c r="BL273" t="s">
        <v>378</v>
      </c>
      <c r="BM273" t="s">
        <v>5557</v>
      </c>
      <c r="BN273" t="s">
        <v>74</v>
      </c>
      <c r="BO273" t="s">
        <v>2686</v>
      </c>
      <c r="BP273" t="s">
        <v>74</v>
      </c>
      <c r="BQ273" t="s">
        <v>74</v>
      </c>
      <c r="BR273" t="s">
        <v>103</v>
      </c>
      <c r="BS273" t="s">
        <v>5558</v>
      </c>
      <c r="BT273" t="str">
        <f>HYPERLINK("https%3A%2F%2Fwww.webofscience.com%2Fwos%2Fwoscc%2Ffull-record%2FWOS:000363471600014","View Full Record in Web of Science")</f>
        <v>View Full Record in Web of Science</v>
      </c>
    </row>
    <row r="274" spans="1:72" x14ac:dyDescent="0.15">
      <c r="A274" t="s">
        <v>72</v>
      </c>
      <c r="B274" t="s">
        <v>5559</v>
      </c>
      <c r="C274" t="s">
        <v>74</v>
      </c>
      <c r="D274" t="s">
        <v>74</v>
      </c>
      <c r="E274" t="s">
        <v>74</v>
      </c>
      <c r="F274" t="s">
        <v>5560</v>
      </c>
      <c r="G274" t="s">
        <v>74</v>
      </c>
      <c r="H274" t="s">
        <v>74</v>
      </c>
      <c r="I274" t="s">
        <v>5561</v>
      </c>
      <c r="J274" t="s">
        <v>1961</v>
      </c>
      <c r="K274" t="s">
        <v>74</v>
      </c>
      <c r="L274" t="s">
        <v>74</v>
      </c>
      <c r="M274" t="s">
        <v>78</v>
      </c>
      <c r="N274" t="s">
        <v>79</v>
      </c>
      <c r="O274" t="s">
        <v>74</v>
      </c>
      <c r="P274" t="s">
        <v>74</v>
      </c>
      <c r="Q274" t="s">
        <v>74</v>
      </c>
      <c r="R274" t="s">
        <v>74</v>
      </c>
      <c r="S274" t="s">
        <v>74</v>
      </c>
      <c r="T274" t="s">
        <v>5562</v>
      </c>
      <c r="U274" t="s">
        <v>5563</v>
      </c>
      <c r="V274" t="s">
        <v>5564</v>
      </c>
      <c r="W274" t="s">
        <v>5565</v>
      </c>
      <c r="X274" t="s">
        <v>5566</v>
      </c>
      <c r="Y274" t="s">
        <v>5567</v>
      </c>
      <c r="Z274" t="s">
        <v>5568</v>
      </c>
      <c r="AA274" t="s">
        <v>5569</v>
      </c>
      <c r="AB274" t="s">
        <v>5570</v>
      </c>
      <c r="AC274" t="s">
        <v>5571</v>
      </c>
      <c r="AD274" t="s">
        <v>5572</v>
      </c>
      <c r="AE274" t="s">
        <v>5573</v>
      </c>
      <c r="AF274" t="s">
        <v>74</v>
      </c>
      <c r="AG274">
        <v>54</v>
      </c>
      <c r="AH274">
        <v>13</v>
      </c>
      <c r="AI274">
        <v>14</v>
      </c>
      <c r="AJ274">
        <v>1</v>
      </c>
      <c r="AK274">
        <v>37</v>
      </c>
      <c r="AL274" t="s">
        <v>1974</v>
      </c>
      <c r="AM274" t="s">
        <v>180</v>
      </c>
      <c r="AN274" t="s">
        <v>1975</v>
      </c>
      <c r="AO274" t="s">
        <v>1976</v>
      </c>
      <c r="AP274" t="s">
        <v>1977</v>
      </c>
      <c r="AQ274" t="s">
        <v>74</v>
      </c>
      <c r="AR274" t="s">
        <v>1978</v>
      </c>
      <c r="AS274" t="s">
        <v>1979</v>
      </c>
      <c r="AT274" t="s">
        <v>5555</v>
      </c>
      <c r="AU274">
        <v>2015</v>
      </c>
      <c r="AV274">
        <v>163</v>
      </c>
      <c r="AW274" t="s">
        <v>74</v>
      </c>
      <c r="AX274" t="s">
        <v>5574</v>
      </c>
      <c r="AY274" t="s">
        <v>74</v>
      </c>
      <c r="AZ274" t="s">
        <v>74</v>
      </c>
      <c r="BA274" t="s">
        <v>74</v>
      </c>
      <c r="BB274">
        <v>156</v>
      </c>
      <c r="BC274">
        <v>166</v>
      </c>
      <c r="BD274" t="s">
        <v>74</v>
      </c>
      <c r="BE274" t="s">
        <v>5575</v>
      </c>
      <c r="BF274" t="str">
        <f>HYPERLINK("http://dx.doi.org/10.1016/j.ecss.2015.06.001","http://dx.doi.org/10.1016/j.ecss.2015.06.001")</f>
        <v>http://dx.doi.org/10.1016/j.ecss.2015.06.001</v>
      </c>
      <c r="BG274" t="s">
        <v>74</v>
      </c>
      <c r="BH274" t="s">
        <v>74</v>
      </c>
      <c r="BI274">
        <v>11</v>
      </c>
      <c r="BJ274" t="s">
        <v>478</v>
      </c>
      <c r="BK274" t="s">
        <v>101</v>
      </c>
      <c r="BL274" t="s">
        <v>478</v>
      </c>
      <c r="BM274" t="s">
        <v>5576</v>
      </c>
      <c r="BN274" t="s">
        <v>74</v>
      </c>
      <c r="BO274" t="s">
        <v>1235</v>
      </c>
      <c r="BP274" t="s">
        <v>74</v>
      </c>
      <c r="BQ274" t="s">
        <v>74</v>
      </c>
      <c r="BR274" t="s">
        <v>103</v>
      </c>
      <c r="BS274" t="s">
        <v>5577</v>
      </c>
      <c r="BT274" t="str">
        <f>HYPERLINK("https%3A%2F%2Fwww.webofscience.com%2Fwos%2Fwoscc%2Ffull-record%2FWOS:000362604800018","View Full Record in Web of Science")</f>
        <v>View Full Record in Web of Science</v>
      </c>
    </row>
    <row r="275" spans="1:72" x14ac:dyDescent="0.15">
      <c r="A275" t="s">
        <v>72</v>
      </c>
      <c r="B275" t="s">
        <v>5578</v>
      </c>
      <c r="C275" t="s">
        <v>74</v>
      </c>
      <c r="D275" t="s">
        <v>74</v>
      </c>
      <c r="E275" t="s">
        <v>74</v>
      </c>
      <c r="F275" t="s">
        <v>5579</v>
      </c>
      <c r="G275" t="s">
        <v>74</v>
      </c>
      <c r="H275" t="s">
        <v>74</v>
      </c>
      <c r="I275" t="s">
        <v>5580</v>
      </c>
      <c r="J275" t="s">
        <v>1078</v>
      </c>
      <c r="K275" t="s">
        <v>74</v>
      </c>
      <c r="L275" t="s">
        <v>74</v>
      </c>
      <c r="M275" t="s">
        <v>78</v>
      </c>
      <c r="N275" t="s">
        <v>79</v>
      </c>
      <c r="O275" t="s">
        <v>74</v>
      </c>
      <c r="P275" t="s">
        <v>74</v>
      </c>
      <c r="Q275" t="s">
        <v>74</v>
      </c>
      <c r="R275" t="s">
        <v>74</v>
      </c>
      <c r="S275" t="s">
        <v>74</v>
      </c>
      <c r="T275" t="s">
        <v>74</v>
      </c>
      <c r="U275" t="s">
        <v>5581</v>
      </c>
      <c r="V275" t="s">
        <v>5582</v>
      </c>
      <c r="W275" t="s">
        <v>5583</v>
      </c>
      <c r="X275" t="s">
        <v>5584</v>
      </c>
      <c r="Y275" t="s">
        <v>5585</v>
      </c>
      <c r="Z275" t="s">
        <v>5586</v>
      </c>
      <c r="AA275" t="s">
        <v>5587</v>
      </c>
      <c r="AB275" t="s">
        <v>5588</v>
      </c>
      <c r="AC275" t="s">
        <v>5589</v>
      </c>
      <c r="AD275" t="s">
        <v>5590</v>
      </c>
      <c r="AE275" t="s">
        <v>5591</v>
      </c>
      <c r="AF275" t="s">
        <v>74</v>
      </c>
      <c r="AG275">
        <v>62</v>
      </c>
      <c r="AH275">
        <v>15</v>
      </c>
      <c r="AI275">
        <v>16</v>
      </c>
      <c r="AJ275">
        <v>1</v>
      </c>
      <c r="AK275">
        <v>32</v>
      </c>
      <c r="AL275" t="s">
        <v>1089</v>
      </c>
      <c r="AM275" t="s">
        <v>1090</v>
      </c>
      <c r="AN275" t="s">
        <v>1091</v>
      </c>
      <c r="AO275" t="s">
        <v>1092</v>
      </c>
      <c r="AP275" t="s">
        <v>74</v>
      </c>
      <c r="AQ275" t="s">
        <v>74</v>
      </c>
      <c r="AR275" t="s">
        <v>1078</v>
      </c>
      <c r="AS275" t="s">
        <v>1093</v>
      </c>
      <c r="AT275" t="s">
        <v>5592</v>
      </c>
      <c r="AU275">
        <v>2015</v>
      </c>
      <c r="AV275">
        <v>10</v>
      </c>
      <c r="AW275">
        <v>9</v>
      </c>
      <c r="AX275" t="s">
        <v>74</v>
      </c>
      <c r="AY275" t="s">
        <v>74</v>
      </c>
      <c r="AZ275" t="s">
        <v>74</v>
      </c>
      <c r="BA275" t="s">
        <v>74</v>
      </c>
      <c r="BB275" t="s">
        <v>74</v>
      </c>
      <c r="BC275" t="s">
        <v>74</v>
      </c>
      <c r="BD275" t="s">
        <v>5593</v>
      </c>
      <c r="BE275" t="s">
        <v>5594</v>
      </c>
      <c r="BF275" t="str">
        <f>HYPERLINK("http://dx.doi.org/10.1371/journal.pone.0138582","http://dx.doi.org/10.1371/journal.pone.0138582")</f>
        <v>http://dx.doi.org/10.1371/journal.pone.0138582</v>
      </c>
      <c r="BG275" t="s">
        <v>74</v>
      </c>
      <c r="BH275" t="s">
        <v>74</v>
      </c>
      <c r="BI275">
        <v>20</v>
      </c>
      <c r="BJ275" t="s">
        <v>530</v>
      </c>
      <c r="BK275" t="s">
        <v>101</v>
      </c>
      <c r="BL275" t="s">
        <v>531</v>
      </c>
      <c r="BM275" t="s">
        <v>5595</v>
      </c>
      <c r="BN275">
        <v>26381149</v>
      </c>
      <c r="BO275" t="s">
        <v>5596</v>
      </c>
      <c r="BP275" t="s">
        <v>74</v>
      </c>
      <c r="BQ275" t="s">
        <v>74</v>
      </c>
      <c r="BR275" t="s">
        <v>103</v>
      </c>
      <c r="BS275" t="s">
        <v>5597</v>
      </c>
      <c r="BT275" t="str">
        <f>HYPERLINK("https%3A%2F%2Fwww.webofscience.com%2Fwos%2Fwoscc%2Ffull-record%2FWOS:000361790200131","View Full Record in Web of Science")</f>
        <v>View Full Record in Web of Science</v>
      </c>
    </row>
    <row r="276" spans="1:72" x14ac:dyDescent="0.15">
      <c r="A276" t="s">
        <v>72</v>
      </c>
      <c r="B276" t="s">
        <v>5598</v>
      </c>
      <c r="C276" t="s">
        <v>74</v>
      </c>
      <c r="D276" t="s">
        <v>74</v>
      </c>
      <c r="E276" t="s">
        <v>74</v>
      </c>
      <c r="F276" t="s">
        <v>5599</v>
      </c>
      <c r="G276" t="s">
        <v>74</v>
      </c>
      <c r="H276" t="s">
        <v>74</v>
      </c>
      <c r="I276" t="s">
        <v>5600</v>
      </c>
      <c r="J276" t="s">
        <v>1193</v>
      </c>
      <c r="K276" t="s">
        <v>74</v>
      </c>
      <c r="L276" t="s">
        <v>74</v>
      </c>
      <c r="M276" t="s">
        <v>78</v>
      </c>
      <c r="N276" t="s">
        <v>79</v>
      </c>
      <c r="O276" t="s">
        <v>74</v>
      </c>
      <c r="P276" t="s">
        <v>74</v>
      </c>
      <c r="Q276" t="s">
        <v>74</v>
      </c>
      <c r="R276" t="s">
        <v>74</v>
      </c>
      <c r="S276" t="s">
        <v>74</v>
      </c>
      <c r="T276" t="s">
        <v>5601</v>
      </c>
      <c r="U276" t="s">
        <v>5602</v>
      </c>
      <c r="V276" t="s">
        <v>5603</v>
      </c>
      <c r="W276" t="s">
        <v>5604</v>
      </c>
      <c r="X276" t="s">
        <v>5605</v>
      </c>
      <c r="Y276" t="s">
        <v>5606</v>
      </c>
      <c r="Z276" t="s">
        <v>5607</v>
      </c>
      <c r="AA276" t="s">
        <v>5608</v>
      </c>
      <c r="AB276" t="s">
        <v>5609</v>
      </c>
      <c r="AC276" t="s">
        <v>5610</v>
      </c>
      <c r="AD276" t="s">
        <v>5611</v>
      </c>
      <c r="AE276" t="s">
        <v>5612</v>
      </c>
      <c r="AF276" t="s">
        <v>74</v>
      </c>
      <c r="AG276">
        <v>29</v>
      </c>
      <c r="AH276">
        <v>1</v>
      </c>
      <c r="AI276">
        <v>2</v>
      </c>
      <c r="AJ276">
        <v>0</v>
      </c>
      <c r="AK276">
        <v>4</v>
      </c>
      <c r="AL276" t="s">
        <v>1206</v>
      </c>
      <c r="AM276" t="s">
        <v>1207</v>
      </c>
      <c r="AN276" t="s">
        <v>1208</v>
      </c>
      <c r="AO276" t="s">
        <v>1209</v>
      </c>
      <c r="AP276" t="s">
        <v>1210</v>
      </c>
      <c r="AQ276" t="s">
        <v>74</v>
      </c>
      <c r="AR276" t="s">
        <v>1193</v>
      </c>
      <c r="AS276" t="s">
        <v>1211</v>
      </c>
      <c r="AT276" t="s">
        <v>5613</v>
      </c>
      <c r="AU276">
        <v>2015</v>
      </c>
      <c r="AV276">
        <v>4018</v>
      </c>
      <c r="AW276">
        <v>4</v>
      </c>
      <c r="AX276" t="s">
        <v>74</v>
      </c>
      <c r="AY276" t="s">
        <v>74</v>
      </c>
      <c r="AZ276" t="s">
        <v>74</v>
      </c>
      <c r="BA276" t="s">
        <v>74</v>
      </c>
      <c r="BB276">
        <v>535</v>
      </c>
      <c r="BC276">
        <v>552</v>
      </c>
      <c r="BD276" t="s">
        <v>74</v>
      </c>
      <c r="BE276" t="s">
        <v>74</v>
      </c>
      <c r="BF276" t="s">
        <v>74</v>
      </c>
      <c r="BG276" t="s">
        <v>74</v>
      </c>
      <c r="BH276" t="s">
        <v>74</v>
      </c>
      <c r="BI276">
        <v>18</v>
      </c>
      <c r="BJ276" t="s">
        <v>243</v>
      </c>
      <c r="BK276" t="s">
        <v>101</v>
      </c>
      <c r="BL276" t="s">
        <v>243</v>
      </c>
      <c r="BM276" t="s">
        <v>5614</v>
      </c>
      <c r="BN276">
        <v>26624054</v>
      </c>
      <c r="BO276" t="s">
        <v>74</v>
      </c>
      <c r="BP276" t="s">
        <v>74</v>
      </c>
      <c r="BQ276" t="s">
        <v>74</v>
      </c>
      <c r="BR276" t="s">
        <v>103</v>
      </c>
      <c r="BS276" t="s">
        <v>5615</v>
      </c>
      <c r="BT276" t="str">
        <f>HYPERLINK("https%3A%2F%2Fwww.webofscience.com%2Fwos%2Fwoscc%2Ffull-record%2FWOS:000361494400003","View Full Record in Web of Science")</f>
        <v>View Full Record in Web of Science</v>
      </c>
    </row>
    <row r="277" spans="1:72" x14ac:dyDescent="0.15">
      <c r="A277" t="s">
        <v>72</v>
      </c>
      <c r="B277" t="s">
        <v>5616</v>
      </c>
      <c r="C277" t="s">
        <v>74</v>
      </c>
      <c r="D277" t="s">
        <v>74</v>
      </c>
      <c r="E277" t="s">
        <v>74</v>
      </c>
      <c r="F277" t="s">
        <v>5617</v>
      </c>
      <c r="G277" t="s">
        <v>74</v>
      </c>
      <c r="H277" t="s">
        <v>74</v>
      </c>
      <c r="I277" t="s">
        <v>5618</v>
      </c>
      <c r="J277" t="s">
        <v>5619</v>
      </c>
      <c r="K277" t="s">
        <v>74</v>
      </c>
      <c r="L277" t="s">
        <v>74</v>
      </c>
      <c r="M277" t="s">
        <v>78</v>
      </c>
      <c r="N277" t="s">
        <v>79</v>
      </c>
      <c r="O277" t="s">
        <v>74</v>
      </c>
      <c r="P277" t="s">
        <v>74</v>
      </c>
      <c r="Q277" t="s">
        <v>74</v>
      </c>
      <c r="R277" t="s">
        <v>74</v>
      </c>
      <c r="S277" t="s">
        <v>74</v>
      </c>
      <c r="T277" t="s">
        <v>5620</v>
      </c>
      <c r="U277" t="s">
        <v>5621</v>
      </c>
      <c r="V277" t="s">
        <v>5622</v>
      </c>
      <c r="W277" t="s">
        <v>5623</v>
      </c>
      <c r="X277" t="s">
        <v>2956</v>
      </c>
      <c r="Y277" t="s">
        <v>5624</v>
      </c>
      <c r="Z277" t="s">
        <v>5625</v>
      </c>
      <c r="AA277" t="s">
        <v>5626</v>
      </c>
      <c r="AB277" t="s">
        <v>5627</v>
      </c>
      <c r="AC277" t="s">
        <v>5628</v>
      </c>
      <c r="AD277" t="s">
        <v>5629</v>
      </c>
      <c r="AE277" t="s">
        <v>5630</v>
      </c>
      <c r="AF277" t="s">
        <v>74</v>
      </c>
      <c r="AG277">
        <v>31</v>
      </c>
      <c r="AH277">
        <v>4</v>
      </c>
      <c r="AI277">
        <v>4</v>
      </c>
      <c r="AJ277">
        <v>1</v>
      </c>
      <c r="AK277">
        <v>8</v>
      </c>
      <c r="AL277" t="s">
        <v>3231</v>
      </c>
      <c r="AM277" t="s">
        <v>3232</v>
      </c>
      <c r="AN277" t="s">
        <v>3233</v>
      </c>
      <c r="AO277" t="s">
        <v>5631</v>
      </c>
      <c r="AP277" t="s">
        <v>5632</v>
      </c>
      <c r="AQ277" t="s">
        <v>74</v>
      </c>
      <c r="AR277" t="s">
        <v>5633</v>
      </c>
      <c r="AS277" t="s">
        <v>5634</v>
      </c>
      <c r="AT277" t="s">
        <v>5635</v>
      </c>
      <c r="AU277">
        <v>2015</v>
      </c>
      <c r="AV277">
        <v>221</v>
      </c>
      <c r="AW277" t="s">
        <v>74</v>
      </c>
      <c r="AX277" t="s">
        <v>74</v>
      </c>
      <c r="AY277" t="s">
        <v>74</v>
      </c>
      <c r="AZ277" t="s">
        <v>74</v>
      </c>
      <c r="BA277" t="s">
        <v>74</v>
      </c>
      <c r="BB277">
        <v>173</v>
      </c>
      <c r="BC277">
        <v>182</v>
      </c>
      <c r="BD277" t="s">
        <v>74</v>
      </c>
      <c r="BE277" t="s">
        <v>5636</v>
      </c>
      <c r="BF277" t="str">
        <f>HYPERLINK("http://dx.doi.org/10.1016/j.ygcen.2015.03.005","http://dx.doi.org/10.1016/j.ygcen.2015.03.005")</f>
        <v>http://dx.doi.org/10.1016/j.ygcen.2015.03.005</v>
      </c>
      <c r="BG277" t="s">
        <v>74</v>
      </c>
      <c r="BH277" t="s">
        <v>74</v>
      </c>
      <c r="BI277">
        <v>10</v>
      </c>
      <c r="BJ277" t="s">
        <v>5637</v>
      </c>
      <c r="BK277" t="s">
        <v>101</v>
      </c>
      <c r="BL277" t="s">
        <v>5637</v>
      </c>
      <c r="BM277" t="s">
        <v>5638</v>
      </c>
      <c r="BN277">
        <v>25776462</v>
      </c>
      <c r="BO277" t="s">
        <v>74</v>
      </c>
      <c r="BP277" t="s">
        <v>74</v>
      </c>
      <c r="BQ277" t="s">
        <v>74</v>
      </c>
      <c r="BR277" t="s">
        <v>103</v>
      </c>
      <c r="BS277" t="s">
        <v>5639</v>
      </c>
      <c r="BT277" t="str">
        <f>HYPERLINK("https%3A%2F%2Fwww.webofscience.com%2Fwos%2Fwoscc%2Ffull-record%2FWOS:000364983100020","View Full Record in Web of Science")</f>
        <v>View Full Record in Web of Science</v>
      </c>
    </row>
    <row r="278" spans="1:72" x14ac:dyDescent="0.15">
      <c r="A278" t="s">
        <v>72</v>
      </c>
      <c r="B278" t="s">
        <v>3243</v>
      </c>
      <c r="C278" t="s">
        <v>74</v>
      </c>
      <c r="D278" t="s">
        <v>74</v>
      </c>
      <c r="E278" t="s">
        <v>74</v>
      </c>
      <c r="F278" t="s">
        <v>3243</v>
      </c>
      <c r="G278" t="s">
        <v>74</v>
      </c>
      <c r="H278" t="s">
        <v>74</v>
      </c>
      <c r="I278" t="s">
        <v>5640</v>
      </c>
      <c r="J278" t="s">
        <v>1585</v>
      </c>
      <c r="K278" t="s">
        <v>74</v>
      </c>
      <c r="L278" t="s">
        <v>74</v>
      </c>
      <c r="M278" t="s">
        <v>78</v>
      </c>
      <c r="N278" t="s">
        <v>997</v>
      </c>
      <c r="O278" t="s">
        <v>74</v>
      </c>
      <c r="P278" t="s">
        <v>74</v>
      </c>
      <c r="Q278" t="s">
        <v>74</v>
      </c>
      <c r="R278" t="s">
        <v>74</v>
      </c>
      <c r="S278" t="s">
        <v>74</v>
      </c>
      <c r="T278" t="s">
        <v>74</v>
      </c>
      <c r="U278" t="s">
        <v>74</v>
      </c>
      <c r="V278" t="s">
        <v>74</v>
      </c>
      <c r="W278" t="s">
        <v>74</v>
      </c>
      <c r="X278" t="s">
        <v>74</v>
      </c>
      <c r="Y278" t="s">
        <v>74</v>
      </c>
      <c r="Z278" t="s">
        <v>74</v>
      </c>
      <c r="AA278" t="s">
        <v>74</v>
      </c>
      <c r="AB278" t="s">
        <v>74</v>
      </c>
      <c r="AC278" t="s">
        <v>74</v>
      </c>
      <c r="AD278" t="s">
        <v>74</v>
      </c>
      <c r="AE278" t="s">
        <v>74</v>
      </c>
      <c r="AF278" t="s">
        <v>74</v>
      </c>
      <c r="AG278">
        <v>0</v>
      </c>
      <c r="AH278">
        <v>0</v>
      </c>
      <c r="AI278">
        <v>0</v>
      </c>
      <c r="AJ278">
        <v>0</v>
      </c>
      <c r="AK278">
        <v>2</v>
      </c>
      <c r="AL278" t="s">
        <v>397</v>
      </c>
      <c r="AM278" t="s">
        <v>398</v>
      </c>
      <c r="AN278" t="s">
        <v>399</v>
      </c>
      <c r="AO278" t="s">
        <v>1598</v>
      </c>
      <c r="AP278" t="s">
        <v>1599</v>
      </c>
      <c r="AQ278" t="s">
        <v>74</v>
      </c>
      <c r="AR278" t="s">
        <v>1600</v>
      </c>
      <c r="AS278" t="s">
        <v>1601</v>
      </c>
      <c r="AT278" t="s">
        <v>5635</v>
      </c>
      <c r="AU278">
        <v>2015</v>
      </c>
      <c r="AV278">
        <v>98</v>
      </c>
      <c r="AW278" t="s">
        <v>1603</v>
      </c>
      <c r="AX278" t="s">
        <v>74</v>
      </c>
      <c r="AY278" t="s">
        <v>74</v>
      </c>
      <c r="AZ278" t="s">
        <v>74</v>
      </c>
      <c r="BA278" t="s">
        <v>74</v>
      </c>
      <c r="BB278">
        <v>1</v>
      </c>
      <c r="BC278">
        <v>1</v>
      </c>
      <c r="BD278" t="s">
        <v>74</v>
      </c>
      <c r="BE278" t="s">
        <v>74</v>
      </c>
      <c r="BF278" t="s">
        <v>74</v>
      </c>
      <c r="BG278" t="s">
        <v>74</v>
      </c>
      <c r="BH278" t="s">
        <v>74</v>
      </c>
      <c r="BI278">
        <v>1</v>
      </c>
      <c r="BJ278" t="s">
        <v>1605</v>
      </c>
      <c r="BK278" t="s">
        <v>101</v>
      </c>
      <c r="BL278" t="s">
        <v>990</v>
      </c>
      <c r="BM278" t="s">
        <v>5641</v>
      </c>
      <c r="BN278" t="s">
        <v>74</v>
      </c>
      <c r="BO278" t="s">
        <v>74</v>
      </c>
      <c r="BP278" t="s">
        <v>74</v>
      </c>
      <c r="BQ278" t="s">
        <v>74</v>
      </c>
      <c r="BR278" t="s">
        <v>103</v>
      </c>
      <c r="BS278" t="s">
        <v>5642</v>
      </c>
      <c r="BT278" t="str">
        <f>HYPERLINK("https%3A%2F%2Fwww.webofscience.com%2Fwos%2Fwoscc%2Ffull-record%2FWOS:000362134100002","View Full Record in Web of Science")</f>
        <v>View Full Record in Web of Science</v>
      </c>
    </row>
    <row r="279" spans="1:72" x14ac:dyDescent="0.15">
      <c r="A279" t="s">
        <v>72</v>
      </c>
      <c r="B279" t="s">
        <v>5643</v>
      </c>
      <c r="C279" t="s">
        <v>74</v>
      </c>
      <c r="D279" t="s">
        <v>74</v>
      </c>
      <c r="E279" t="s">
        <v>74</v>
      </c>
      <c r="F279" t="s">
        <v>5644</v>
      </c>
      <c r="G279" t="s">
        <v>74</v>
      </c>
      <c r="H279" t="s">
        <v>74</v>
      </c>
      <c r="I279" t="s">
        <v>5645</v>
      </c>
      <c r="J279" t="s">
        <v>5646</v>
      </c>
      <c r="K279" t="s">
        <v>74</v>
      </c>
      <c r="L279" t="s">
        <v>74</v>
      </c>
      <c r="M279" t="s">
        <v>78</v>
      </c>
      <c r="N279" t="s">
        <v>79</v>
      </c>
      <c r="O279" t="s">
        <v>74</v>
      </c>
      <c r="P279" t="s">
        <v>74</v>
      </c>
      <c r="Q279" t="s">
        <v>74</v>
      </c>
      <c r="R279" t="s">
        <v>74</v>
      </c>
      <c r="S279" t="s">
        <v>74</v>
      </c>
      <c r="T279" t="s">
        <v>5647</v>
      </c>
      <c r="U279" t="s">
        <v>5648</v>
      </c>
      <c r="V279" t="s">
        <v>5649</v>
      </c>
      <c r="W279" t="s">
        <v>5650</v>
      </c>
      <c r="X279" t="s">
        <v>5651</v>
      </c>
      <c r="Y279" t="s">
        <v>5652</v>
      </c>
      <c r="Z279" t="s">
        <v>5653</v>
      </c>
      <c r="AA279" t="s">
        <v>5654</v>
      </c>
      <c r="AB279" t="s">
        <v>5655</v>
      </c>
      <c r="AC279" t="s">
        <v>5656</v>
      </c>
      <c r="AD279" t="s">
        <v>5657</v>
      </c>
      <c r="AE279" t="s">
        <v>5658</v>
      </c>
      <c r="AF279" t="s">
        <v>74</v>
      </c>
      <c r="AG279">
        <v>48</v>
      </c>
      <c r="AH279">
        <v>5</v>
      </c>
      <c r="AI279">
        <v>5</v>
      </c>
      <c r="AJ279">
        <v>0</v>
      </c>
      <c r="AK279">
        <v>10</v>
      </c>
      <c r="AL279" t="s">
        <v>3231</v>
      </c>
      <c r="AM279" t="s">
        <v>3232</v>
      </c>
      <c r="AN279" t="s">
        <v>3233</v>
      </c>
      <c r="AO279" t="s">
        <v>5659</v>
      </c>
      <c r="AP279" t="s">
        <v>5660</v>
      </c>
      <c r="AQ279" t="s">
        <v>74</v>
      </c>
      <c r="AR279" t="s">
        <v>5661</v>
      </c>
      <c r="AS279" t="s">
        <v>5662</v>
      </c>
      <c r="AT279" t="s">
        <v>5635</v>
      </c>
      <c r="AU279">
        <v>2015</v>
      </c>
      <c r="AV279">
        <v>49</v>
      </c>
      <c r="AW279" t="s">
        <v>74</v>
      </c>
      <c r="AX279" t="s">
        <v>74</v>
      </c>
      <c r="AY279" t="s">
        <v>74</v>
      </c>
      <c r="AZ279" t="s">
        <v>74</v>
      </c>
      <c r="BA279" t="s">
        <v>74</v>
      </c>
      <c r="BB279">
        <v>1</v>
      </c>
      <c r="BC279">
        <v>7</v>
      </c>
      <c r="BD279" t="s">
        <v>74</v>
      </c>
      <c r="BE279" t="s">
        <v>5663</v>
      </c>
      <c r="BF279" t="str">
        <f>HYPERLINK("http://dx.doi.org/10.1016/j.niox.2015.05.002","http://dx.doi.org/10.1016/j.niox.2015.05.002")</f>
        <v>http://dx.doi.org/10.1016/j.niox.2015.05.002</v>
      </c>
      <c r="BG279" t="s">
        <v>74</v>
      </c>
      <c r="BH279" t="s">
        <v>74</v>
      </c>
      <c r="BI279">
        <v>7</v>
      </c>
      <c r="BJ279" t="s">
        <v>5664</v>
      </c>
      <c r="BK279" t="s">
        <v>101</v>
      </c>
      <c r="BL279" t="s">
        <v>5664</v>
      </c>
      <c r="BM279" t="s">
        <v>5665</v>
      </c>
      <c r="BN279">
        <v>26045289</v>
      </c>
      <c r="BO279" t="s">
        <v>74</v>
      </c>
      <c r="BP279" t="s">
        <v>74</v>
      </c>
      <c r="BQ279" t="s">
        <v>74</v>
      </c>
      <c r="BR279" t="s">
        <v>103</v>
      </c>
      <c r="BS279" t="s">
        <v>5666</v>
      </c>
      <c r="BT279" t="str">
        <f>HYPERLINK("https%3A%2F%2Fwww.webofscience.com%2Fwos%2Fwoscc%2Ffull-record%2FWOS:000360187300001","View Full Record in Web of Science")</f>
        <v>View Full Record in Web of Science</v>
      </c>
    </row>
    <row r="280" spans="1:72" x14ac:dyDescent="0.15">
      <c r="A280" t="s">
        <v>72</v>
      </c>
      <c r="B280" t="s">
        <v>5667</v>
      </c>
      <c r="C280" t="s">
        <v>74</v>
      </c>
      <c r="D280" t="s">
        <v>74</v>
      </c>
      <c r="E280" t="s">
        <v>74</v>
      </c>
      <c r="F280" t="s">
        <v>5668</v>
      </c>
      <c r="G280" t="s">
        <v>74</v>
      </c>
      <c r="H280" t="s">
        <v>74</v>
      </c>
      <c r="I280" t="s">
        <v>5669</v>
      </c>
      <c r="J280" t="s">
        <v>1690</v>
      </c>
      <c r="K280" t="s">
        <v>74</v>
      </c>
      <c r="L280" t="s">
        <v>74</v>
      </c>
      <c r="M280" t="s">
        <v>78</v>
      </c>
      <c r="N280" t="s">
        <v>79</v>
      </c>
      <c r="O280" t="s">
        <v>74</v>
      </c>
      <c r="P280" t="s">
        <v>74</v>
      </c>
      <c r="Q280" t="s">
        <v>74</v>
      </c>
      <c r="R280" t="s">
        <v>74</v>
      </c>
      <c r="S280" t="s">
        <v>74</v>
      </c>
      <c r="T280" t="s">
        <v>5670</v>
      </c>
      <c r="U280" t="s">
        <v>5671</v>
      </c>
      <c r="V280" t="s">
        <v>5672</v>
      </c>
      <c r="W280" t="s">
        <v>5673</v>
      </c>
      <c r="X280" t="s">
        <v>5674</v>
      </c>
      <c r="Y280" t="s">
        <v>5675</v>
      </c>
      <c r="Z280" t="s">
        <v>5676</v>
      </c>
      <c r="AA280" t="s">
        <v>5677</v>
      </c>
      <c r="AB280" t="s">
        <v>5678</v>
      </c>
      <c r="AC280" t="s">
        <v>5679</v>
      </c>
      <c r="AD280" t="s">
        <v>5680</v>
      </c>
      <c r="AE280" t="s">
        <v>5681</v>
      </c>
      <c r="AF280" t="s">
        <v>74</v>
      </c>
      <c r="AG280">
        <v>49</v>
      </c>
      <c r="AH280">
        <v>7</v>
      </c>
      <c r="AI280">
        <v>7</v>
      </c>
      <c r="AJ280">
        <v>0</v>
      </c>
      <c r="AK280">
        <v>26</v>
      </c>
      <c r="AL280" t="s">
        <v>883</v>
      </c>
      <c r="AM280" t="s">
        <v>884</v>
      </c>
      <c r="AN280" t="s">
        <v>885</v>
      </c>
      <c r="AO280" t="s">
        <v>1702</v>
      </c>
      <c r="AP280" t="s">
        <v>1703</v>
      </c>
      <c r="AQ280" t="s">
        <v>74</v>
      </c>
      <c r="AR280" t="s">
        <v>1704</v>
      </c>
      <c r="AS280" t="s">
        <v>1705</v>
      </c>
      <c r="AT280" t="s">
        <v>5635</v>
      </c>
      <c r="AU280">
        <v>2015</v>
      </c>
      <c r="AV280">
        <v>426</v>
      </c>
      <c r="AW280" t="s">
        <v>74</v>
      </c>
      <c r="AX280" t="s">
        <v>74</v>
      </c>
      <c r="AY280" t="s">
        <v>74</v>
      </c>
      <c r="AZ280" t="s">
        <v>74</v>
      </c>
      <c r="BA280" t="s">
        <v>74</v>
      </c>
      <c r="BB280">
        <v>130</v>
      </c>
      <c r="BC280">
        <v>142</v>
      </c>
      <c r="BD280" t="s">
        <v>74</v>
      </c>
      <c r="BE280" t="s">
        <v>5682</v>
      </c>
      <c r="BF280" t="str">
        <f>HYPERLINK("http://dx.doi.org/10.1016/j.epsl.2015.06.025","http://dx.doi.org/10.1016/j.epsl.2015.06.025")</f>
        <v>http://dx.doi.org/10.1016/j.epsl.2015.06.025</v>
      </c>
      <c r="BG280" t="s">
        <v>74</v>
      </c>
      <c r="BH280" t="s">
        <v>74</v>
      </c>
      <c r="BI280">
        <v>13</v>
      </c>
      <c r="BJ280" t="s">
        <v>1707</v>
      </c>
      <c r="BK280" t="s">
        <v>101</v>
      </c>
      <c r="BL280" t="s">
        <v>1707</v>
      </c>
      <c r="BM280" t="s">
        <v>5683</v>
      </c>
      <c r="BN280" t="s">
        <v>74</v>
      </c>
      <c r="BO280" t="s">
        <v>559</v>
      </c>
      <c r="BP280" t="s">
        <v>74</v>
      </c>
      <c r="BQ280" t="s">
        <v>74</v>
      </c>
      <c r="BR280" t="s">
        <v>103</v>
      </c>
      <c r="BS280" t="s">
        <v>5684</v>
      </c>
      <c r="BT280" t="str">
        <f>HYPERLINK("https%3A%2F%2Fwww.webofscience.com%2Fwos%2Fwoscc%2Ffull-record%2FWOS:000359033400013","View Full Record in Web of Science")</f>
        <v>View Full Record in Web of Science</v>
      </c>
    </row>
    <row r="281" spans="1:72" x14ac:dyDescent="0.15">
      <c r="A281" t="s">
        <v>72</v>
      </c>
      <c r="B281" t="s">
        <v>5685</v>
      </c>
      <c r="C281" t="s">
        <v>74</v>
      </c>
      <c r="D281" t="s">
        <v>74</v>
      </c>
      <c r="E281" t="s">
        <v>74</v>
      </c>
      <c r="F281" t="s">
        <v>5686</v>
      </c>
      <c r="G281" t="s">
        <v>74</v>
      </c>
      <c r="H281" t="s">
        <v>74</v>
      </c>
      <c r="I281" t="s">
        <v>5687</v>
      </c>
      <c r="J281" t="s">
        <v>5688</v>
      </c>
      <c r="K281" t="s">
        <v>74</v>
      </c>
      <c r="L281" t="s">
        <v>74</v>
      </c>
      <c r="M281" t="s">
        <v>78</v>
      </c>
      <c r="N281" t="s">
        <v>79</v>
      </c>
      <c r="O281" t="s">
        <v>74</v>
      </c>
      <c r="P281" t="s">
        <v>74</v>
      </c>
      <c r="Q281" t="s">
        <v>74</v>
      </c>
      <c r="R281" t="s">
        <v>74</v>
      </c>
      <c r="S281" t="s">
        <v>74</v>
      </c>
      <c r="T281" t="s">
        <v>74</v>
      </c>
      <c r="U281" t="s">
        <v>5689</v>
      </c>
      <c r="V281" t="s">
        <v>5690</v>
      </c>
      <c r="W281" t="s">
        <v>5691</v>
      </c>
      <c r="X281" t="s">
        <v>5692</v>
      </c>
      <c r="Y281" t="s">
        <v>5693</v>
      </c>
      <c r="Z281" t="s">
        <v>5694</v>
      </c>
      <c r="AA281" t="s">
        <v>74</v>
      </c>
      <c r="AB281" t="s">
        <v>5695</v>
      </c>
      <c r="AC281" t="s">
        <v>5696</v>
      </c>
      <c r="AD281" t="s">
        <v>5697</v>
      </c>
      <c r="AE281" t="s">
        <v>5698</v>
      </c>
      <c r="AF281" t="s">
        <v>74</v>
      </c>
      <c r="AG281">
        <v>89</v>
      </c>
      <c r="AH281">
        <v>111</v>
      </c>
      <c r="AI281">
        <v>117</v>
      </c>
      <c r="AJ281">
        <v>3</v>
      </c>
      <c r="AK281">
        <v>36</v>
      </c>
      <c r="AL281" t="s">
        <v>397</v>
      </c>
      <c r="AM281" t="s">
        <v>398</v>
      </c>
      <c r="AN281" t="s">
        <v>399</v>
      </c>
      <c r="AO281" t="s">
        <v>5699</v>
      </c>
      <c r="AP281" t="s">
        <v>5700</v>
      </c>
      <c r="AQ281" t="s">
        <v>74</v>
      </c>
      <c r="AR281" t="s">
        <v>5701</v>
      </c>
      <c r="AS281" t="s">
        <v>5702</v>
      </c>
      <c r="AT281" t="s">
        <v>5635</v>
      </c>
      <c r="AU281">
        <v>2015</v>
      </c>
      <c r="AV281">
        <v>165</v>
      </c>
      <c r="AW281" t="s">
        <v>74</v>
      </c>
      <c r="AX281" t="s">
        <v>74</v>
      </c>
      <c r="AY281" t="s">
        <v>74</v>
      </c>
      <c r="AZ281" t="s">
        <v>74</v>
      </c>
      <c r="BA281" t="s">
        <v>74</v>
      </c>
      <c r="BB281">
        <v>148</v>
      </c>
      <c r="BC281">
        <v>160</v>
      </c>
      <c r="BD281" t="s">
        <v>74</v>
      </c>
      <c r="BE281" t="s">
        <v>5703</v>
      </c>
      <c r="BF281" t="str">
        <f>HYPERLINK("http://dx.doi.org/10.1016/j.gca.2015.05.038","http://dx.doi.org/10.1016/j.gca.2015.05.038")</f>
        <v>http://dx.doi.org/10.1016/j.gca.2015.05.038</v>
      </c>
      <c r="BG281" t="s">
        <v>74</v>
      </c>
      <c r="BH281" t="s">
        <v>74</v>
      </c>
      <c r="BI281">
        <v>13</v>
      </c>
      <c r="BJ281" t="s">
        <v>1707</v>
      </c>
      <c r="BK281" t="s">
        <v>101</v>
      </c>
      <c r="BL281" t="s">
        <v>1707</v>
      </c>
      <c r="BM281" t="s">
        <v>5704</v>
      </c>
      <c r="BN281" t="s">
        <v>74</v>
      </c>
      <c r="BO281" t="s">
        <v>4037</v>
      </c>
      <c r="BP281" t="s">
        <v>74</v>
      </c>
      <c r="BQ281" t="s">
        <v>74</v>
      </c>
      <c r="BR281" t="s">
        <v>103</v>
      </c>
      <c r="BS281" t="s">
        <v>5705</v>
      </c>
      <c r="BT281" t="str">
        <f>HYPERLINK("https%3A%2F%2Fwww.webofscience.com%2Fwos%2Fwoscc%2Ffull-record%2FWOS:000358427700011","View Full Record in Web of Science")</f>
        <v>View Full Record in Web of Science</v>
      </c>
    </row>
    <row r="282" spans="1:72" x14ac:dyDescent="0.15">
      <c r="A282" t="s">
        <v>72</v>
      </c>
      <c r="B282" t="s">
        <v>5706</v>
      </c>
      <c r="C282" t="s">
        <v>74</v>
      </c>
      <c r="D282" t="s">
        <v>74</v>
      </c>
      <c r="E282" t="s">
        <v>74</v>
      </c>
      <c r="F282" t="s">
        <v>5707</v>
      </c>
      <c r="G282" t="s">
        <v>74</v>
      </c>
      <c r="H282" t="s">
        <v>74</v>
      </c>
      <c r="I282" t="s">
        <v>5708</v>
      </c>
      <c r="J282" t="s">
        <v>5709</v>
      </c>
      <c r="K282" t="s">
        <v>74</v>
      </c>
      <c r="L282" t="s">
        <v>74</v>
      </c>
      <c r="M282" t="s">
        <v>78</v>
      </c>
      <c r="N282" t="s">
        <v>79</v>
      </c>
      <c r="O282" t="s">
        <v>74</v>
      </c>
      <c r="P282" t="s">
        <v>74</v>
      </c>
      <c r="Q282" t="s">
        <v>74</v>
      </c>
      <c r="R282" t="s">
        <v>74</v>
      </c>
      <c r="S282" t="s">
        <v>74</v>
      </c>
      <c r="T282" t="s">
        <v>5710</v>
      </c>
      <c r="U282" t="s">
        <v>5711</v>
      </c>
      <c r="V282" t="s">
        <v>5712</v>
      </c>
      <c r="W282" t="s">
        <v>5713</v>
      </c>
      <c r="X282" t="s">
        <v>5714</v>
      </c>
      <c r="Y282" t="s">
        <v>5715</v>
      </c>
      <c r="Z282" t="s">
        <v>5716</v>
      </c>
      <c r="AA282" t="s">
        <v>5717</v>
      </c>
      <c r="AB282" t="s">
        <v>5718</v>
      </c>
      <c r="AC282" t="s">
        <v>5719</v>
      </c>
      <c r="AD282" t="s">
        <v>5720</v>
      </c>
      <c r="AE282" t="s">
        <v>5721</v>
      </c>
      <c r="AF282" t="s">
        <v>74</v>
      </c>
      <c r="AG282">
        <v>75</v>
      </c>
      <c r="AH282">
        <v>33</v>
      </c>
      <c r="AI282">
        <v>35</v>
      </c>
      <c r="AJ282">
        <v>0</v>
      </c>
      <c r="AK282">
        <v>26</v>
      </c>
      <c r="AL282" t="s">
        <v>883</v>
      </c>
      <c r="AM282" t="s">
        <v>884</v>
      </c>
      <c r="AN282" t="s">
        <v>885</v>
      </c>
      <c r="AO282" t="s">
        <v>5722</v>
      </c>
      <c r="AP282" t="s">
        <v>5723</v>
      </c>
      <c r="AQ282" t="s">
        <v>74</v>
      </c>
      <c r="AR282" t="s">
        <v>5709</v>
      </c>
      <c r="AS282" t="s">
        <v>5724</v>
      </c>
      <c r="AT282" t="s">
        <v>5635</v>
      </c>
      <c r="AU282">
        <v>2015</v>
      </c>
      <c r="AV282">
        <v>245</v>
      </c>
      <c r="AW282" t="s">
        <v>74</v>
      </c>
      <c r="AX282" t="s">
        <v>74</v>
      </c>
      <c r="AY282" t="s">
        <v>74</v>
      </c>
      <c r="AZ282" t="s">
        <v>74</v>
      </c>
      <c r="BA282" t="s">
        <v>74</v>
      </c>
      <c r="BB282">
        <v>207</v>
      </c>
      <c r="BC282">
        <v>222</v>
      </c>
      <c r="BD282" t="s">
        <v>74</v>
      </c>
      <c r="BE282" t="s">
        <v>5725</v>
      </c>
      <c r="BF282" t="str">
        <f>HYPERLINK("http://dx.doi.org/10.1016/j.geomorph.2015.05.020","http://dx.doi.org/10.1016/j.geomorph.2015.05.020")</f>
        <v>http://dx.doi.org/10.1016/j.geomorph.2015.05.020</v>
      </c>
      <c r="BG282" t="s">
        <v>74</v>
      </c>
      <c r="BH282" t="s">
        <v>74</v>
      </c>
      <c r="BI282">
        <v>16</v>
      </c>
      <c r="BJ282" t="s">
        <v>1778</v>
      </c>
      <c r="BK282" t="s">
        <v>101</v>
      </c>
      <c r="BL282" t="s">
        <v>1779</v>
      </c>
      <c r="BM282" t="s">
        <v>5726</v>
      </c>
      <c r="BN282" t="s">
        <v>74</v>
      </c>
      <c r="BO282" t="s">
        <v>245</v>
      </c>
      <c r="BP282" t="s">
        <v>74</v>
      </c>
      <c r="BQ282" t="s">
        <v>74</v>
      </c>
      <c r="BR282" t="s">
        <v>103</v>
      </c>
      <c r="BS282" t="s">
        <v>5727</v>
      </c>
      <c r="BT282" t="str">
        <f>HYPERLINK("https%3A%2F%2Fwww.webofscience.com%2Fwos%2Fwoscc%2Ffull-record%2FWOS:000360511200015","View Full Record in Web of Science")</f>
        <v>View Full Record in Web of Science</v>
      </c>
    </row>
    <row r="283" spans="1:72" x14ac:dyDescent="0.15">
      <c r="A283" t="s">
        <v>72</v>
      </c>
      <c r="B283" t="s">
        <v>5728</v>
      </c>
      <c r="C283" t="s">
        <v>74</v>
      </c>
      <c r="D283" t="s">
        <v>74</v>
      </c>
      <c r="E283" t="s">
        <v>74</v>
      </c>
      <c r="F283" t="s">
        <v>5729</v>
      </c>
      <c r="G283" t="s">
        <v>74</v>
      </c>
      <c r="H283" t="s">
        <v>74</v>
      </c>
      <c r="I283" t="s">
        <v>5730</v>
      </c>
      <c r="J283" t="s">
        <v>5731</v>
      </c>
      <c r="K283" t="s">
        <v>74</v>
      </c>
      <c r="L283" t="s">
        <v>74</v>
      </c>
      <c r="M283" t="s">
        <v>78</v>
      </c>
      <c r="N283" t="s">
        <v>79</v>
      </c>
      <c r="O283" t="s">
        <v>74</v>
      </c>
      <c r="P283" t="s">
        <v>74</v>
      </c>
      <c r="Q283" t="s">
        <v>74</v>
      </c>
      <c r="R283" t="s">
        <v>74</v>
      </c>
      <c r="S283" t="s">
        <v>74</v>
      </c>
      <c r="T283" t="s">
        <v>5732</v>
      </c>
      <c r="U283" t="s">
        <v>5733</v>
      </c>
      <c r="V283" t="s">
        <v>5734</v>
      </c>
      <c r="W283" t="s">
        <v>5735</v>
      </c>
      <c r="X283" t="s">
        <v>5736</v>
      </c>
      <c r="Y283" t="s">
        <v>5737</v>
      </c>
      <c r="Z283" t="s">
        <v>5738</v>
      </c>
      <c r="AA283" t="s">
        <v>5739</v>
      </c>
      <c r="AB283" t="s">
        <v>5740</v>
      </c>
      <c r="AC283" t="s">
        <v>5741</v>
      </c>
      <c r="AD283" t="s">
        <v>5742</v>
      </c>
      <c r="AE283" t="s">
        <v>5743</v>
      </c>
      <c r="AF283" t="s">
        <v>74</v>
      </c>
      <c r="AG283">
        <v>87</v>
      </c>
      <c r="AH283">
        <v>20</v>
      </c>
      <c r="AI283">
        <v>21</v>
      </c>
      <c r="AJ283">
        <v>1</v>
      </c>
      <c r="AK283">
        <v>16</v>
      </c>
      <c r="AL283" t="s">
        <v>883</v>
      </c>
      <c r="AM283" t="s">
        <v>884</v>
      </c>
      <c r="AN283" t="s">
        <v>885</v>
      </c>
      <c r="AO283" t="s">
        <v>5744</v>
      </c>
      <c r="AP283" t="s">
        <v>5745</v>
      </c>
      <c r="AQ283" t="s">
        <v>74</v>
      </c>
      <c r="AR283" t="s">
        <v>5746</v>
      </c>
      <c r="AS283" t="s">
        <v>5747</v>
      </c>
      <c r="AT283" t="s">
        <v>5635</v>
      </c>
      <c r="AU283">
        <v>2015</v>
      </c>
      <c r="AV283">
        <v>303</v>
      </c>
      <c r="AW283" t="s">
        <v>74</v>
      </c>
      <c r="AX283" t="s">
        <v>74</v>
      </c>
      <c r="AY283" t="s">
        <v>74</v>
      </c>
      <c r="AZ283" t="s">
        <v>74</v>
      </c>
      <c r="BA283" t="s">
        <v>74</v>
      </c>
      <c r="BB283">
        <v>59</v>
      </c>
      <c r="BC283">
        <v>78</v>
      </c>
      <c r="BD283" t="s">
        <v>74</v>
      </c>
      <c r="BE283" t="s">
        <v>5748</v>
      </c>
      <c r="BF283" t="str">
        <f>HYPERLINK("http://dx.doi.org/10.1016/j.jvolgeores.2015.06.021","http://dx.doi.org/10.1016/j.jvolgeores.2015.06.021")</f>
        <v>http://dx.doi.org/10.1016/j.jvolgeores.2015.06.021</v>
      </c>
      <c r="BG283" t="s">
        <v>74</v>
      </c>
      <c r="BH283" t="s">
        <v>74</v>
      </c>
      <c r="BI283">
        <v>20</v>
      </c>
      <c r="BJ283" t="s">
        <v>314</v>
      </c>
      <c r="BK283" t="s">
        <v>101</v>
      </c>
      <c r="BL283" t="s">
        <v>315</v>
      </c>
      <c r="BM283" t="s">
        <v>5749</v>
      </c>
      <c r="BN283" t="s">
        <v>74</v>
      </c>
      <c r="BO283" t="s">
        <v>3721</v>
      </c>
      <c r="BP283" t="s">
        <v>74</v>
      </c>
      <c r="BQ283" t="s">
        <v>74</v>
      </c>
      <c r="BR283" t="s">
        <v>103</v>
      </c>
      <c r="BS283" t="s">
        <v>5750</v>
      </c>
      <c r="BT283" t="str">
        <f>HYPERLINK("https%3A%2F%2Fwww.webofscience.com%2Fwos%2Fwoscc%2Ffull-record%2FWOS:000362608000006","View Full Record in Web of Science")</f>
        <v>View Full Record in Web of Science</v>
      </c>
    </row>
    <row r="284" spans="1:72" x14ac:dyDescent="0.15">
      <c r="A284" t="s">
        <v>72</v>
      </c>
      <c r="B284" t="s">
        <v>5751</v>
      </c>
      <c r="C284" t="s">
        <v>74</v>
      </c>
      <c r="D284" t="s">
        <v>74</v>
      </c>
      <c r="E284" t="s">
        <v>74</v>
      </c>
      <c r="F284" t="s">
        <v>5752</v>
      </c>
      <c r="G284" t="s">
        <v>74</v>
      </c>
      <c r="H284" t="s">
        <v>74</v>
      </c>
      <c r="I284" t="s">
        <v>5753</v>
      </c>
      <c r="J284" t="s">
        <v>1033</v>
      </c>
      <c r="K284" t="s">
        <v>74</v>
      </c>
      <c r="L284" t="s">
        <v>74</v>
      </c>
      <c r="M284" t="s">
        <v>78</v>
      </c>
      <c r="N284" t="s">
        <v>79</v>
      </c>
      <c r="O284" t="s">
        <v>74</v>
      </c>
      <c r="P284" t="s">
        <v>74</v>
      </c>
      <c r="Q284" t="s">
        <v>74</v>
      </c>
      <c r="R284" t="s">
        <v>74</v>
      </c>
      <c r="S284" t="s">
        <v>74</v>
      </c>
      <c r="T284" t="s">
        <v>5754</v>
      </c>
      <c r="U284" t="s">
        <v>5755</v>
      </c>
      <c r="V284" t="s">
        <v>5756</v>
      </c>
      <c r="W284" t="s">
        <v>5757</v>
      </c>
      <c r="X284" t="s">
        <v>5758</v>
      </c>
      <c r="Y284" t="s">
        <v>5759</v>
      </c>
      <c r="Z284" t="s">
        <v>5760</v>
      </c>
      <c r="AA284" t="s">
        <v>74</v>
      </c>
      <c r="AB284" t="s">
        <v>5761</v>
      </c>
      <c r="AC284" t="s">
        <v>5762</v>
      </c>
      <c r="AD284" t="s">
        <v>5763</v>
      </c>
      <c r="AE284" t="s">
        <v>5764</v>
      </c>
      <c r="AF284" t="s">
        <v>74</v>
      </c>
      <c r="AG284">
        <v>50</v>
      </c>
      <c r="AH284">
        <v>10</v>
      </c>
      <c r="AI284">
        <v>11</v>
      </c>
      <c r="AJ284">
        <v>1</v>
      </c>
      <c r="AK284">
        <v>22</v>
      </c>
      <c r="AL284" t="s">
        <v>1046</v>
      </c>
      <c r="AM284" t="s">
        <v>1047</v>
      </c>
      <c r="AN284" t="s">
        <v>1048</v>
      </c>
      <c r="AO284" t="s">
        <v>1049</v>
      </c>
      <c r="AP284" t="s">
        <v>1050</v>
      </c>
      <c r="AQ284" t="s">
        <v>74</v>
      </c>
      <c r="AR284" t="s">
        <v>1051</v>
      </c>
      <c r="AS284" t="s">
        <v>1052</v>
      </c>
      <c r="AT284" t="s">
        <v>5635</v>
      </c>
      <c r="AU284">
        <v>2015</v>
      </c>
      <c r="AV284">
        <v>535</v>
      </c>
      <c r="AW284" t="s">
        <v>74</v>
      </c>
      <c r="AX284" t="s">
        <v>74</v>
      </c>
      <c r="AY284" t="s">
        <v>74</v>
      </c>
      <c r="AZ284" t="s">
        <v>74</v>
      </c>
      <c r="BA284" t="s">
        <v>74</v>
      </c>
      <c r="BB284">
        <v>89</v>
      </c>
      <c r="BC284">
        <v>98</v>
      </c>
      <c r="BD284" t="s">
        <v>74</v>
      </c>
      <c r="BE284" t="s">
        <v>5765</v>
      </c>
      <c r="BF284" t="str">
        <f>HYPERLINK("http://dx.doi.org/10.3354/meps11408","http://dx.doi.org/10.3354/meps11408")</f>
        <v>http://dx.doi.org/10.3354/meps11408</v>
      </c>
      <c r="BG284" t="s">
        <v>74</v>
      </c>
      <c r="BH284" t="s">
        <v>74</v>
      </c>
      <c r="BI284">
        <v>10</v>
      </c>
      <c r="BJ284" t="s">
        <v>1054</v>
      </c>
      <c r="BK284" t="s">
        <v>101</v>
      </c>
      <c r="BL284" t="s">
        <v>1055</v>
      </c>
      <c r="BM284" t="s">
        <v>5766</v>
      </c>
      <c r="BN284" t="s">
        <v>74</v>
      </c>
      <c r="BO284" t="s">
        <v>162</v>
      </c>
      <c r="BP284" t="s">
        <v>74</v>
      </c>
      <c r="BQ284" t="s">
        <v>74</v>
      </c>
      <c r="BR284" t="s">
        <v>103</v>
      </c>
      <c r="BS284" t="s">
        <v>5767</v>
      </c>
      <c r="BT284" t="str">
        <f>HYPERLINK("https%3A%2F%2Fwww.webofscience.com%2Fwos%2Fwoscc%2Ffull-record%2FWOS:000361694000006","View Full Record in Web of Science")</f>
        <v>View Full Record in Web of Science</v>
      </c>
    </row>
    <row r="285" spans="1:72" x14ac:dyDescent="0.15">
      <c r="A285" t="s">
        <v>72</v>
      </c>
      <c r="B285" t="s">
        <v>5768</v>
      </c>
      <c r="C285" t="s">
        <v>74</v>
      </c>
      <c r="D285" t="s">
        <v>74</v>
      </c>
      <c r="E285" t="s">
        <v>74</v>
      </c>
      <c r="F285" t="s">
        <v>5769</v>
      </c>
      <c r="G285" t="s">
        <v>74</v>
      </c>
      <c r="H285" t="s">
        <v>74</v>
      </c>
      <c r="I285" t="s">
        <v>5770</v>
      </c>
      <c r="J285" t="s">
        <v>1585</v>
      </c>
      <c r="K285" t="s">
        <v>74</v>
      </c>
      <c r="L285" t="s">
        <v>74</v>
      </c>
      <c r="M285" t="s">
        <v>78</v>
      </c>
      <c r="N285" t="s">
        <v>79</v>
      </c>
      <c r="O285" t="s">
        <v>74</v>
      </c>
      <c r="P285" t="s">
        <v>74</v>
      </c>
      <c r="Q285" t="s">
        <v>74</v>
      </c>
      <c r="R285" t="s">
        <v>74</v>
      </c>
      <c r="S285" t="s">
        <v>74</v>
      </c>
      <c r="T285" t="s">
        <v>5771</v>
      </c>
      <c r="U285" t="s">
        <v>5772</v>
      </c>
      <c r="V285" t="s">
        <v>5773</v>
      </c>
      <c r="W285" t="s">
        <v>5774</v>
      </c>
      <c r="X285" t="s">
        <v>5775</v>
      </c>
      <c r="Y285" t="s">
        <v>5776</v>
      </c>
      <c r="Z285" t="s">
        <v>5777</v>
      </c>
      <c r="AA285" t="s">
        <v>5778</v>
      </c>
      <c r="AB285" t="s">
        <v>5779</v>
      </c>
      <c r="AC285" t="s">
        <v>74</v>
      </c>
      <c r="AD285" t="s">
        <v>74</v>
      </c>
      <c r="AE285" t="s">
        <v>74</v>
      </c>
      <c r="AF285" t="s">
        <v>74</v>
      </c>
      <c r="AG285">
        <v>86</v>
      </c>
      <c r="AH285">
        <v>23</v>
      </c>
      <c r="AI285">
        <v>23</v>
      </c>
      <c r="AJ285">
        <v>1</v>
      </c>
      <c r="AK285">
        <v>44</v>
      </c>
      <c r="AL285" t="s">
        <v>397</v>
      </c>
      <c r="AM285" t="s">
        <v>398</v>
      </c>
      <c r="AN285" t="s">
        <v>399</v>
      </c>
      <c r="AO285" t="s">
        <v>1598</v>
      </c>
      <c r="AP285" t="s">
        <v>1599</v>
      </c>
      <c r="AQ285" t="s">
        <v>74</v>
      </c>
      <c r="AR285" t="s">
        <v>1600</v>
      </c>
      <c r="AS285" t="s">
        <v>1601</v>
      </c>
      <c r="AT285" t="s">
        <v>5635</v>
      </c>
      <c r="AU285">
        <v>2015</v>
      </c>
      <c r="AV285">
        <v>98</v>
      </c>
      <c r="AW285" t="s">
        <v>1603</v>
      </c>
      <c r="AX285" t="s">
        <v>74</v>
      </c>
      <c r="AY285" t="s">
        <v>74</v>
      </c>
      <c r="AZ285" t="s">
        <v>74</v>
      </c>
      <c r="BA285" t="s">
        <v>74</v>
      </c>
      <c r="BB285">
        <v>201</v>
      </c>
      <c r="BC285">
        <v>209</v>
      </c>
      <c r="BD285" t="s">
        <v>74</v>
      </c>
      <c r="BE285" t="s">
        <v>5780</v>
      </c>
      <c r="BF285" t="str">
        <f>HYPERLINK("http://dx.doi.org/10.1016/j.marpolbul.2015.06.049","http://dx.doi.org/10.1016/j.marpolbul.2015.06.049")</f>
        <v>http://dx.doi.org/10.1016/j.marpolbul.2015.06.049</v>
      </c>
      <c r="BG285" t="s">
        <v>74</v>
      </c>
      <c r="BH285" t="s">
        <v>74</v>
      </c>
      <c r="BI285">
        <v>9</v>
      </c>
      <c r="BJ285" t="s">
        <v>1605</v>
      </c>
      <c r="BK285" t="s">
        <v>101</v>
      </c>
      <c r="BL285" t="s">
        <v>990</v>
      </c>
      <c r="BM285" t="s">
        <v>5641</v>
      </c>
      <c r="BN285">
        <v>26169226</v>
      </c>
      <c r="BO285" t="s">
        <v>74</v>
      </c>
      <c r="BP285" t="s">
        <v>74</v>
      </c>
      <c r="BQ285" t="s">
        <v>74</v>
      </c>
      <c r="BR285" t="s">
        <v>103</v>
      </c>
      <c r="BS285" t="s">
        <v>5781</v>
      </c>
      <c r="BT285" t="str">
        <f>HYPERLINK("https%3A%2F%2Fwww.webofscience.com%2Fwos%2Fwoscc%2Ffull-record%2FWOS:000362134100033","View Full Record in Web of Science")</f>
        <v>View Full Record in Web of Science</v>
      </c>
    </row>
    <row r="286" spans="1:72" x14ac:dyDescent="0.15">
      <c r="A286" t="s">
        <v>72</v>
      </c>
      <c r="B286" t="s">
        <v>5782</v>
      </c>
      <c r="C286" t="s">
        <v>74</v>
      </c>
      <c r="D286" t="s">
        <v>74</v>
      </c>
      <c r="E286" t="s">
        <v>74</v>
      </c>
      <c r="F286" t="s">
        <v>5783</v>
      </c>
      <c r="G286" t="s">
        <v>74</v>
      </c>
      <c r="H286" t="s">
        <v>74</v>
      </c>
      <c r="I286" t="s">
        <v>5784</v>
      </c>
      <c r="J286" t="s">
        <v>1690</v>
      </c>
      <c r="K286" t="s">
        <v>74</v>
      </c>
      <c r="L286" t="s">
        <v>74</v>
      </c>
      <c r="M286" t="s">
        <v>78</v>
      </c>
      <c r="N286" t="s">
        <v>79</v>
      </c>
      <c r="O286" t="s">
        <v>74</v>
      </c>
      <c r="P286" t="s">
        <v>74</v>
      </c>
      <c r="Q286" t="s">
        <v>74</v>
      </c>
      <c r="R286" t="s">
        <v>74</v>
      </c>
      <c r="S286" t="s">
        <v>74</v>
      </c>
      <c r="T286" t="s">
        <v>5785</v>
      </c>
      <c r="U286" t="s">
        <v>5786</v>
      </c>
      <c r="V286" t="s">
        <v>5787</v>
      </c>
      <c r="W286" t="s">
        <v>5788</v>
      </c>
      <c r="X286" t="s">
        <v>5789</v>
      </c>
      <c r="Y286" t="s">
        <v>5790</v>
      </c>
      <c r="Z286" t="s">
        <v>5791</v>
      </c>
      <c r="AA286" t="s">
        <v>5792</v>
      </c>
      <c r="AB286" t="s">
        <v>5793</v>
      </c>
      <c r="AC286" t="s">
        <v>5794</v>
      </c>
      <c r="AD286" t="s">
        <v>5795</v>
      </c>
      <c r="AE286" t="s">
        <v>5796</v>
      </c>
      <c r="AF286" t="s">
        <v>74</v>
      </c>
      <c r="AG286">
        <v>57</v>
      </c>
      <c r="AH286">
        <v>125</v>
      </c>
      <c r="AI286">
        <v>148</v>
      </c>
      <c r="AJ286">
        <v>7</v>
      </c>
      <c r="AK286">
        <v>93</v>
      </c>
      <c r="AL286" t="s">
        <v>883</v>
      </c>
      <c r="AM286" t="s">
        <v>884</v>
      </c>
      <c r="AN286" t="s">
        <v>885</v>
      </c>
      <c r="AO286" t="s">
        <v>1702</v>
      </c>
      <c r="AP286" t="s">
        <v>1703</v>
      </c>
      <c r="AQ286" t="s">
        <v>74</v>
      </c>
      <c r="AR286" t="s">
        <v>1704</v>
      </c>
      <c r="AS286" t="s">
        <v>1705</v>
      </c>
      <c r="AT286" t="s">
        <v>5635</v>
      </c>
      <c r="AU286">
        <v>2015</v>
      </c>
      <c r="AV286">
        <v>426</v>
      </c>
      <c r="AW286" t="s">
        <v>74</v>
      </c>
      <c r="AX286" t="s">
        <v>74</v>
      </c>
      <c r="AY286" t="s">
        <v>74</v>
      </c>
      <c r="AZ286" t="s">
        <v>74</v>
      </c>
      <c r="BA286" t="s">
        <v>74</v>
      </c>
      <c r="BB286">
        <v>58</v>
      </c>
      <c r="BC286">
        <v>68</v>
      </c>
      <c r="BD286" t="s">
        <v>74</v>
      </c>
      <c r="BE286" t="s">
        <v>5797</v>
      </c>
      <c r="BF286" t="str">
        <f>HYPERLINK("http://dx.doi.org/10.1016/j.epsl.2015.05.042","http://dx.doi.org/10.1016/j.epsl.2015.05.042")</f>
        <v>http://dx.doi.org/10.1016/j.epsl.2015.05.042</v>
      </c>
      <c r="BG286" t="s">
        <v>74</v>
      </c>
      <c r="BH286" t="s">
        <v>74</v>
      </c>
      <c r="BI286">
        <v>11</v>
      </c>
      <c r="BJ286" t="s">
        <v>1707</v>
      </c>
      <c r="BK286" t="s">
        <v>101</v>
      </c>
      <c r="BL286" t="s">
        <v>1707</v>
      </c>
      <c r="BM286" t="s">
        <v>5683</v>
      </c>
      <c r="BN286" t="s">
        <v>74</v>
      </c>
      <c r="BO286" t="s">
        <v>1509</v>
      </c>
      <c r="BP286" t="s">
        <v>74</v>
      </c>
      <c r="BQ286" t="s">
        <v>74</v>
      </c>
      <c r="BR286" t="s">
        <v>103</v>
      </c>
      <c r="BS286" t="s">
        <v>5798</v>
      </c>
      <c r="BT286" t="str">
        <f>HYPERLINK("https%3A%2F%2Fwww.webofscience.com%2Fwos%2Fwoscc%2Ffull-record%2FWOS:000359033400006","View Full Record in Web of Science")</f>
        <v>View Full Record in Web of Science</v>
      </c>
    </row>
    <row r="287" spans="1:72" x14ac:dyDescent="0.15">
      <c r="A287" t="s">
        <v>72</v>
      </c>
      <c r="B287" t="s">
        <v>5799</v>
      </c>
      <c r="C287" t="s">
        <v>74</v>
      </c>
      <c r="D287" t="s">
        <v>74</v>
      </c>
      <c r="E287" t="s">
        <v>74</v>
      </c>
      <c r="F287" t="s">
        <v>5800</v>
      </c>
      <c r="G287" t="s">
        <v>74</v>
      </c>
      <c r="H287" t="s">
        <v>74</v>
      </c>
      <c r="I287" t="s">
        <v>5801</v>
      </c>
      <c r="J287" t="s">
        <v>1690</v>
      </c>
      <c r="K287" t="s">
        <v>74</v>
      </c>
      <c r="L287" t="s">
        <v>74</v>
      </c>
      <c r="M287" t="s">
        <v>78</v>
      </c>
      <c r="N287" t="s">
        <v>79</v>
      </c>
      <c r="O287" t="s">
        <v>74</v>
      </c>
      <c r="P287" t="s">
        <v>74</v>
      </c>
      <c r="Q287" t="s">
        <v>74</v>
      </c>
      <c r="R287" t="s">
        <v>74</v>
      </c>
      <c r="S287" t="s">
        <v>74</v>
      </c>
      <c r="T287" t="s">
        <v>5802</v>
      </c>
      <c r="U287" t="s">
        <v>5803</v>
      </c>
      <c r="V287" t="s">
        <v>5804</v>
      </c>
      <c r="W287" t="s">
        <v>5805</v>
      </c>
      <c r="X287" t="s">
        <v>5806</v>
      </c>
      <c r="Y287" t="s">
        <v>5807</v>
      </c>
      <c r="Z287" t="s">
        <v>5808</v>
      </c>
      <c r="AA287" t="s">
        <v>5809</v>
      </c>
      <c r="AB287" t="s">
        <v>5810</v>
      </c>
      <c r="AC287" t="s">
        <v>5811</v>
      </c>
      <c r="AD287" t="s">
        <v>5812</v>
      </c>
      <c r="AE287" t="s">
        <v>5813</v>
      </c>
      <c r="AF287" t="s">
        <v>74</v>
      </c>
      <c r="AG287">
        <v>46</v>
      </c>
      <c r="AH287">
        <v>20</v>
      </c>
      <c r="AI287">
        <v>23</v>
      </c>
      <c r="AJ287">
        <v>0</v>
      </c>
      <c r="AK287">
        <v>42</v>
      </c>
      <c r="AL287" t="s">
        <v>883</v>
      </c>
      <c r="AM287" t="s">
        <v>884</v>
      </c>
      <c r="AN287" t="s">
        <v>885</v>
      </c>
      <c r="AO287" t="s">
        <v>1702</v>
      </c>
      <c r="AP287" t="s">
        <v>1703</v>
      </c>
      <c r="AQ287" t="s">
        <v>74</v>
      </c>
      <c r="AR287" t="s">
        <v>1704</v>
      </c>
      <c r="AS287" t="s">
        <v>1705</v>
      </c>
      <c r="AT287" t="s">
        <v>5635</v>
      </c>
      <c r="AU287">
        <v>2015</v>
      </c>
      <c r="AV287">
        <v>426</v>
      </c>
      <c r="AW287" t="s">
        <v>74</v>
      </c>
      <c r="AX287" t="s">
        <v>74</v>
      </c>
      <c r="AY287" t="s">
        <v>74</v>
      </c>
      <c r="AZ287" t="s">
        <v>74</v>
      </c>
      <c r="BA287" t="s">
        <v>74</v>
      </c>
      <c r="BB287">
        <v>101</v>
      </c>
      <c r="BC287">
        <v>108</v>
      </c>
      <c r="BD287" t="s">
        <v>74</v>
      </c>
      <c r="BE287" t="s">
        <v>5814</v>
      </c>
      <c r="BF287" t="str">
        <f>HYPERLINK("http://dx.doi.org/10.1016/j.epsl.2015.06.027","http://dx.doi.org/10.1016/j.epsl.2015.06.027")</f>
        <v>http://dx.doi.org/10.1016/j.epsl.2015.06.027</v>
      </c>
      <c r="BG287" t="s">
        <v>74</v>
      </c>
      <c r="BH287" t="s">
        <v>74</v>
      </c>
      <c r="BI287">
        <v>8</v>
      </c>
      <c r="BJ287" t="s">
        <v>1707</v>
      </c>
      <c r="BK287" t="s">
        <v>101</v>
      </c>
      <c r="BL287" t="s">
        <v>1707</v>
      </c>
      <c r="BM287" t="s">
        <v>5683</v>
      </c>
      <c r="BN287" t="s">
        <v>74</v>
      </c>
      <c r="BO287" t="s">
        <v>74</v>
      </c>
      <c r="BP287" t="s">
        <v>74</v>
      </c>
      <c r="BQ287" t="s">
        <v>74</v>
      </c>
      <c r="BR287" t="s">
        <v>103</v>
      </c>
      <c r="BS287" t="s">
        <v>5815</v>
      </c>
      <c r="BT287" t="str">
        <f>HYPERLINK("https%3A%2F%2Fwww.webofscience.com%2Fwos%2Fwoscc%2Ffull-record%2FWOS:000359033400010","View Full Record in Web of Science")</f>
        <v>View Full Record in Web of Science</v>
      </c>
    </row>
    <row r="288" spans="1:72" x14ac:dyDescent="0.15">
      <c r="A288" t="s">
        <v>72</v>
      </c>
      <c r="B288" t="s">
        <v>5816</v>
      </c>
      <c r="C288" t="s">
        <v>74</v>
      </c>
      <c r="D288" t="s">
        <v>74</v>
      </c>
      <c r="E288" t="s">
        <v>74</v>
      </c>
      <c r="F288" t="s">
        <v>5817</v>
      </c>
      <c r="G288" t="s">
        <v>74</v>
      </c>
      <c r="H288" t="s">
        <v>74</v>
      </c>
      <c r="I288" t="s">
        <v>5818</v>
      </c>
      <c r="J288" t="s">
        <v>5819</v>
      </c>
      <c r="K288" t="s">
        <v>74</v>
      </c>
      <c r="L288" t="s">
        <v>74</v>
      </c>
      <c r="M288" t="s">
        <v>78</v>
      </c>
      <c r="N288" t="s">
        <v>79</v>
      </c>
      <c r="O288" t="s">
        <v>74</v>
      </c>
      <c r="P288" t="s">
        <v>74</v>
      </c>
      <c r="Q288" t="s">
        <v>74</v>
      </c>
      <c r="R288" t="s">
        <v>74</v>
      </c>
      <c r="S288" t="s">
        <v>74</v>
      </c>
      <c r="T288" t="s">
        <v>5820</v>
      </c>
      <c r="U288" t="s">
        <v>5821</v>
      </c>
      <c r="V288" t="s">
        <v>5822</v>
      </c>
      <c r="W288" t="s">
        <v>5823</v>
      </c>
      <c r="X288" t="s">
        <v>5824</v>
      </c>
      <c r="Y288" t="s">
        <v>5825</v>
      </c>
      <c r="Z288" t="s">
        <v>5826</v>
      </c>
      <c r="AA288" t="s">
        <v>5827</v>
      </c>
      <c r="AB288" t="s">
        <v>5828</v>
      </c>
      <c r="AC288" t="s">
        <v>5829</v>
      </c>
      <c r="AD288" t="s">
        <v>5829</v>
      </c>
      <c r="AE288" t="s">
        <v>5830</v>
      </c>
      <c r="AF288" t="s">
        <v>74</v>
      </c>
      <c r="AG288">
        <v>71</v>
      </c>
      <c r="AH288">
        <v>56</v>
      </c>
      <c r="AI288">
        <v>62</v>
      </c>
      <c r="AJ288">
        <v>3</v>
      </c>
      <c r="AK288">
        <v>65</v>
      </c>
      <c r="AL288" t="s">
        <v>496</v>
      </c>
      <c r="AM288" t="s">
        <v>398</v>
      </c>
      <c r="AN288" t="s">
        <v>497</v>
      </c>
      <c r="AO288" t="s">
        <v>5831</v>
      </c>
      <c r="AP288" t="s">
        <v>5832</v>
      </c>
      <c r="AQ288" t="s">
        <v>74</v>
      </c>
      <c r="AR288" t="s">
        <v>5833</v>
      </c>
      <c r="AS288" t="s">
        <v>5834</v>
      </c>
      <c r="AT288" t="s">
        <v>5635</v>
      </c>
      <c r="AU288">
        <v>2015</v>
      </c>
      <c r="AV288">
        <v>103</v>
      </c>
      <c r="AW288" t="s">
        <v>74</v>
      </c>
      <c r="AX288" t="s">
        <v>74</v>
      </c>
      <c r="AY288" t="s">
        <v>74</v>
      </c>
      <c r="AZ288" t="s">
        <v>74</v>
      </c>
      <c r="BA288" t="s">
        <v>74</v>
      </c>
      <c r="BB288">
        <v>517</v>
      </c>
      <c r="BC288">
        <v>524</v>
      </c>
      <c r="BD288" t="s">
        <v>74</v>
      </c>
      <c r="BE288" t="s">
        <v>5835</v>
      </c>
      <c r="BF288" t="str">
        <f>HYPERLINK("http://dx.doi.org/10.1016/j.jclepro.2014.05.017","http://dx.doi.org/10.1016/j.jclepro.2014.05.017")</f>
        <v>http://dx.doi.org/10.1016/j.jclepro.2014.05.017</v>
      </c>
      <c r="BG288" t="s">
        <v>74</v>
      </c>
      <c r="BH288" t="s">
        <v>74</v>
      </c>
      <c r="BI288">
        <v>8</v>
      </c>
      <c r="BJ288" t="s">
        <v>5836</v>
      </c>
      <c r="BK288" t="s">
        <v>101</v>
      </c>
      <c r="BL288" t="s">
        <v>5837</v>
      </c>
      <c r="BM288" t="s">
        <v>5838</v>
      </c>
      <c r="BN288" t="s">
        <v>74</v>
      </c>
      <c r="BO288" t="s">
        <v>74</v>
      </c>
      <c r="BP288" t="s">
        <v>74</v>
      </c>
      <c r="BQ288" t="s">
        <v>74</v>
      </c>
      <c r="BR288" t="s">
        <v>103</v>
      </c>
      <c r="BS288" t="s">
        <v>5839</v>
      </c>
      <c r="BT288" t="str">
        <f>HYPERLINK("https%3A%2F%2Fwww.webofscience.com%2Fwos%2Fwoscc%2Ffull-record%2FWOS:000356990800050","View Full Record in Web of Science")</f>
        <v>View Full Record in Web of Science</v>
      </c>
    </row>
    <row r="289" spans="1:72" x14ac:dyDescent="0.15">
      <c r="A289" t="s">
        <v>72</v>
      </c>
      <c r="B289" t="s">
        <v>5840</v>
      </c>
      <c r="C289" t="s">
        <v>74</v>
      </c>
      <c r="D289" t="s">
        <v>74</v>
      </c>
      <c r="E289" t="s">
        <v>74</v>
      </c>
      <c r="F289" t="s">
        <v>5841</v>
      </c>
      <c r="G289" t="s">
        <v>74</v>
      </c>
      <c r="H289" t="s">
        <v>74</v>
      </c>
      <c r="I289" t="s">
        <v>5842</v>
      </c>
      <c r="J289" t="s">
        <v>5843</v>
      </c>
      <c r="K289" t="s">
        <v>74</v>
      </c>
      <c r="L289" t="s">
        <v>74</v>
      </c>
      <c r="M289" t="s">
        <v>78</v>
      </c>
      <c r="N289" t="s">
        <v>79</v>
      </c>
      <c r="O289" t="s">
        <v>74</v>
      </c>
      <c r="P289" t="s">
        <v>74</v>
      </c>
      <c r="Q289" t="s">
        <v>74</v>
      </c>
      <c r="R289" t="s">
        <v>74</v>
      </c>
      <c r="S289" t="s">
        <v>74</v>
      </c>
      <c r="T289" t="s">
        <v>5844</v>
      </c>
      <c r="U289" t="s">
        <v>5845</v>
      </c>
      <c r="V289" t="s">
        <v>5846</v>
      </c>
      <c r="W289" t="s">
        <v>5847</v>
      </c>
      <c r="X289" t="s">
        <v>5848</v>
      </c>
      <c r="Y289" t="s">
        <v>5849</v>
      </c>
      <c r="Z289" t="s">
        <v>5850</v>
      </c>
      <c r="AA289" t="s">
        <v>5851</v>
      </c>
      <c r="AB289" t="s">
        <v>5852</v>
      </c>
      <c r="AC289" t="s">
        <v>5853</v>
      </c>
      <c r="AD289" t="s">
        <v>5854</v>
      </c>
      <c r="AE289" t="s">
        <v>5855</v>
      </c>
      <c r="AF289" t="s">
        <v>74</v>
      </c>
      <c r="AG289">
        <v>74</v>
      </c>
      <c r="AH289">
        <v>42</v>
      </c>
      <c r="AI289">
        <v>43</v>
      </c>
      <c r="AJ289">
        <v>1</v>
      </c>
      <c r="AK289">
        <v>41</v>
      </c>
      <c r="AL289" t="s">
        <v>883</v>
      </c>
      <c r="AM289" t="s">
        <v>884</v>
      </c>
      <c r="AN289" t="s">
        <v>885</v>
      </c>
      <c r="AO289" t="s">
        <v>5856</v>
      </c>
      <c r="AP289" t="s">
        <v>5857</v>
      </c>
      <c r="AQ289" t="s">
        <v>74</v>
      </c>
      <c r="AR289" t="s">
        <v>5858</v>
      </c>
      <c r="AS289" t="s">
        <v>5859</v>
      </c>
      <c r="AT289" t="s">
        <v>5860</v>
      </c>
      <c r="AU289">
        <v>2015</v>
      </c>
      <c r="AV289">
        <v>411</v>
      </c>
      <c r="AW289" t="s">
        <v>74</v>
      </c>
      <c r="AX289" t="s">
        <v>74</v>
      </c>
      <c r="AY289" t="s">
        <v>74</v>
      </c>
      <c r="AZ289" t="s">
        <v>74</v>
      </c>
      <c r="BA289" t="s">
        <v>74</v>
      </c>
      <c r="BB289">
        <v>26</v>
      </c>
      <c r="BC289">
        <v>35</v>
      </c>
      <c r="BD289" t="s">
        <v>74</v>
      </c>
      <c r="BE289" t="s">
        <v>5861</v>
      </c>
      <c r="BF289" t="str">
        <f>HYPERLINK("http://dx.doi.org/10.1016/j.chemgeo.2015.06.015","http://dx.doi.org/10.1016/j.chemgeo.2015.06.015")</f>
        <v>http://dx.doi.org/10.1016/j.chemgeo.2015.06.015</v>
      </c>
      <c r="BG289" t="s">
        <v>74</v>
      </c>
      <c r="BH289" t="s">
        <v>74</v>
      </c>
      <c r="BI289">
        <v>10</v>
      </c>
      <c r="BJ289" t="s">
        <v>1707</v>
      </c>
      <c r="BK289" t="s">
        <v>101</v>
      </c>
      <c r="BL289" t="s">
        <v>1707</v>
      </c>
      <c r="BM289" t="s">
        <v>5862</v>
      </c>
      <c r="BN289" t="s">
        <v>74</v>
      </c>
      <c r="BO289" t="s">
        <v>290</v>
      </c>
      <c r="BP289" t="s">
        <v>74</v>
      </c>
      <c r="BQ289" t="s">
        <v>74</v>
      </c>
      <c r="BR289" t="s">
        <v>103</v>
      </c>
      <c r="BS289" t="s">
        <v>5863</v>
      </c>
      <c r="BT289" t="str">
        <f>HYPERLINK("https%3A%2F%2Fwww.webofscience.com%2Fwos%2Fwoscc%2Ffull-record%2FWOS:000360018300004","View Full Record in Web of Science")</f>
        <v>View Full Record in Web of Science</v>
      </c>
    </row>
    <row r="290" spans="1:72" x14ac:dyDescent="0.15">
      <c r="A290" t="s">
        <v>72</v>
      </c>
      <c r="B290" t="s">
        <v>5864</v>
      </c>
      <c r="C290" t="s">
        <v>74</v>
      </c>
      <c r="D290" t="s">
        <v>74</v>
      </c>
      <c r="E290" t="s">
        <v>74</v>
      </c>
      <c r="F290" t="s">
        <v>5865</v>
      </c>
      <c r="G290" t="s">
        <v>74</v>
      </c>
      <c r="H290" t="s">
        <v>74</v>
      </c>
      <c r="I290" t="s">
        <v>5866</v>
      </c>
      <c r="J290" t="s">
        <v>5843</v>
      </c>
      <c r="K290" t="s">
        <v>74</v>
      </c>
      <c r="L290" t="s">
        <v>74</v>
      </c>
      <c r="M290" t="s">
        <v>78</v>
      </c>
      <c r="N290" t="s">
        <v>79</v>
      </c>
      <c r="O290" t="s">
        <v>74</v>
      </c>
      <c r="P290" t="s">
        <v>74</v>
      </c>
      <c r="Q290" t="s">
        <v>74</v>
      </c>
      <c r="R290" t="s">
        <v>74</v>
      </c>
      <c r="S290" t="s">
        <v>74</v>
      </c>
      <c r="T290" t="s">
        <v>5867</v>
      </c>
      <c r="U290" t="s">
        <v>5868</v>
      </c>
      <c r="V290" t="s">
        <v>5869</v>
      </c>
      <c r="W290" t="s">
        <v>5870</v>
      </c>
      <c r="X290" t="s">
        <v>5871</v>
      </c>
      <c r="Y290" t="s">
        <v>5872</v>
      </c>
      <c r="Z290" t="s">
        <v>5873</v>
      </c>
      <c r="AA290" t="s">
        <v>5874</v>
      </c>
      <c r="AB290" t="s">
        <v>5875</v>
      </c>
      <c r="AC290" t="s">
        <v>5876</v>
      </c>
      <c r="AD290" t="s">
        <v>5877</v>
      </c>
      <c r="AE290" t="s">
        <v>5878</v>
      </c>
      <c r="AF290" t="s">
        <v>74</v>
      </c>
      <c r="AG290">
        <v>73</v>
      </c>
      <c r="AH290">
        <v>24</v>
      </c>
      <c r="AI290">
        <v>26</v>
      </c>
      <c r="AJ290">
        <v>0</v>
      </c>
      <c r="AK290">
        <v>31</v>
      </c>
      <c r="AL290" t="s">
        <v>883</v>
      </c>
      <c r="AM290" t="s">
        <v>884</v>
      </c>
      <c r="AN290" t="s">
        <v>885</v>
      </c>
      <c r="AO290" t="s">
        <v>5856</v>
      </c>
      <c r="AP290" t="s">
        <v>5857</v>
      </c>
      <c r="AQ290" t="s">
        <v>74</v>
      </c>
      <c r="AR290" t="s">
        <v>5858</v>
      </c>
      <c r="AS290" t="s">
        <v>5859</v>
      </c>
      <c r="AT290" t="s">
        <v>5860</v>
      </c>
      <c r="AU290">
        <v>2015</v>
      </c>
      <c r="AV290">
        <v>411</v>
      </c>
      <c r="AW290" t="s">
        <v>74</v>
      </c>
      <c r="AX290" t="s">
        <v>74</v>
      </c>
      <c r="AY290" t="s">
        <v>74</v>
      </c>
      <c r="AZ290" t="s">
        <v>74</v>
      </c>
      <c r="BA290" t="s">
        <v>74</v>
      </c>
      <c r="BB290">
        <v>81</v>
      </c>
      <c r="BC290">
        <v>96</v>
      </c>
      <c r="BD290" t="s">
        <v>74</v>
      </c>
      <c r="BE290" t="s">
        <v>5879</v>
      </c>
      <c r="BF290" t="str">
        <f>HYPERLINK("http://dx.doi.org/10.1016/j.chemgeo.2015.06.021","http://dx.doi.org/10.1016/j.chemgeo.2015.06.021")</f>
        <v>http://dx.doi.org/10.1016/j.chemgeo.2015.06.021</v>
      </c>
      <c r="BG290" t="s">
        <v>74</v>
      </c>
      <c r="BH290" t="s">
        <v>74</v>
      </c>
      <c r="BI290">
        <v>16</v>
      </c>
      <c r="BJ290" t="s">
        <v>1707</v>
      </c>
      <c r="BK290" t="s">
        <v>101</v>
      </c>
      <c r="BL290" t="s">
        <v>1707</v>
      </c>
      <c r="BM290" t="s">
        <v>5862</v>
      </c>
      <c r="BN290" t="s">
        <v>74</v>
      </c>
      <c r="BO290" t="s">
        <v>74</v>
      </c>
      <c r="BP290" t="s">
        <v>74</v>
      </c>
      <c r="BQ290" t="s">
        <v>74</v>
      </c>
      <c r="BR290" t="s">
        <v>103</v>
      </c>
      <c r="BS290" t="s">
        <v>5880</v>
      </c>
      <c r="BT290" t="str">
        <f>HYPERLINK("https%3A%2F%2Fwww.webofscience.com%2Fwos%2Fwoscc%2Ffull-record%2FWOS:000360018300009","View Full Record in Web of Science")</f>
        <v>View Full Record in Web of Science</v>
      </c>
    </row>
    <row r="291" spans="1:72" x14ac:dyDescent="0.15">
      <c r="A291" t="s">
        <v>72</v>
      </c>
      <c r="B291" t="s">
        <v>5881</v>
      </c>
      <c r="C291" t="s">
        <v>74</v>
      </c>
      <c r="D291" t="s">
        <v>74</v>
      </c>
      <c r="E291" t="s">
        <v>74</v>
      </c>
      <c r="F291" t="s">
        <v>5882</v>
      </c>
      <c r="G291" t="s">
        <v>74</v>
      </c>
      <c r="H291" t="s">
        <v>74</v>
      </c>
      <c r="I291" t="s">
        <v>5883</v>
      </c>
      <c r="J291" t="s">
        <v>5884</v>
      </c>
      <c r="K291" t="s">
        <v>74</v>
      </c>
      <c r="L291" t="s">
        <v>74</v>
      </c>
      <c r="M291" t="s">
        <v>78</v>
      </c>
      <c r="N291" t="s">
        <v>79</v>
      </c>
      <c r="O291" t="s">
        <v>74</v>
      </c>
      <c r="P291" t="s">
        <v>74</v>
      </c>
      <c r="Q291" t="s">
        <v>74</v>
      </c>
      <c r="R291" t="s">
        <v>74</v>
      </c>
      <c r="S291" t="s">
        <v>74</v>
      </c>
      <c r="T291" t="s">
        <v>5885</v>
      </c>
      <c r="U291" t="s">
        <v>5886</v>
      </c>
      <c r="V291" t="s">
        <v>5887</v>
      </c>
      <c r="W291" t="s">
        <v>5888</v>
      </c>
      <c r="X291" t="s">
        <v>5889</v>
      </c>
      <c r="Y291" t="s">
        <v>5890</v>
      </c>
      <c r="Z291" t="s">
        <v>5891</v>
      </c>
      <c r="AA291" t="s">
        <v>5892</v>
      </c>
      <c r="AB291" t="s">
        <v>5893</v>
      </c>
      <c r="AC291" t="s">
        <v>5894</v>
      </c>
      <c r="AD291" t="s">
        <v>5895</v>
      </c>
      <c r="AE291" t="s">
        <v>5896</v>
      </c>
      <c r="AF291" t="s">
        <v>74</v>
      </c>
      <c r="AG291">
        <v>32</v>
      </c>
      <c r="AH291">
        <v>7</v>
      </c>
      <c r="AI291">
        <v>10</v>
      </c>
      <c r="AJ291">
        <v>0</v>
      </c>
      <c r="AK291">
        <v>7</v>
      </c>
      <c r="AL291" t="s">
        <v>3231</v>
      </c>
      <c r="AM291" t="s">
        <v>3232</v>
      </c>
      <c r="AN291" t="s">
        <v>3233</v>
      </c>
      <c r="AO291" t="s">
        <v>5897</v>
      </c>
      <c r="AP291" t="s">
        <v>5898</v>
      </c>
      <c r="AQ291" t="s">
        <v>74</v>
      </c>
      <c r="AR291" t="s">
        <v>5899</v>
      </c>
      <c r="AS291" t="s">
        <v>5900</v>
      </c>
      <c r="AT291" t="s">
        <v>5901</v>
      </c>
      <c r="AU291">
        <v>2015</v>
      </c>
      <c r="AV291">
        <v>465</v>
      </c>
      <c r="AW291">
        <v>1</v>
      </c>
      <c r="AX291" t="s">
        <v>74</v>
      </c>
      <c r="AY291" t="s">
        <v>74</v>
      </c>
      <c r="AZ291" t="s">
        <v>74</v>
      </c>
      <c r="BA291" t="s">
        <v>74</v>
      </c>
      <c r="BB291">
        <v>12</v>
      </c>
      <c r="BC291">
        <v>18</v>
      </c>
      <c r="BD291" t="s">
        <v>74</v>
      </c>
      <c r="BE291" t="s">
        <v>5902</v>
      </c>
      <c r="BF291" t="str">
        <f>HYPERLINK("http://dx.doi.org/10.1016/j.bbrc.2015.07.087","http://dx.doi.org/10.1016/j.bbrc.2015.07.087")</f>
        <v>http://dx.doi.org/10.1016/j.bbrc.2015.07.087</v>
      </c>
      <c r="BG291" t="s">
        <v>74</v>
      </c>
      <c r="BH291" t="s">
        <v>74</v>
      </c>
      <c r="BI291">
        <v>7</v>
      </c>
      <c r="BJ291" t="s">
        <v>5903</v>
      </c>
      <c r="BK291" t="s">
        <v>101</v>
      </c>
      <c r="BL291" t="s">
        <v>5903</v>
      </c>
      <c r="BM291" t="s">
        <v>5904</v>
      </c>
      <c r="BN291">
        <v>26206084</v>
      </c>
      <c r="BO291" t="s">
        <v>74</v>
      </c>
      <c r="BP291" t="s">
        <v>74</v>
      </c>
      <c r="BQ291" t="s">
        <v>74</v>
      </c>
      <c r="BR291" t="s">
        <v>103</v>
      </c>
      <c r="BS291" t="s">
        <v>5905</v>
      </c>
      <c r="BT291" t="str">
        <f>HYPERLINK("https%3A%2F%2Fwww.webofscience.com%2Fwos%2Fwoscc%2Ffull-record%2FWOS:000361417300004","View Full Record in Web of Science")</f>
        <v>View Full Record in Web of Science</v>
      </c>
    </row>
    <row r="292" spans="1:72" x14ac:dyDescent="0.15">
      <c r="A292" t="s">
        <v>72</v>
      </c>
      <c r="B292" t="s">
        <v>5906</v>
      </c>
      <c r="C292" t="s">
        <v>74</v>
      </c>
      <c r="D292" t="s">
        <v>74</v>
      </c>
      <c r="E292" t="s">
        <v>74</v>
      </c>
      <c r="F292" t="s">
        <v>5907</v>
      </c>
      <c r="G292" t="s">
        <v>74</v>
      </c>
      <c r="H292" t="s">
        <v>74</v>
      </c>
      <c r="I292" t="s">
        <v>5908</v>
      </c>
      <c r="J292" t="s">
        <v>5909</v>
      </c>
      <c r="K292" t="s">
        <v>74</v>
      </c>
      <c r="L292" t="s">
        <v>74</v>
      </c>
      <c r="M292" t="s">
        <v>78</v>
      </c>
      <c r="N292" t="s">
        <v>581</v>
      </c>
      <c r="O292" t="s">
        <v>74</v>
      </c>
      <c r="P292" t="s">
        <v>74</v>
      </c>
      <c r="Q292" t="s">
        <v>74</v>
      </c>
      <c r="R292" t="s">
        <v>74</v>
      </c>
      <c r="S292" t="s">
        <v>74</v>
      </c>
      <c r="T292" t="s">
        <v>5910</v>
      </c>
      <c r="U292" t="s">
        <v>5911</v>
      </c>
      <c r="V292" t="s">
        <v>5912</v>
      </c>
      <c r="W292" t="s">
        <v>5913</v>
      </c>
      <c r="X292" t="s">
        <v>5914</v>
      </c>
      <c r="Y292" t="s">
        <v>5915</v>
      </c>
      <c r="Z292" t="s">
        <v>5916</v>
      </c>
      <c r="AA292" t="s">
        <v>5917</v>
      </c>
      <c r="AB292" t="s">
        <v>5918</v>
      </c>
      <c r="AC292" t="s">
        <v>5919</v>
      </c>
      <c r="AD292" t="s">
        <v>859</v>
      </c>
      <c r="AE292" t="s">
        <v>74</v>
      </c>
      <c r="AF292" t="s">
        <v>74</v>
      </c>
      <c r="AG292">
        <v>130</v>
      </c>
      <c r="AH292">
        <v>52</v>
      </c>
      <c r="AI292">
        <v>52</v>
      </c>
      <c r="AJ292">
        <v>3</v>
      </c>
      <c r="AK292">
        <v>88</v>
      </c>
      <c r="AL292" t="s">
        <v>1253</v>
      </c>
      <c r="AM292" t="s">
        <v>1254</v>
      </c>
      <c r="AN292" t="s">
        <v>1255</v>
      </c>
      <c r="AO292" t="s">
        <v>5920</v>
      </c>
      <c r="AP292" t="s">
        <v>74</v>
      </c>
      <c r="AQ292" t="s">
        <v>74</v>
      </c>
      <c r="AR292" t="s">
        <v>5921</v>
      </c>
      <c r="AS292" t="s">
        <v>5922</v>
      </c>
      <c r="AT292" t="s">
        <v>5901</v>
      </c>
      <c r="AU292">
        <v>2015</v>
      </c>
      <c r="AV292">
        <v>6</v>
      </c>
      <c r="AW292" t="s">
        <v>74</v>
      </c>
      <c r="AX292" t="s">
        <v>74</v>
      </c>
      <c r="AY292" t="s">
        <v>74</v>
      </c>
      <c r="AZ292" t="s">
        <v>74</v>
      </c>
      <c r="BA292" t="s">
        <v>74</v>
      </c>
      <c r="BB292" t="s">
        <v>74</v>
      </c>
      <c r="BC292" t="s">
        <v>74</v>
      </c>
      <c r="BD292">
        <v>692</v>
      </c>
      <c r="BE292" t="s">
        <v>5923</v>
      </c>
      <c r="BF292" t="str">
        <f>HYPERLINK("http://dx.doi.org/10.3389/fpls.2015.00692","http://dx.doi.org/10.3389/fpls.2015.00692")</f>
        <v>http://dx.doi.org/10.3389/fpls.2015.00692</v>
      </c>
      <c r="BG292" t="s">
        <v>74</v>
      </c>
      <c r="BH292" t="s">
        <v>74</v>
      </c>
      <c r="BI292">
        <v>12</v>
      </c>
      <c r="BJ292" t="s">
        <v>429</v>
      </c>
      <c r="BK292" t="s">
        <v>101</v>
      </c>
      <c r="BL292" t="s">
        <v>429</v>
      </c>
      <c r="BM292" t="s">
        <v>5924</v>
      </c>
      <c r="BN292">
        <v>26442009</v>
      </c>
      <c r="BO292" t="s">
        <v>2600</v>
      </c>
      <c r="BP292" t="s">
        <v>74</v>
      </c>
      <c r="BQ292" t="s">
        <v>74</v>
      </c>
      <c r="BR292" t="s">
        <v>103</v>
      </c>
      <c r="BS292" t="s">
        <v>5925</v>
      </c>
      <c r="BT292" t="str">
        <f>HYPERLINK("https%3A%2F%2Fwww.webofscience.com%2Fwos%2Fwoscc%2Ffull-record%2FWOS:000361032100001","View Full Record in Web of Science")</f>
        <v>View Full Record in Web of Science</v>
      </c>
    </row>
    <row r="293" spans="1:72" x14ac:dyDescent="0.15">
      <c r="A293" t="s">
        <v>72</v>
      </c>
      <c r="B293" t="s">
        <v>5926</v>
      </c>
      <c r="C293" t="s">
        <v>74</v>
      </c>
      <c r="D293" t="s">
        <v>74</v>
      </c>
      <c r="E293" t="s">
        <v>74</v>
      </c>
      <c r="F293" t="s">
        <v>5927</v>
      </c>
      <c r="G293" t="s">
        <v>74</v>
      </c>
      <c r="H293" t="s">
        <v>74</v>
      </c>
      <c r="I293" t="s">
        <v>5928</v>
      </c>
      <c r="J293" t="s">
        <v>996</v>
      </c>
      <c r="K293" t="s">
        <v>74</v>
      </c>
      <c r="L293" t="s">
        <v>74</v>
      </c>
      <c r="M293" t="s">
        <v>78</v>
      </c>
      <c r="N293" t="s">
        <v>79</v>
      </c>
      <c r="O293" t="s">
        <v>74</v>
      </c>
      <c r="P293" t="s">
        <v>74</v>
      </c>
      <c r="Q293" t="s">
        <v>74</v>
      </c>
      <c r="R293" t="s">
        <v>74</v>
      </c>
      <c r="S293" t="s">
        <v>74</v>
      </c>
      <c r="T293" t="s">
        <v>74</v>
      </c>
      <c r="U293" t="s">
        <v>5929</v>
      </c>
      <c r="V293" t="s">
        <v>5930</v>
      </c>
      <c r="W293" t="s">
        <v>5931</v>
      </c>
      <c r="X293" t="s">
        <v>5932</v>
      </c>
      <c r="Y293" t="s">
        <v>5933</v>
      </c>
      <c r="Z293" t="s">
        <v>5934</v>
      </c>
      <c r="AA293" t="s">
        <v>5935</v>
      </c>
      <c r="AB293" t="s">
        <v>5936</v>
      </c>
      <c r="AC293" t="s">
        <v>5937</v>
      </c>
      <c r="AD293" t="s">
        <v>5938</v>
      </c>
      <c r="AE293" t="s">
        <v>5939</v>
      </c>
      <c r="AF293" t="s">
        <v>74</v>
      </c>
      <c r="AG293">
        <v>29</v>
      </c>
      <c r="AH293">
        <v>307</v>
      </c>
      <c r="AI293">
        <v>329</v>
      </c>
      <c r="AJ293">
        <v>14</v>
      </c>
      <c r="AK293">
        <v>225</v>
      </c>
      <c r="AL293" t="s">
        <v>776</v>
      </c>
      <c r="AM293" t="s">
        <v>307</v>
      </c>
      <c r="AN293" t="s">
        <v>777</v>
      </c>
      <c r="AO293" t="s">
        <v>998</v>
      </c>
      <c r="AP293" t="s">
        <v>999</v>
      </c>
      <c r="AQ293" t="s">
        <v>74</v>
      </c>
      <c r="AR293" t="s">
        <v>996</v>
      </c>
      <c r="AS293" t="s">
        <v>1000</v>
      </c>
      <c r="AT293" t="s">
        <v>5901</v>
      </c>
      <c r="AU293">
        <v>2015</v>
      </c>
      <c r="AV293">
        <v>349</v>
      </c>
      <c r="AW293">
        <v>6253</v>
      </c>
      <c r="AX293" t="s">
        <v>74</v>
      </c>
      <c r="AY293" t="s">
        <v>74</v>
      </c>
      <c r="AZ293" t="s">
        <v>74</v>
      </c>
      <c r="BA293" t="s">
        <v>74</v>
      </c>
      <c r="BB293">
        <v>1221</v>
      </c>
      <c r="BC293">
        <v>1224</v>
      </c>
      <c r="BD293" t="s">
        <v>74</v>
      </c>
      <c r="BE293" t="s">
        <v>5940</v>
      </c>
      <c r="BF293" t="str">
        <f>HYPERLINK("http://dx.doi.org/10.1126/science.aab2620","http://dx.doi.org/10.1126/science.aab2620")</f>
        <v>http://dx.doi.org/10.1126/science.aab2620</v>
      </c>
      <c r="BG293" t="s">
        <v>74</v>
      </c>
      <c r="BH293" t="s">
        <v>74</v>
      </c>
      <c r="BI293">
        <v>4</v>
      </c>
      <c r="BJ293" t="s">
        <v>530</v>
      </c>
      <c r="BK293" t="s">
        <v>101</v>
      </c>
      <c r="BL293" t="s">
        <v>531</v>
      </c>
      <c r="BM293" t="s">
        <v>5941</v>
      </c>
      <c r="BN293">
        <v>26359401</v>
      </c>
      <c r="BO293" t="s">
        <v>5942</v>
      </c>
      <c r="BP293" t="s">
        <v>1736</v>
      </c>
      <c r="BQ293" t="s">
        <v>1737</v>
      </c>
      <c r="BR293" t="s">
        <v>103</v>
      </c>
      <c r="BS293" t="s">
        <v>5943</v>
      </c>
      <c r="BT293" t="str">
        <f>HYPERLINK("https%3A%2F%2Fwww.webofscience.com%2Fwos%2Fwoscc%2Ffull-record%2FWOS:000360968400042","View Full Record in Web of Science")</f>
        <v>View Full Record in Web of Science</v>
      </c>
    </row>
    <row r="294" spans="1:72" x14ac:dyDescent="0.15">
      <c r="A294" t="s">
        <v>72</v>
      </c>
      <c r="B294" t="s">
        <v>5944</v>
      </c>
      <c r="C294" t="s">
        <v>74</v>
      </c>
      <c r="D294" t="s">
        <v>74</v>
      </c>
      <c r="E294" t="s">
        <v>74</v>
      </c>
      <c r="F294" t="s">
        <v>5945</v>
      </c>
      <c r="G294" t="s">
        <v>74</v>
      </c>
      <c r="H294" t="s">
        <v>74</v>
      </c>
      <c r="I294" t="s">
        <v>5946</v>
      </c>
      <c r="J294" t="s">
        <v>5947</v>
      </c>
      <c r="K294" t="s">
        <v>74</v>
      </c>
      <c r="L294" t="s">
        <v>74</v>
      </c>
      <c r="M294" t="s">
        <v>78</v>
      </c>
      <c r="N294" t="s">
        <v>79</v>
      </c>
      <c r="O294" t="s">
        <v>74</v>
      </c>
      <c r="P294" t="s">
        <v>74</v>
      </c>
      <c r="Q294" t="s">
        <v>74</v>
      </c>
      <c r="R294" t="s">
        <v>74</v>
      </c>
      <c r="S294" t="s">
        <v>74</v>
      </c>
      <c r="T294" t="s">
        <v>5948</v>
      </c>
      <c r="U294" t="s">
        <v>5949</v>
      </c>
      <c r="V294" t="s">
        <v>5950</v>
      </c>
      <c r="W294" t="s">
        <v>5951</v>
      </c>
      <c r="X294" t="s">
        <v>5952</v>
      </c>
      <c r="Y294" t="s">
        <v>5953</v>
      </c>
      <c r="Z294" t="s">
        <v>5954</v>
      </c>
      <c r="AA294" t="s">
        <v>5955</v>
      </c>
      <c r="AB294" t="s">
        <v>5956</v>
      </c>
      <c r="AC294" t="s">
        <v>74</v>
      </c>
      <c r="AD294" t="s">
        <v>74</v>
      </c>
      <c r="AE294" t="s">
        <v>74</v>
      </c>
      <c r="AF294" t="s">
        <v>74</v>
      </c>
      <c r="AG294">
        <v>31</v>
      </c>
      <c r="AH294">
        <v>4</v>
      </c>
      <c r="AI294">
        <v>5</v>
      </c>
      <c r="AJ294">
        <v>0</v>
      </c>
      <c r="AK294">
        <v>6</v>
      </c>
      <c r="AL294" t="s">
        <v>2056</v>
      </c>
      <c r="AM294" t="s">
        <v>2057</v>
      </c>
      <c r="AN294" t="s">
        <v>2058</v>
      </c>
      <c r="AO294" t="s">
        <v>5957</v>
      </c>
      <c r="AP294" t="s">
        <v>5958</v>
      </c>
      <c r="AQ294" t="s">
        <v>74</v>
      </c>
      <c r="AR294" t="s">
        <v>5959</v>
      </c>
      <c r="AS294" t="s">
        <v>5960</v>
      </c>
      <c r="AT294" t="s">
        <v>5961</v>
      </c>
      <c r="AU294">
        <v>2015</v>
      </c>
      <c r="AV294">
        <v>38</v>
      </c>
      <c r="AW294" t="s">
        <v>74</v>
      </c>
      <c r="AX294" t="s">
        <v>74</v>
      </c>
      <c r="AY294">
        <v>1</v>
      </c>
      <c r="AZ294" t="s">
        <v>931</v>
      </c>
      <c r="BA294" t="s">
        <v>74</v>
      </c>
      <c r="BB294">
        <v>497</v>
      </c>
      <c r="BC294">
        <v>509</v>
      </c>
      <c r="BD294" t="s">
        <v>74</v>
      </c>
      <c r="BE294" t="s">
        <v>5962</v>
      </c>
      <c r="BF294" t="str">
        <f>HYPERLINK("http://dx.doi.org/10.1080/01490419.2014.1001047","http://dx.doi.org/10.1080/01490419.2014.1001047")</f>
        <v>http://dx.doi.org/10.1080/01490419.2014.1001047</v>
      </c>
      <c r="BG294" t="s">
        <v>74</v>
      </c>
      <c r="BH294" t="s">
        <v>74</v>
      </c>
      <c r="BI294">
        <v>13</v>
      </c>
      <c r="BJ294" t="s">
        <v>5963</v>
      </c>
      <c r="BK294" t="s">
        <v>101</v>
      </c>
      <c r="BL294" t="s">
        <v>5963</v>
      </c>
      <c r="BM294" t="s">
        <v>5964</v>
      </c>
      <c r="BN294" t="s">
        <v>74</v>
      </c>
      <c r="BO294" t="s">
        <v>74</v>
      </c>
      <c r="BP294" t="s">
        <v>74</v>
      </c>
      <c r="BQ294" t="s">
        <v>74</v>
      </c>
      <c r="BR294" t="s">
        <v>103</v>
      </c>
      <c r="BS294" t="s">
        <v>5965</v>
      </c>
      <c r="BT294" t="str">
        <f>HYPERLINK("https%3A%2F%2Fwww.webofscience.com%2Fwos%2Fwoscc%2Ffull-record%2FWOS:000362123500035","View Full Record in Web of Science")</f>
        <v>View Full Record in Web of Science</v>
      </c>
    </row>
    <row r="295" spans="1:72" x14ac:dyDescent="0.15">
      <c r="A295" t="s">
        <v>72</v>
      </c>
      <c r="B295" t="s">
        <v>5966</v>
      </c>
      <c r="C295" t="s">
        <v>74</v>
      </c>
      <c r="D295" t="s">
        <v>74</v>
      </c>
      <c r="E295" t="s">
        <v>74</v>
      </c>
      <c r="F295" t="s">
        <v>5967</v>
      </c>
      <c r="G295" t="s">
        <v>74</v>
      </c>
      <c r="H295" t="s">
        <v>74</v>
      </c>
      <c r="I295" t="s">
        <v>5968</v>
      </c>
      <c r="J295" t="s">
        <v>5947</v>
      </c>
      <c r="K295" t="s">
        <v>74</v>
      </c>
      <c r="L295" t="s">
        <v>74</v>
      </c>
      <c r="M295" t="s">
        <v>78</v>
      </c>
      <c r="N295" t="s">
        <v>79</v>
      </c>
      <c r="O295" t="s">
        <v>74</v>
      </c>
      <c r="P295" t="s">
        <v>74</v>
      </c>
      <c r="Q295" t="s">
        <v>74</v>
      </c>
      <c r="R295" t="s">
        <v>74</v>
      </c>
      <c r="S295" t="s">
        <v>74</v>
      </c>
      <c r="T295" t="s">
        <v>5969</v>
      </c>
      <c r="U295" t="s">
        <v>5970</v>
      </c>
      <c r="V295" t="s">
        <v>5971</v>
      </c>
      <c r="W295" t="s">
        <v>5972</v>
      </c>
      <c r="X295" t="s">
        <v>5973</v>
      </c>
      <c r="Y295" t="s">
        <v>5974</v>
      </c>
      <c r="Z295" t="s">
        <v>5975</v>
      </c>
      <c r="AA295" t="s">
        <v>74</v>
      </c>
      <c r="AB295" t="s">
        <v>5976</v>
      </c>
      <c r="AC295" t="s">
        <v>5977</v>
      </c>
      <c r="AD295" t="s">
        <v>5977</v>
      </c>
      <c r="AE295" t="s">
        <v>5978</v>
      </c>
      <c r="AF295" t="s">
        <v>74</v>
      </c>
      <c r="AG295">
        <v>22</v>
      </c>
      <c r="AH295">
        <v>21</v>
      </c>
      <c r="AI295">
        <v>23</v>
      </c>
      <c r="AJ295">
        <v>1</v>
      </c>
      <c r="AK295">
        <v>15</v>
      </c>
      <c r="AL295" t="s">
        <v>2056</v>
      </c>
      <c r="AM295" t="s">
        <v>2057</v>
      </c>
      <c r="AN295" t="s">
        <v>2058</v>
      </c>
      <c r="AO295" t="s">
        <v>5957</v>
      </c>
      <c r="AP295" t="s">
        <v>5958</v>
      </c>
      <c r="AQ295" t="s">
        <v>74</v>
      </c>
      <c r="AR295" t="s">
        <v>5959</v>
      </c>
      <c r="AS295" t="s">
        <v>5960</v>
      </c>
      <c r="AT295" t="s">
        <v>5961</v>
      </c>
      <c r="AU295">
        <v>2015</v>
      </c>
      <c r="AV295">
        <v>38</v>
      </c>
      <c r="AW295" t="s">
        <v>74</v>
      </c>
      <c r="AX295" t="s">
        <v>74</v>
      </c>
      <c r="AY295">
        <v>1</v>
      </c>
      <c r="AZ295" t="s">
        <v>931</v>
      </c>
      <c r="BA295" t="s">
        <v>74</v>
      </c>
      <c r="BB295">
        <v>510</v>
      </c>
      <c r="BC295">
        <v>521</v>
      </c>
      <c r="BD295" t="s">
        <v>74</v>
      </c>
      <c r="BE295" t="s">
        <v>5979</v>
      </c>
      <c r="BF295" t="str">
        <f>HYPERLINK("http://dx.doi.org/10.1080/01490419.2014.985347","http://dx.doi.org/10.1080/01490419.2014.985347")</f>
        <v>http://dx.doi.org/10.1080/01490419.2014.985347</v>
      </c>
      <c r="BG295" t="s">
        <v>74</v>
      </c>
      <c r="BH295" t="s">
        <v>74</v>
      </c>
      <c r="BI295">
        <v>12</v>
      </c>
      <c r="BJ295" t="s">
        <v>5963</v>
      </c>
      <c r="BK295" t="s">
        <v>101</v>
      </c>
      <c r="BL295" t="s">
        <v>5963</v>
      </c>
      <c r="BM295" t="s">
        <v>5964</v>
      </c>
      <c r="BN295" t="s">
        <v>74</v>
      </c>
      <c r="BO295" t="s">
        <v>74</v>
      </c>
      <c r="BP295" t="s">
        <v>74</v>
      </c>
      <c r="BQ295" t="s">
        <v>74</v>
      </c>
      <c r="BR295" t="s">
        <v>103</v>
      </c>
      <c r="BS295" t="s">
        <v>5980</v>
      </c>
      <c r="BT295" t="str">
        <f>HYPERLINK("https%3A%2F%2Fwww.webofscience.com%2Fwos%2Fwoscc%2Ffull-record%2FWOS:000362123500036","View Full Record in Web of Science")</f>
        <v>View Full Record in Web of Science</v>
      </c>
    </row>
    <row r="296" spans="1:72" x14ac:dyDescent="0.15">
      <c r="A296" t="s">
        <v>72</v>
      </c>
      <c r="B296" t="s">
        <v>5981</v>
      </c>
      <c r="C296" t="s">
        <v>74</v>
      </c>
      <c r="D296" t="s">
        <v>74</v>
      </c>
      <c r="E296" t="s">
        <v>74</v>
      </c>
      <c r="F296" t="s">
        <v>5982</v>
      </c>
      <c r="G296" t="s">
        <v>74</v>
      </c>
      <c r="H296" t="s">
        <v>74</v>
      </c>
      <c r="I296" t="s">
        <v>5983</v>
      </c>
      <c r="J296" t="s">
        <v>1336</v>
      </c>
      <c r="K296" t="s">
        <v>74</v>
      </c>
      <c r="L296" t="s">
        <v>74</v>
      </c>
      <c r="M296" t="s">
        <v>78</v>
      </c>
      <c r="N296" t="s">
        <v>5520</v>
      </c>
      <c r="O296" t="s">
        <v>74</v>
      </c>
      <c r="P296" t="s">
        <v>74</v>
      </c>
      <c r="Q296" t="s">
        <v>74</v>
      </c>
      <c r="R296" t="s">
        <v>74</v>
      </c>
      <c r="S296" t="s">
        <v>74</v>
      </c>
      <c r="T296" t="s">
        <v>74</v>
      </c>
      <c r="U296" t="s">
        <v>74</v>
      </c>
      <c r="V296" t="s">
        <v>74</v>
      </c>
      <c r="W296" t="s">
        <v>5984</v>
      </c>
      <c r="X296" t="s">
        <v>2956</v>
      </c>
      <c r="Y296" t="s">
        <v>5985</v>
      </c>
      <c r="Z296" t="s">
        <v>5986</v>
      </c>
      <c r="AA296" t="s">
        <v>5987</v>
      </c>
      <c r="AB296" t="s">
        <v>5988</v>
      </c>
      <c r="AC296" t="s">
        <v>74</v>
      </c>
      <c r="AD296" t="s">
        <v>74</v>
      </c>
      <c r="AE296" t="s">
        <v>74</v>
      </c>
      <c r="AF296" t="s">
        <v>74</v>
      </c>
      <c r="AG296">
        <v>2</v>
      </c>
      <c r="AH296">
        <v>2</v>
      </c>
      <c r="AI296">
        <v>2</v>
      </c>
      <c r="AJ296">
        <v>1</v>
      </c>
      <c r="AK296">
        <v>23</v>
      </c>
      <c r="AL296" t="s">
        <v>179</v>
      </c>
      <c r="AM296" t="s">
        <v>180</v>
      </c>
      <c r="AN296" t="s">
        <v>181</v>
      </c>
      <c r="AO296" t="s">
        <v>1345</v>
      </c>
      <c r="AP296" t="s">
        <v>1346</v>
      </c>
      <c r="AQ296" t="s">
        <v>74</v>
      </c>
      <c r="AR296" t="s">
        <v>1336</v>
      </c>
      <c r="AS296" t="s">
        <v>1347</v>
      </c>
      <c r="AT296" t="s">
        <v>5961</v>
      </c>
      <c r="AU296">
        <v>2015</v>
      </c>
      <c r="AV296">
        <v>525</v>
      </c>
      <c r="AW296">
        <v>7568</v>
      </c>
      <c r="AX296" t="s">
        <v>74</v>
      </c>
      <c r="AY296" t="s">
        <v>74</v>
      </c>
      <c r="AZ296" t="s">
        <v>74</v>
      </c>
      <c r="BA296" t="s">
        <v>74</v>
      </c>
      <c r="BB296">
        <v>187</v>
      </c>
      <c r="BC296">
        <v>187</v>
      </c>
      <c r="BD296" t="s">
        <v>74</v>
      </c>
      <c r="BE296" t="s">
        <v>5989</v>
      </c>
      <c r="BF296" t="str">
        <f>HYPERLINK("http://dx.doi.org/10.1038/525187c","http://dx.doi.org/10.1038/525187c")</f>
        <v>http://dx.doi.org/10.1038/525187c</v>
      </c>
      <c r="BG296" t="s">
        <v>74</v>
      </c>
      <c r="BH296" t="s">
        <v>74</v>
      </c>
      <c r="BI296">
        <v>1</v>
      </c>
      <c r="BJ296" t="s">
        <v>530</v>
      </c>
      <c r="BK296" t="s">
        <v>101</v>
      </c>
      <c r="BL296" t="s">
        <v>531</v>
      </c>
      <c r="BM296" t="s">
        <v>5990</v>
      </c>
      <c r="BN296">
        <v>26354473</v>
      </c>
      <c r="BO296" t="s">
        <v>162</v>
      </c>
      <c r="BP296" t="s">
        <v>74</v>
      </c>
      <c r="BQ296" t="s">
        <v>74</v>
      </c>
      <c r="BR296" t="s">
        <v>103</v>
      </c>
      <c r="BS296" t="s">
        <v>5991</v>
      </c>
      <c r="BT296" t="str">
        <f>HYPERLINK("https%3A%2F%2Fwww.webofscience.com%2Fwos%2Fwoscc%2Ffull-record%2FWOS:000360927400017","View Full Record in Web of Science")</f>
        <v>View Full Record in Web of Science</v>
      </c>
    </row>
    <row r="297" spans="1:72" x14ac:dyDescent="0.15">
      <c r="A297" t="s">
        <v>72</v>
      </c>
      <c r="B297" t="s">
        <v>5992</v>
      </c>
      <c r="C297" t="s">
        <v>74</v>
      </c>
      <c r="D297" t="s">
        <v>74</v>
      </c>
      <c r="E297" t="s">
        <v>74</v>
      </c>
      <c r="F297" t="s">
        <v>5993</v>
      </c>
      <c r="G297" t="s">
        <v>74</v>
      </c>
      <c r="H297" t="s">
        <v>74</v>
      </c>
      <c r="I297" t="s">
        <v>5994</v>
      </c>
      <c r="J297" t="s">
        <v>1078</v>
      </c>
      <c r="K297" t="s">
        <v>74</v>
      </c>
      <c r="L297" t="s">
        <v>74</v>
      </c>
      <c r="M297" t="s">
        <v>78</v>
      </c>
      <c r="N297" t="s">
        <v>79</v>
      </c>
      <c r="O297" t="s">
        <v>74</v>
      </c>
      <c r="P297" t="s">
        <v>74</v>
      </c>
      <c r="Q297" t="s">
        <v>74</v>
      </c>
      <c r="R297" t="s">
        <v>74</v>
      </c>
      <c r="S297" t="s">
        <v>74</v>
      </c>
      <c r="T297" t="s">
        <v>74</v>
      </c>
      <c r="U297" t="s">
        <v>5995</v>
      </c>
      <c r="V297" t="s">
        <v>5996</v>
      </c>
      <c r="W297" t="s">
        <v>5997</v>
      </c>
      <c r="X297" t="s">
        <v>5998</v>
      </c>
      <c r="Y297" t="s">
        <v>5999</v>
      </c>
      <c r="Z297" t="s">
        <v>6000</v>
      </c>
      <c r="AA297" t="s">
        <v>74</v>
      </c>
      <c r="AB297" t="s">
        <v>6001</v>
      </c>
      <c r="AC297" t="s">
        <v>6002</v>
      </c>
      <c r="AD297" t="s">
        <v>6003</v>
      </c>
      <c r="AE297" t="s">
        <v>6004</v>
      </c>
      <c r="AF297" t="s">
        <v>74</v>
      </c>
      <c r="AG297">
        <v>124</v>
      </c>
      <c r="AH297">
        <v>15</v>
      </c>
      <c r="AI297">
        <v>16</v>
      </c>
      <c r="AJ297">
        <v>0</v>
      </c>
      <c r="AK297">
        <v>28</v>
      </c>
      <c r="AL297" t="s">
        <v>1089</v>
      </c>
      <c r="AM297" t="s">
        <v>1090</v>
      </c>
      <c r="AN297" t="s">
        <v>1091</v>
      </c>
      <c r="AO297" t="s">
        <v>1092</v>
      </c>
      <c r="AP297" t="s">
        <v>74</v>
      </c>
      <c r="AQ297" t="s">
        <v>74</v>
      </c>
      <c r="AR297" t="s">
        <v>1078</v>
      </c>
      <c r="AS297" t="s">
        <v>1093</v>
      </c>
      <c r="AT297" t="s">
        <v>5961</v>
      </c>
      <c r="AU297">
        <v>2015</v>
      </c>
      <c r="AV297">
        <v>10</v>
      </c>
      <c r="AW297">
        <v>9</v>
      </c>
      <c r="AX297" t="s">
        <v>74</v>
      </c>
      <c r="AY297" t="s">
        <v>74</v>
      </c>
      <c r="AZ297" t="s">
        <v>74</v>
      </c>
      <c r="BA297" t="s">
        <v>74</v>
      </c>
      <c r="BB297" t="s">
        <v>74</v>
      </c>
      <c r="BC297" t="s">
        <v>74</v>
      </c>
      <c r="BD297" t="s">
        <v>6005</v>
      </c>
      <c r="BE297" t="s">
        <v>6006</v>
      </c>
      <c r="BF297" t="str">
        <f>HYPERLINK("http://dx.doi.org/10.1371/journal.pone.0137527","http://dx.doi.org/10.1371/journal.pone.0137527")</f>
        <v>http://dx.doi.org/10.1371/journal.pone.0137527</v>
      </c>
      <c r="BG297" t="s">
        <v>74</v>
      </c>
      <c r="BH297" t="s">
        <v>74</v>
      </c>
      <c r="BI297">
        <v>23</v>
      </c>
      <c r="BJ297" t="s">
        <v>530</v>
      </c>
      <c r="BK297" t="s">
        <v>101</v>
      </c>
      <c r="BL297" t="s">
        <v>531</v>
      </c>
      <c r="BM297" t="s">
        <v>6007</v>
      </c>
      <c r="BN297">
        <v>26355457</v>
      </c>
      <c r="BO297" t="s">
        <v>1097</v>
      </c>
      <c r="BP297" t="s">
        <v>74</v>
      </c>
      <c r="BQ297" t="s">
        <v>74</v>
      </c>
      <c r="BR297" t="s">
        <v>103</v>
      </c>
      <c r="BS297" t="s">
        <v>6008</v>
      </c>
      <c r="BT297" t="str">
        <f>HYPERLINK("https%3A%2F%2Fwww.webofscience.com%2Fwos%2Fwoscc%2Ffull-record%2FWOS:000360965800056","View Full Record in Web of Science")</f>
        <v>View Full Record in Web of Science</v>
      </c>
    </row>
    <row r="298" spans="1:72" x14ac:dyDescent="0.15">
      <c r="A298" t="s">
        <v>72</v>
      </c>
      <c r="B298" t="s">
        <v>6009</v>
      </c>
      <c r="C298" t="s">
        <v>74</v>
      </c>
      <c r="D298" t="s">
        <v>74</v>
      </c>
      <c r="E298" t="s">
        <v>74</v>
      </c>
      <c r="F298" t="s">
        <v>6010</v>
      </c>
      <c r="G298" t="s">
        <v>74</v>
      </c>
      <c r="H298" t="s">
        <v>74</v>
      </c>
      <c r="I298" t="s">
        <v>6011</v>
      </c>
      <c r="J298" t="s">
        <v>1287</v>
      </c>
      <c r="K298" t="s">
        <v>74</v>
      </c>
      <c r="L298" t="s">
        <v>74</v>
      </c>
      <c r="M298" t="s">
        <v>78</v>
      </c>
      <c r="N298" t="s">
        <v>79</v>
      </c>
      <c r="O298" t="s">
        <v>74</v>
      </c>
      <c r="P298" t="s">
        <v>74</v>
      </c>
      <c r="Q298" t="s">
        <v>74</v>
      </c>
      <c r="R298" t="s">
        <v>74</v>
      </c>
      <c r="S298" t="s">
        <v>74</v>
      </c>
      <c r="T298" t="s">
        <v>74</v>
      </c>
      <c r="U298" t="s">
        <v>6012</v>
      </c>
      <c r="V298" t="s">
        <v>6013</v>
      </c>
      <c r="W298" t="s">
        <v>6014</v>
      </c>
      <c r="X298" t="s">
        <v>6015</v>
      </c>
      <c r="Y298" t="s">
        <v>6016</v>
      </c>
      <c r="Z298" t="s">
        <v>6017</v>
      </c>
      <c r="AA298" t="s">
        <v>6018</v>
      </c>
      <c r="AB298" t="s">
        <v>6019</v>
      </c>
      <c r="AC298" t="s">
        <v>6020</v>
      </c>
      <c r="AD298" t="s">
        <v>6021</v>
      </c>
      <c r="AE298" t="s">
        <v>6022</v>
      </c>
      <c r="AF298" t="s">
        <v>74</v>
      </c>
      <c r="AG298">
        <v>44</v>
      </c>
      <c r="AH298">
        <v>13</v>
      </c>
      <c r="AI298">
        <v>14</v>
      </c>
      <c r="AJ298">
        <v>2</v>
      </c>
      <c r="AK298">
        <v>71</v>
      </c>
      <c r="AL298" t="s">
        <v>523</v>
      </c>
      <c r="AM298" t="s">
        <v>524</v>
      </c>
      <c r="AN298" t="s">
        <v>525</v>
      </c>
      <c r="AO298" t="s">
        <v>1299</v>
      </c>
      <c r="AP298" t="s">
        <v>74</v>
      </c>
      <c r="AQ298" t="s">
        <v>74</v>
      </c>
      <c r="AR298" t="s">
        <v>1300</v>
      </c>
      <c r="AS298" t="s">
        <v>1301</v>
      </c>
      <c r="AT298" t="s">
        <v>5961</v>
      </c>
      <c r="AU298">
        <v>2015</v>
      </c>
      <c r="AV298">
        <v>5</v>
      </c>
      <c r="AW298" t="s">
        <v>74</v>
      </c>
      <c r="AX298" t="s">
        <v>74</v>
      </c>
      <c r="AY298" t="s">
        <v>74</v>
      </c>
      <c r="AZ298" t="s">
        <v>74</v>
      </c>
      <c r="BA298" t="s">
        <v>74</v>
      </c>
      <c r="BB298" t="s">
        <v>74</v>
      </c>
      <c r="BC298" t="s">
        <v>74</v>
      </c>
      <c r="BD298">
        <v>13913</v>
      </c>
      <c r="BE298" t="s">
        <v>6023</v>
      </c>
      <c r="BF298" t="str">
        <f>HYPERLINK("http://dx.doi.org/10.1038/srep13913","http://dx.doi.org/10.1038/srep13913")</f>
        <v>http://dx.doi.org/10.1038/srep13913</v>
      </c>
      <c r="BG298" t="s">
        <v>74</v>
      </c>
      <c r="BH298" t="s">
        <v>74</v>
      </c>
      <c r="BI298">
        <v>7</v>
      </c>
      <c r="BJ298" t="s">
        <v>530</v>
      </c>
      <c r="BK298" t="s">
        <v>101</v>
      </c>
      <c r="BL298" t="s">
        <v>531</v>
      </c>
      <c r="BM298" t="s">
        <v>6024</v>
      </c>
      <c r="BN298">
        <v>26354713</v>
      </c>
      <c r="BO298" t="s">
        <v>533</v>
      </c>
      <c r="BP298" t="s">
        <v>74</v>
      </c>
      <c r="BQ298" t="s">
        <v>74</v>
      </c>
      <c r="BR298" t="s">
        <v>103</v>
      </c>
      <c r="BS298" t="s">
        <v>6025</v>
      </c>
      <c r="BT298" t="str">
        <f>HYPERLINK("https%3A%2F%2Fwww.webofscience.com%2Fwos%2Fwoscc%2Ffull-record%2FWOS:000360978600001","View Full Record in Web of Science")</f>
        <v>View Full Record in Web of Science</v>
      </c>
    </row>
    <row r="299" spans="1:72" x14ac:dyDescent="0.15">
      <c r="A299" t="s">
        <v>72</v>
      </c>
      <c r="B299" t="s">
        <v>6026</v>
      </c>
      <c r="C299" t="s">
        <v>74</v>
      </c>
      <c r="D299" t="s">
        <v>74</v>
      </c>
      <c r="E299" t="s">
        <v>74</v>
      </c>
      <c r="F299" t="s">
        <v>6027</v>
      </c>
      <c r="G299" t="s">
        <v>74</v>
      </c>
      <c r="H299" t="s">
        <v>74</v>
      </c>
      <c r="I299" t="s">
        <v>6028</v>
      </c>
      <c r="J299" t="s">
        <v>1336</v>
      </c>
      <c r="K299" t="s">
        <v>74</v>
      </c>
      <c r="L299" t="s">
        <v>74</v>
      </c>
      <c r="M299" t="s">
        <v>78</v>
      </c>
      <c r="N299" t="s">
        <v>79</v>
      </c>
      <c r="O299" t="s">
        <v>74</v>
      </c>
      <c r="P299" t="s">
        <v>74</v>
      </c>
      <c r="Q299" t="s">
        <v>74</v>
      </c>
      <c r="R299" t="s">
        <v>74</v>
      </c>
      <c r="S299" t="s">
        <v>74</v>
      </c>
      <c r="T299" t="s">
        <v>74</v>
      </c>
      <c r="U299" t="s">
        <v>6029</v>
      </c>
      <c r="V299" t="s">
        <v>6030</v>
      </c>
      <c r="W299" t="s">
        <v>6031</v>
      </c>
      <c r="X299" t="s">
        <v>6032</v>
      </c>
      <c r="Y299" t="s">
        <v>6033</v>
      </c>
      <c r="Z299" t="s">
        <v>6034</v>
      </c>
      <c r="AA299" t="s">
        <v>6035</v>
      </c>
      <c r="AB299" t="s">
        <v>6036</v>
      </c>
      <c r="AC299" t="s">
        <v>6037</v>
      </c>
      <c r="AD299" t="s">
        <v>6038</v>
      </c>
      <c r="AE299" t="s">
        <v>6039</v>
      </c>
      <c r="AF299" t="s">
        <v>74</v>
      </c>
      <c r="AG299">
        <v>72</v>
      </c>
      <c r="AH299">
        <v>399</v>
      </c>
      <c r="AI299">
        <v>451</v>
      </c>
      <c r="AJ299">
        <v>19</v>
      </c>
      <c r="AK299">
        <v>536</v>
      </c>
      <c r="AL299" t="s">
        <v>4641</v>
      </c>
      <c r="AM299" t="s">
        <v>524</v>
      </c>
      <c r="AN299" t="s">
        <v>525</v>
      </c>
      <c r="AO299" t="s">
        <v>1345</v>
      </c>
      <c r="AP299" t="s">
        <v>1346</v>
      </c>
      <c r="AQ299" t="s">
        <v>74</v>
      </c>
      <c r="AR299" t="s">
        <v>1336</v>
      </c>
      <c r="AS299" t="s">
        <v>1347</v>
      </c>
      <c r="AT299" t="s">
        <v>5961</v>
      </c>
      <c r="AU299">
        <v>2015</v>
      </c>
      <c r="AV299">
        <v>525</v>
      </c>
      <c r="AW299">
        <v>7568</v>
      </c>
      <c r="AX299" t="s">
        <v>74</v>
      </c>
      <c r="AY299" t="s">
        <v>74</v>
      </c>
      <c r="AZ299" t="s">
        <v>74</v>
      </c>
      <c r="BA299" t="s">
        <v>74</v>
      </c>
      <c r="BB299">
        <v>234</v>
      </c>
      <c r="BC299" t="s">
        <v>556</v>
      </c>
      <c r="BD299" t="s">
        <v>74</v>
      </c>
      <c r="BE299" t="s">
        <v>6040</v>
      </c>
      <c r="BF299" t="str">
        <f>HYPERLINK("http://dx.doi.org/10.1038/nature14986","http://dx.doi.org/10.1038/nature14986")</f>
        <v>http://dx.doi.org/10.1038/nature14986</v>
      </c>
      <c r="BG299" t="s">
        <v>74</v>
      </c>
      <c r="BH299" t="s">
        <v>74</v>
      </c>
      <c r="BI299">
        <v>18</v>
      </c>
      <c r="BJ299" t="s">
        <v>530</v>
      </c>
      <c r="BK299" t="s">
        <v>101</v>
      </c>
      <c r="BL299" t="s">
        <v>531</v>
      </c>
      <c r="BM299" t="s">
        <v>5990</v>
      </c>
      <c r="BN299">
        <v>26354482</v>
      </c>
      <c r="BO299" t="s">
        <v>4836</v>
      </c>
      <c r="BP299" t="s">
        <v>1736</v>
      </c>
      <c r="BQ299" t="s">
        <v>1737</v>
      </c>
      <c r="BR299" t="s">
        <v>103</v>
      </c>
      <c r="BS299" t="s">
        <v>6041</v>
      </c>
      <c r="BT299" t="str">
        <f>HYPERLINK("https%3A%2F%2Fwww.webofscience.com%2Fwos%2Fwoscc%2Ffull-record%2FWOS:000360927400035","View Full Record in Web of Science")</f>
        <v>View Full Record in Web of Science</v>
      </c>
    </row>
    <row r="300" spans="1:72" x14ac:dyDescent="0.15">
      <c r="A300" t="s">
        <v>72</v>
      </c>
      <c r="B300" t="s">
        <v>6042</v>
      </c>
      <c r="C300" t="s">
        <v>74</v>
      </c>
      <c r="D300" t="s">
        <v>74</v>
      </c>
      <c r="E300" t="s">
        <v>74</v>
      </c>
      <c r="F300" t="s">
        <v>6043</v>
      </c>
      <c r="G300" t="s">
        <v>74</v>
      </c>
      <c r="H300" t="s">
        <v>74</v>
      </c>
      <c r="I300" t="s">
        <v>6044</v>
      </c>
      <c r="J300" t="s">
        <v>1078</v>
      </c>
      <c r="K300" t="s">
        <v>74</v>
      </c>
      <c r="L300" t="s">
        <v>74</v>
      </c>
      <c r="M300" t="s">
        <v>78</v>
      </c>
      <c r="N300" t="s">
        <v>79</v>
      </c>
      <c r="O300" t="s">
        <v>74</v>
      </c>
      <c r="P300" t="s">
        <v>74</v>
      </c>
      <c r="Q300" t="s">
        <v>74</v>
      </c>
      <c r="R300" t="s">
        <v>74</v>
      </c>
      <c r="S300" t="s">
        <v>74</v>
      </c>
      <c r="T300" t="s">
        <v>74</v>
      </c>
      <c r="U300" t="s">
        <v>6045</v>
      </c>
      <c r="V300" t="s">
        <v>6046</v>
      </c>
      <c r="W300" t="s">
        <v>6047</v>
      </c>
      <c r="X300" t="s">
        <v>6048</v>
      </c>
      <c r="Y300" t="s">
        <v>6049</v>
      </c>
      <c r="Z300" t="s">
        <v>6050</v>
      </c>
      <c r="AA300" t="s">
        <v>6051</v>
      </c>
      <c r="AB300" t="s">
        <v>6052</v>
      </c>
      <c r="AC300" t="s">
        <v>6053</v>
      </c>
      <c r="AD300" t="s">
        <v>6054</v>
      </c>
      <c r="AE300" t="s">
        <v>6055</v>
      </c>
      <c r="AF300" t="s">
        <v>74</v>
      </c>
      <c r="AG300">
        <v>32</v>
      </c>
      <c r="AH300">
        <v>12</v>
      </c>
      <c r="AI300">
        <v>12</v>
      </c>
      <c r="AJ300">
        <v>1</v>
      </c>
      <c r="AK300">
        <v>44</v>
      </c>
      <c r="AL300" t="s">
        <v>1089</v>
      </c>
      <c r="AM300" t="s">
        <v>1090</v>
      </c>
      <c r="AN300" t="s">
        <v>1091</v>
      </c>
      <c r="AO300" t="s">
        <v>1092</v>
      </c>
      <c r="AP300" t="s">
        <v>74</v>
      </c>
      <c r="AQ300" t="s">
        <v>74</v>
      </c>
      <c r="AR300" t="s">
        <v>1078</v>
      </c>
      <c r="AS300" t="s">
        <v>1093</v>
      </c>
      <c r="AT300" t="s">
        <v>6056</v>
      </c>
      <c r="AU300">
        <v>2015</v>
      </c>
      <c r="AV300">
        <v>10</v>
      </c>
      <c r="AW300">
        <v>9</v>
      </c>
      <c r="AX300" t="s">
        <v>74</v>
      </c>
      <c r="AY300" t="s">
        <v>74</v>
      </c>
      <c r="AZ300" t="s">
        <v>74</v>
      </c>
      <c r="BA300" t="s">
        <v>74</v>
      </c>
      <c r="BB300" t="s">
        <v>74</v>
      </c>
      <c r="BC300" t="s">
        <v>74</v>
      </c>
      <c r="BD300" t="s">
        <v>6057</v>
      </c>
      <c r="BE300" t="s">
        <v>6058</v>
      </c>
      <c r="BF300" t="str">
        <f>HYPERLINK("http://dx.doi.org/10.1371/journal.pone.0137622","http://dx.doi.org/10.1371/journal.pone.0137622")</f>
        <v>http://dx.doi.org/10.1371/journal.pone.0137622</v>
      </c>
      <c r="BG300" t="s">
        <v>74</v>
      </c>
      <c r="BH300" t="s">
        <v>74</v>
      </c>
      <c r="BI300">
        <v>8</v>
      </c>
      <c r="BJ300" t="s">
        <v>530</v>
      </c>
      <c r="BK300" t="s">
        <v>101</v>
      </c>
      <c r="BL300" t="s">
        <v>531</v>
      </c>
      <c r="BM300" t="s">
        <v>6059</v>
      </c>
      <c r="BN300">
        <v>26352664</v>
      </c>
      <c r="BO300" t="s">
        <v>6060</v>
      </c>
      <c r="BP300" t="s">
        <v>74</v>
      </c>
      <c r="BQ300" t="s">
        <v>74</v>
      </c>
      <c r="BR300" t="s">
        <v>103</v>
      </c>
      <c r="BS300" t="s">
        <v>6061</v>
      </c>
      <c r="BT300" t="str">
        <f>HYPERLINK("https%3A%2F%2Fwww.webofscience.com%2Fwos%2Fwoscc%2Ffull-record%2FWOS:000360932800103","View Full Record in Web of Science")</f>
        <v>View Full Record in Web of Science</v>
      </c>
    </row>
    <row r="301" spans="1:72" x14ac:dyDescent="0.15">
      <c r="A301" t="s">
        <v>72</v>
      </c>
      <c r="B301" t="s">
        <v>6062</v>
      </c>
      <c r="C301" t="s">
        <v>74</v>
      </c>
      <c r="D301" t="s">
        <v>74</v>
      </c>
      <c r="E301" t="s">
        <v>74</v>
      </c>
      <c r="F301" t="s">
        <v>6063</v>
      </c>
      <c r="G301" t="s">
        <v>74</v>
      </c>
      <c r="H301" t="s">
        <v>74</v>
      </c>
      <c r="I301" t="s">
        <v>6064</v>
      </c>
      <c r="J301" t="s">
        <v>1489</v>
      </c>
      <c r="K301" t="s">
        <v>74</v>
      </c>
      <c r="L301" t="s">
        <v>74</v>
      </c>
      <c r="M301" t="s">
        <v>78</v>
      </c>
      <c r="N301" t="s">
        <v>79</v>
      </c>
      <c r="O301" t="s">
        <v>74</v>
      </c>
      <c r="P301" t="s">
        <v>74</v>
      </c>
      <c r="Q301" t="s">
        <v>74</v>
      </c>
      <c r="R301" t="s">
        <v>74</v>
      </c>
      <c r="S301" t="s">
        <v>74</v>
      </c>
      <c r="T301" t="s">
        <v>6065</v>
      </c>
      <c r="U301" t="s">
        <v>6066</v>
      </c>
      <c r="V301" t="s">
        <v>6067</v>
      </c>
      <c r="W301" t="s">
        <v>6068</v>
      </c>
      <c r="X301" t="s">
        <v>6069</v>
      </c>
      <c r="Y301" t="s">
        <v>6070</v>
      </c>
      <c r="Z301" t="s">
        <v>6071</v>
      </c>
      <c r="AA301" t="s">
        <v>6072</v>
      </c>
      <c r="AB301" t="s">
        <v>6073</v>
      </c>
      <c r="AC301" t="s">
        <v>6074</v>
      </c>
      <c r="AD301" t="s">
        <v>6075</v>
      </c>
      <c r="AE301" t="s">
        <v>6076</v>
      </c>
      <c r="AF301" t="s">
        <v>74</v>
      </c>
      <c r="AG301">
        <v>73</v>
      </c>
      <c r="AH301">
        <v>55</v>
      </c>
      <c r="AI301">
        <v>60</v>
      </c>
      <c r="AJ301">
        <v>0</v>
      </c>
      <c r="AK301">
        <v>26</v>
      </c>
      <c r="AL301" t="s">
        <v>1502</v>
      </c>
      <c r="AM301" t="s">
        <v>307</v>
      </c>
      <c r="AN301" t="s">
        <v>1503</v>
      </c>
      <c r="AO301" t="s">
        <v>1504</v>
      </c>
      <c r="AP301" t="s">
        <v>74</v>
      </c>
      <c r="AQ301" t="s">
        <v>74</v>
      </c>
      <c r="AR301" t="s">
        <v>1505</v>
      </c>
      <c r="AS301" t="s">
        <v>1506</v>
      </c>
      <c r="AT301" t="s">
        <v>6077</v>
      </c>
      <c r="AU301">
        <v>2015</v>
      </c>
      <c r="AV301">
        <v>112</v>
      </c>
      <c r="AW301">
        <v>36</v>
      </c>
      <c r="AX301" t="s">
        <v>74</v>
      </c>
      <c r="AY301" t="s">
        <v>74</v>
      </c>
      <c r="AZ301" t="s">
        <v>74</v>
      </c>
      <c r="BA301" t="s">
        <v>74</v>
      </c>
      <c r="BB301" t="s">
        <v>6078</v>
      </c>
      <c r="BC301" t="s">
        <v>6079</v>
      </c>
      <c r="BD301" t="s">
        <v>74</v>
      </c>
      <c r="BE301" t="s">
        <v>6080</v>
      </c>
      <c r="BF301" t="str">
        <f>HYPERLINK("http://dx.doi.org/10.1073/pnas.1506076112","http://dx.doi.org/10.1073/pnas.1506076112")</f>
        <v>http://dx.doi.org/10.1073/pnas.1506076112</v>
      </c>
      <c r="BG301" t="s">
        <v>74</v>
      </c>
      <c r="BH301" t="s">
        <v>74</v>
      </c>
      <c r="BI301">
        <v>8</v>
      </c>
      <c r="BJ301" t="s">
        <v>530</v>
      </c>
      <c r="BK301" t="s">
        <v>101</v>
      </c>
      <c r="BL301" t="s">
        <v>531</v>
      </c>
      <c r="BM301" t="s">
        <v>6081</v>
      </c>
      <c r="BN301">
        <v>26261311</v>
      </c>
      <c r="BO301" t="s">
        <v>1132</v>
      </c>
      <c r="BP301" t="s">
        <v>74</v>
      </c>
      <c r="BQ301" t="s">
        <v>74</v>
      </c>
      <c r="BR301" t="s">
        <v>103</v>
      </c>
      <c r="BS301" t="s">
        <v>6082</v>
      </c>
      <c r="BT301" t="str">
        <f>HYPERLINK("https%3A%2F%2Fwww.webofscience.com%2Fwos%2Fwoscc%2Ffull-record%2FWOS:000360994900007","View Full Record in Web of Science")</f>
        <v>View Full Record in Web of Science</v>
      </c>
    </row>
    <row r="302" spans="1:72" x14ac:dyDescent="0.15">
      <c r="A302" t="s">
        <v>72</v>
      </c>
      <c r="B302" t="s">
        <v>6083</v>
      </c>
      <c r="C302" t="s">
        <v>74</v>
      </c>
      <c r="D302" t="s">
        <v>74</v>
      </c>
      <c r="E302" t="s">
        <v>74</v>
      </c>
      <c r="F302" t="s">
        <v>6084</v>
      </c>
      <c r="G302" t="s">
        <v>74</v>
      </c>
      <c r="H302" t="s">
        <v>74</v>
      </c>
      <c r="I302" t="s">
        <v>6085</v>
      </c>
      <c r="J302" t="s">
        <v>996</v>
      </c>
      <c r="K302" t="s">
        <v>74</v>
      </c>
      <c r="L302" t="s">
        <v>74</v>
      </c>
      <c r="M302" t="s">
        <v>78</v>
      </c>
      <c r="N302" t="s">
        <v>754</v>
      </c>
      <c r="O302" t="s">
        <v>74</v>
      </c>
      <c r="P302" t="s">
        <v>74</v>
      </c>
      <c r="Q302" t="s">
        <v>74</v>
      </c>
      <c r="R302" t="s">
        <v>74</v>
      </c>
      <c r="S302" t="s">
        <v>74</v>
      </c>
      <c r="T302" t="s">
        <v>74</v>
      </c>
      <c r="U302" t="s">
        <v>74</v>
      </c>
      <c r="V302" t="s">
        <v>6086</v>
      </c>
      <c r="W302" t="s">
        <v>6087</v>
      </c>
      <c r="X302" t="s">
        <v>6088</v>
      </c>
      <c r="Y302" t="s">
        <v>6089</v>
      </c>
      <c r="Z302" t="s">
        <v>6090</v>
      </c>
      <c r="AA302" t="s">
        <v>6091</v>
      </c>
      <c r="AB302" t="s">
        <v>6092</v>
      </c>
      <c r="AC302" t="s">
        <v>6093</v>
      </c>
      <c r="AD302" t="s">
        <v>6094</v>
      </c>
      <c r="AE302" t="s">
        <v>74</v>
      </c>
      <c r="AF302" t="s">
        <v>74</v>
      </c>
      <c r="AG302">
        <v>4</v>
      </c>
      <c r="AH302">
        <v>3</v>
      </c>
      <c r="AI302">
        <v>3</v>
      </c>
      <c r="AJ302">
        <v>0</v>
      </c>
      <c r="AK302">
        <v>44</v>
      </c>
      <c r="AL302" t="s">
        <v>776</v>
      </c>
      <c r="AM302" t="s">
        <v>307</v>
      </c>
      <c r="AN302" t="s">
        <v>777</v>
      </c>
      <c r="AO302" t="s">
        <v>998</v>
      </c>
      <c r="AP302" t="s">
        <v>999</v>
      </c>
      <c r="AQ302" t="s">
        <v>74</v>
      </c>
      <c r="AR302" t="s">
        <v>996</v>
      </c>
      <c r="AS302" t="s">
        <v>1000</v>
      </c>
      <c r="AT302" t="s">
        <v>6095</v>
      </c>
      <c r="AU302">
        <v>2015</v>
      </c>
      <c r="AV302">
        <v>349</v>
      </c>
      <c r="AW302">
        <v>6252</v>
      </c>
      <c r="AX302" t="s">
        <v>74</v>
      </c>
      <c r="AY302" t="s">
        <v>74</v>
      </c>
      <c r="AZ302" t="s">
        <v>74</v>
      </c>
      <c r="BA302" t="s">
        <v>74</v>
      </c>
      <c r="BB302" t="s">
        <v>74</v>
      </c>
      <c r="BC302" t="s">
        <v>74</v>
      </c>
      <c r="BD302" t="s">
        <v>74</v>
      </c>
      <c r="BE302" t="s">
        <v>6096</v>
      </c>
      <c r="BF302" t="str">
        <f>HYPERLINK("http://dx.doi.org/10.1126/science.aab3497","http://dx.doi.org/10.1126/science.aab3497")</f>
        <v>http://dx.doi.org/10.1126/science.aab3497</v>
      </c>
      <c r="BG302" t="s">
        <v>74</v>
      </c>
      <c r="BH302" t="s">
        <v>74</v>
      </c>
      <c r="BI302">
        <v>1</v>
      </c>
      <c r="BJ302" t="s">
        <v>530</v>
      </c>
      <c r="BK302" t="s">
        <v>101</v>
      </c>
      <c r="BL302" t="s">
        <v>531</v>
      </c>
      <c r="BM302" t="s">
        <v>6097</v>
      </c>
      <c r="BN302">
        <v>26339023</v>
      </c>
      <c r="BO302" t="s">
        <v>162</v>
      </c>
      <c r="BP302" t="s">
        <v>74</v>
      </c>
      <c r="BQ302" t="s">
        <v>74</v>
      </c>
      <c r="BR302" t="s">
        <v>103</v>
      </c>
      <c r="BS302" t="s">
        <v>6098</v>
      </c>
      <c r="BT302" t="str">
        <f>HYPERLINK("https%3A%2F%2Fwww.webofscience.com%2Fwos%2Fwoscc%2Ffull-record%2FWOS:000360628900031","View Full Record in Web of Science")</f>
        <v>View Full Record in Web of Science</v>
      </c>
    </row>
    <row r="303" spans="1:72" x14ac:dyDescent="0.15">
      <c r="A303" t="s">
        <v>72</v>
      </c>
      <c r="B303" t="s">
        <v>6099</v>
      </c>
      <c r="C303" t="s">
        <v>74</v>
      </c>
      <c r="D303" t="s">
        <v>74</v>
      </c>
      <c r="E303" t="s">
        <v>74</v>
      </c>
      <c r="F303" t="s">
        <v>6100</v>
      </c>
      <c r="G303" t="s">
        <v>74</v>
      </c>
      <c r="H303" t="s">
        <v>74</v>
      </c>
      <c r="I303" t="s">
        <v>6101</v>
      </c>
      <c r="J303" t="s">
        <v>6102</v>
      </c>
      <c r="K303" t="s">
        <v>74</v>
      </c>
      <c r="L303" t="s">
        <v>74</v>
      </c>
      <c r="M303" t="s">
        <v>78</v>
      </c>
      <c r="N303" t="s">
        <v>79</v>
      </c>
      <c r="O303" t="s">
        <v>74</v>
      </c>
      <c r="P303" t="s">
        <v>74</v>
      </c>
      <c r="Q303" t="s">
        <v>74</v>
      </c>
      <c r="R303" t="s">
        <v>74</v>
      </c>
      <c r="S303" t="s">
        <v>74</v>
      </c>
      <c r="T303" t="s">
        <v>6103</v>
      </c>
      <c r="U303" t="s">
        <v>74</v>
      </c>
      <c r="V303" t="s">
        <v>6104</v>
      </c>
      <c r="W303" t="s">
        <v>6105</v>
      </c>
      <c r="X303" t="s">
        <v>6106</v>
      </c>
      <c r="Y303" t="s">
        <v>6107</v>
      </c>
      <c r="Z303" t="s">
        <v>6108</v>
      </c>
      <c r="AA303" t="s">
        <v>74</v>
      </c>
      <c r="AB303" t="s">
        <v>74</v>
      </c>
      <c r="AC303" t="s">
        <v>74</v>
      </c>
      <c r="AD303" t="s">
        <v>74</v>
      </c>
      <c r="AE303" t="s">
        <v>74</v>
      </c>
      <c r="AF303" t="s">
        <v>74</v>
      </c>
      <c r="AG303">
        <v>17</v>
      </c>
      <c r="AH303">
        <v>7</v>
      </c>
      <c r="AI303">
        <v>7</v>
      </c>
      <c r="AJ303">
        <v>1</v>
      </c>
      <c r="AK303">
        <v>21</v>
      </c>
      <c r="AL303" t="s">
        <v>6109</v>
      </c>
      <c r="AM303" t="s">
        <v>1475</v>
      </c>
      <c r="AN303" t="s">
        <v>6110</v>
      </c>
      <c r="AO303" t="s">
        <v>6111</v>
      </c>
      <c r="AP303" t="s">
        <v>6112</v>
      </c>
      <c r="AQ303" t="s">
        <v>74</v>
      </c>
      <c r="AR303" t="s">
        <v>6113</v>
      </c>
      <c r="AS303" t="s">
        <v>6114</v>
      </c>
      <c r="AT303" t="s">
        <v>6115</v>
      </c>
      <c r="AU303">
        <v>2015</v>
      </c>
      <c r="AV303">
        <v>29</v>
      </c>
      <c r="AW303">
        <v>5</v>
      </c>
      <c r="AX303" t="s">
        <v>74</v>
      </c>
      <c r="AY303" t="s">
        <v>74</v>
      </c>
      <c r="AZ303" t="s">
        <v>74</v>
      </c>
      <c r="BA303" t="s">
        <v>74</v>
      </c>
      <c r="BB303">
        <v>576</v>
      </c>
      <c r="BC303">
        <v>590</v>
      </c>
      <c r="BD303" t="s">
        <v>74</v>
      </c>
      <c r="BE303" t="s">
        <v>6116</v>
      </c>
      <c r="BF303" t="str">
        <f>HYPERLINK("http://dx.doi.org/10.1080/02560046.2015.1125087","http://dx.doi.org/10.1080/02560046.2015.1125087")</f>
        <v>http://dx.doi.org/10.1080/02560046.2015.1125087</v>
      </c>
      <c r="BG303" t="s">
        <v>74</v>
      </c>
      <c r="BH303" t="s">
        <v>74</v>
      </c>
      <c r="BI303">
        <v>15</v>
      </c>
      <c r="BJ303" t="s">
        <v>6117</v>
      </c>
      <c r="BK303" t="s">
        <v>2327</v>
      </c>
      <c r="BL303" t="s">
        <v>6117</v>
      </c>
      <c r="BM303" t="s">
        <v>6118</v>
      </c>
      <c r="BN303" t="s">
        <v>74</v>
      </c>
      <c r="BO303" t="s">
        <v>74</v>
      </c>
      <c r="BP303" t="s">
        <v>74</v>
      </c>
      <c r="BQ303" t="s">
        <v>74</v>
      </c>
      <c r="BR303" t="s">
        <v>103</v>
      </c>
      <c r="BS303" t="s">
        <v>6119</v>
      </c>
      <c r="BT303" t="str">
        <f>HYPERLINK("https%3A%2F%2Fwww.webofscience.com%2Fwos%2Fwoscc%2Ffull-record%2FWOS:000371243700002","View Full Record in Web of Science")</f>
        <v>View Full Record in Web of Science</v>
      </c>
    </row>
    <row r="304" spans="1:72" x14ac:dyDescent="0.15">
      <c r="A304" t="s">
        <v>72</v>
      </c>
      <c r="B304" t="s">
        <v>6120</v>
      </c>
      <c r="C304" t="s">
        <v>74</v>
      </c>
      <c r="D304" t="s">
        <v>74</v>
      </c>
      <c r="E304" t="s">
        <v>74</v>
      </c>
      <c r="F304" t="s">
        <v>6121</v>
      </c>
      <c r="G304" t="s">
        <v>74</v>
      </c>
      <c r="H304" t="s">
        <v>74</v>
      </c>
      <c r="I304" t="s">
        <v>6122</v>
      </c>
      <c r="J304" t="s">
        <v>6123</v>
      </c>
      <c r="K304" t="s">
        <v>74</v>
      </c>
      <c r="L304" t="s">
        <v>74</v>
      </c>
      <c r="M304" t="s">
        <v>78</v>
      </c>
      <c r="N304" t="s">
        <v>79</v>
      </c>
      <c r="O304" t="s">
        <v>74</v>
      </c>
      <c r="P304" t="s">
        <v>74</v>
      </c>
      <c r="Q304" t="s">
        <v>74</v>
      </c>
      <c r="R304" t="s">
        <v>74</v>
      </c>
      <c r="S304" t="s">
        <v>74</v>
      </c>
      <c r="T304" t="s">
        <v>6124</v>
      </c>
      <c r="U304" t="s">
        <v>6125</v>
      </c>
      <c r="V304" t="s">
        <v>6126</v>
      </c>
      <c r="W304" t="s">
        <v>6127</v>
      </c>
      <c r="X304" t="s">
        <v>6128</v>
      </c>
      <c r="Y304" t="s">
        <v>6129</v>
      </c>
      <c r="Z304" t="s">
        <v>6130</v>
      </c>
      <c r="AA304" t="s">
        <v>6131</v>
      </c>
      <c r="AB304" t="s">
        <v>6132</v>
      </c>
      <c r="AC304" t="s">
        <v>6133</v>
      </c>
      <c r="AD304" t="s">
        <v>6134</v>
      </c>
      <c r="AE304" t="s">
        <v>6135</v>
      </c>
      <c r="AF304" t="s">
        <v>74</v>
      </c>
      <c r="AG304">
        <v>30</v>
      </c>
      <c r="AH304">
        <v>10</v>
      </c>
      <c r="AI304">
        <v>11</v>
      </c>
      <c r="AJ304">
        <v>1</v>
      </c>
      <c r="AK304">
        <v>8</v>
      </c>
      <c r="AL304" t="s">
        <v>6136</v>
      </c>
      <c r="AM304" t="s">
        <v>180</v>
      </c>
      <c r="AN304" t="s">
        <v>6137</v>
      </c>
      <c r="AO304" t="s">
        <v>6138</v>
      </c>
      <c r="AP304" t="s">
        <v>74</v>
      </c>
      <c r="AQ304" t="s">
        <v>74</v>
      </c>
      <c r="AR304" t="s">
        <v>6139</v>
      </c>
      <c r="AS304" t="s">
        <v>6140</v>
      </c>
      <c r="AT304" t="s">
        <v>6115</v>
      </c>
      <c r="AU304">
        <v>2015</v>
      </c>
      <c r="AV304">
        <v>10</v>
      </c>
      <c r="AW304" t="s">
        <v>74</v>
      </c>
      <c r="AX304" t="s">
        <v>74</v>
      </c>
      <c r="AY304" t="s">
        <v>74</v>
      </c>
      <c r="AZ304" t="s">
        <v>74</v>
      </c>
      <c r="BA304" t="s">
        <v>74</v>
      </c>
      <c r="BB304" t="s">
        <v>74</v>
      </c>
      <c r="BC304" t="s">
        <v>74</v>
      </c>
      <c r="BD304">
        <v>61</v>
      </c>
      <c r="BE304" t="s">
        <v>6141</v>
      </c>
      <c r="BF304" t="str">
        <f>HYPERLINK("http://dx.doi.org/10.1186/s40793-015-0043-8","http://dx.doi.org/10.1186/s40793-015-0043-8")</f>
        <v>http://dx.doi.org/10.1186/s40793-015-0043-8</v>
      </c>
      <c r="BG304" t="s">
        <v>74</v>
      </c>
      <c r="BH304" t="s">
        <v>74</v>
      </c>
      <c r="BI304">
        <v>6</v>
      </c>
      <c r="BJ304" t="s">
        <v>6142</v>
      </c>
      <c r="BK304" t="s">
        <v>101</v>
      </c>
      <c r="BL304" t="s">
        <v>6142</v>
      </c>
      <c r="BM304" t="s">
        <v>6143</v>
      </c>
      <c r="BN304">
        <v>26380646</v>
      </c>
      <c r="BO304" t="s">
        <v>1430</v>
      </c>
      <c r="BP304" t="s">
        <v>74</v>
      </c>
      <c r="BQ304" t="s">
        <v>74</v>
      </c>
      <c r="BR304" t="s">
        <v>103</v>
      </c>
      <c r="BS304" t="s">
        <v>6144</v>
      </c>
      <c r="BT304" t="str">
        <f>HYPERLINK("https%3A%2F%2Fwww.webofscience.com%2Fwos%2Fwoscc%2Ffull-record%2FWOS:000367993400001","View Full Record in Web of Science")</f>
        <v>View Full Record in Web of Science</v>
      </c>
    </row>
    <row r="305" spans="1:72" x14ac:dyDescent="0.15">
      <c r="A305" t="s">
        <v>72</v>
      </c>
      <c r="B305" t="s">
        <v>6145</v>
      </c>
      <c r="C305" t="s">
        <v>74</v>
      </c>
      <c r="D305" t="s">
        <v>74</v>
      </c>
      <c r="E305" t="s">
        <v>74</v>
      </c>
      <c r="F305" t="s">
        <v>6146</v>
      </c>
      <c r="G305" t="s">
        <v>74</v>
      </c>
      <c r="H305" t="s">
        <v>74</v>
      </c>
      <c r="I305" t="s">
        <v>6147</v>
      </c>
      <c r="J305" t="s">
        <v>6148</v>
      </c>
      <c r="K305" t="s">
        <v>74</v>
      </c>
      <c r="L305" t="s">
        <v>74</v>
      </c>
      <c r="M305" t="s">
        <v>78</v>
      </c>
      <c r="N305" t="s">
        <v>79</v>
      </c>
      <c r="O305" t="s">
        <v>74</v>
      </c>
      <c r="P305" t="s">
        <v>74</v>
      </c>
      <c r="Q305" t="s">
        <v>74</v>
      </c>
      <c r="R305" t="s">
        <v>74</v>
      </c>
      <c r="S305" t="s">
        <v>74</v>
      </c>
      <c r="T305" t="s">
        <v>6149</v>
      </c>
      <c r="U305" t="s">
        <v>6150</v>
      </c>
      <c r="V305" t="s">
        <v>6151</v>
      </c>
      <c r="W305" t="s">
        <v>6152</v>
      </c>
      <c r="X305" t="s">
        <v>6153</v>
      </c>
      <c r="Y305" t="s">
        <v>6154</v>
      </c>
      <c r="Z305" t="s">
        <v>6155</v>
      </c>
      <c r="AA305" t="s">
        <v>6156</v>
      </c>
      <c r="AB305" t="s">
        <v>6157</v>
      </c>
      <c r="AC305" t="s">
        <v>6158</v>
      </c>
      <c r="AD305" t="s">
        <v>6159</v>
      </c>
      <c r="AE305" t="s">
        <v>6160</v>
      </c>
      <c r="AF305" t="s">
        <v>74</v>
      </c>
      <c r="AG305">
        <v>47</v>
      </c>
      <c r="AH305">
        <v>3</v>
      </c>
      <c r="AI305">
        <v>3</v>
      </c>
      <c r="AJ305">
        <v>0</v>
      </c>
      <c r="AK305">
        <v>17</v>
      </c>
      <c r="AL305" t="s">
        <v>1474</v>
      </c>
      <c r="AM305" t="s">
        <v>1475</v>
      </c>
      <c r="AN305" t="s">
        <v>2106</v>
      </c>
      <c r="AO305" t="s">
        <v>6161</v>
      </c>
      <c r="AP305" t="s">
        <v>6162</v>
      </c>
      <c r="AQ305" t="s">
        <v>74</v>
      </c>
      <c r="AR305" t="s">
        <v>6163</v>
      </c>
      <c r="AS305" t="s">
        <v>6164</v>
      </c>
      <c r="AT305" t="s">
        <v>6115</v>
      </c>
      <c r="AU305">
        <v>2015</v>
      </c>
      <c r="AV305">
        <v>19</v>
      </c>
      <c r="AW305">
        <v>5</v>
      </c>
      <c r="AX305" t="s">
        <v>74</v>
      </c>
      <c r="AY305" t="s">
        <v>74</v>
      </c>
      <c r="AZ305" t="s">
        <v>74</v>
      </c>
      <c r="BA305" t="s">
        <v>74</v>
      </c>
      <c r="BB305">
        <v>339</v>
      </c>
      <c r="BC305">
        <v>349</v>
      </c>
      <c r="BD305" t="s">
        <v>74</v>
      </c>
      <c r="BE305" t="s">
        <v>6165</v>
      </c>
      <c r="BF305" t="str">
        <f>HYPERLINK("http://dx.doi.org/10.1080/19768354.2015.1082931","http://dx.doi.org/10.1080/19768354.2015.1082931")</f>
        <v>http://dx.doi.org/10.1080/19768354.2015.1082931</v>
      </c>
      <c r="BG305" t="s">
        <v>74</v>
      </c>
      <c r="BH305" t="s">
        <v>74</v>
      </c>
      <c r="BI305">
        <v>11</v>
      </c>
      <c r="BJ305" t="s">
        <v>6166</v>
      </c>
      <c r="BK305" t="s">
        <v>101</v>
      </c>
      <c r="BL305" t="s">
        <v>6166</v>
      </c>
      <c r="BM305" t="s">
        <v>6167</v>
      </c>
      <c r="BN305" t="s">
        <v>74</v>
      </c>
      <c r="BO305" t="s">
        <v>162</v>
      </c>
      <c r="BP305" t="s">
        <v>74</v>
      </c>
      <c r="BQ305" t="s">
        <v>74</v>
      </c>
      <c r="BR305" t="s">
        <v>103</v>
      </c>
      <c r="BS305" t="s">
        <v>6168</v>
      </c>
      <c r="BT305" t="str">
        <f>HYPERLINK("https%3A%2F%2Fwww.webofscience.com%2Fwos%2Fwoscc%2Ffull-record%2FWOS:000362502900008","View Full Record in Web of Science")</f>
        <v>View Full Record in Web of Science</v>
      </c>
    </row>
    <row r="306" spans="1:72" x14ac:dyDescent="0.15">
      <c r="A306" t="s">
        <v>72</v>
      </c>
      <c r="B306" t="s">
        <v>6169</v>
      </c>
      <c r="C306" t="s">
        <v>74</v>
      </c>
      <c r="D306" t="s">
        <v>74</v>
      </c>
      <c r="E306" t="s">
        <v>74</v>
      </c>
      <c r="F306" t="s">
        <v>6170</v>
      </c>
      <c r="G306" t="s">
        <v>74</v>
      </c>
      <c r="H306" t="s">
        <v>74</v>
      </c>
      <c r="I306" t="s">
        <v>6171</v>
      </c>
      <c r="J306" t="s">
        <v>1078</v>
      </c>
      <c r="K306" t="s">
        <v>74</v>
      </c>
      <c r="L306" t="s">
        <v>74</v>
      </c>
      <c r="M306" t="s">
        <v>78</v>
      </c>
      <c r="N306" t="s">
        <v>79</v>
      </c>
      <c r="O306" t="s">
        <v>74</v>
      </c>
      <c r="P306" t="s">
        <v>74</v>
      </c>
      <c r="Q306" t="s">
        <v>74</v>
      </c>
      <c r="R306" t="s">
        <v>74</v>
      </c>
      <c r="S306" t="s">
        <v>74</v>
      </c>
      <c r="T306" t="s">
        <v>74</v>
      </c>
      <c r="U306" t="s">
        <v>6172</v>
      </c>
      <c r="V306" t="s">
        <v>6173</v>
      </c>
      <c r="W306" t="s">
        <v>6174</v>
      </c>
      <c r="X306" t="s">
        <v>6175</v>
      </c>
      <c r="Y306" t="s">
        <v>6176</v>
      </c>
      <c r="Z306" t="s">
        <v>6177</v>
      </c>
      <c r="AA306" t="s">
        <v>74</v>
      </c>
      <c r="AB306" t="s">
        <v>6178</v>
      </c>
      <c r="AC306" t="s">
        <v>6179</v>
      </c>
      <c r="AD306" t="s">
        <v>6180</v>
      </c>
      <c r="AE306" t="s">
        <v>6181</v>
      </c>
      <c r="AF306" t="s">
        <v>74</v>
      </c>
      <c r="AG306">
        <v>34</v>
      </c>
      <c r="AH306">
        <v>13</v>
      </c>
      <c r="AI306">
        <v>13</v>
      </c>
      <c r="AJ306">
        <v>1</v>
      </c>
      <c r="AK306">
        <v>29</v>
      </c>
      <c r="AL306" t="s">
        <v>1089</v>
      </c>
      <c r="AM306" t="s">
        <v>1090</v>
      </c>
      <c r="AN306" t="s">
        <v>1091</v>
      </c>
      <c r="AO306" t="s">
        <v>1092</v>
      </c>
      <c r="AP306" t="s">
        <v>74</v>
      </c>
      <c r="AQ306" t="s">
        <v>74</v>
      </c>
      <c r="AR306" t="s">
        <v>1078</v>
      </c>
      <c r="AS306" t="s">
        <v>1093</v>
      </c>
      <c r="AT306" t="s">
        <v>6182</v>
      </c>
      <c r="AU306">
        <v>2015</v>
      </c>
      <c r="AV306">
        <v>10</v>
      </c>
      <c r="AW306">
        <v>9</v>
      </c>
      <c r="AX306" t="s">
        <v>74</v>
      </c>
      <c r="AY306" t="s">
        <v>74</v>
      </c>
      <c r="AZ306" t="s">
        <v>74</v>
      </c>
      <c r="BA306" t="s">
        <v>74</v>
      </c>
      <c r="BB306" t="s">
        <v>74</v>
      </c>
      <c r="BC306" t="s">
        <v>74</v>
      </c>
      <c r="BD306" t="s">
        <v>6183</v>
      </c>
      <c r="BE306" t="s">
        <v>6184</v>
      </c>
      <c r="BF306" t="str">
        <f>HYPERLINK("http://dx.doi.org/10.1371/journal.pone.0134513","http://dx.doi.org/10.1371/journal.pone.0134513")</f>
        <v>http://dx.doi.org/10.1371/journal.pone.0134513</v>
      </c>
      <c r="BG306" t="s">
        <v>74</v>
      </c>
      <c r="BH306" t="s">
        <v>74</v>
      </c>
      <c r="BI306">
        <v>13</v>
      </c>
      <c r="BJ306" t="s">
        <v>530</v>
      </c>
      <c r="BK306" t="s">
        <v>101</v>
      </c>
      <c r="BL306" t="s">
        <v>531</v>
      </c>
      <c r="BM306" t="s">
        <v>6185</v>
      </c>
      <c r="BN306">
        <v>26331475</v>
      </c>
      <c r="BO306" t="s">
        <v>1097</v>
      </c>
      <c r="BP306" t="s">
        <v>74</v>
      </c>
      <c r="BQ306" t="s">
        <v>74</v>
      </c>
      <c r="BR306" t="s">
        <v>103</v>
      </c>
      <c r="BS306" t="s">
        <v>6186</v>
      </c>
      <c r="BT306" t="str">
        <f>HYPERLINK("https%3A%2F%2Fwww.webofscience.com%2Fwos%2Fwoscc%2Ffull-record%2FWOS:000360613800011","View Full Record in Web of Science")</f>
        <v>View Full Record in Web of Science</v>
      </c>
    </row>
    <row r="307" spans="1:72" x14ac:dyDescent="0.15">
      <c r="A307" t="s">
        <v>72</v>
      </c>
      <c r="B307" t="s">
        <v>6187</v>
      </c>
      <c r="C307" t="s">
        <v>74</v>
      </c>
      <c r="D307" t="s">
        <v>74</v>
      </c>
      <c r="E307" t="s">
        <v>74</v>
      </c>
      <c r="F307" t="s">
        <v>6188</v>
      </c>
      <c r="G307" t="s">
        <v>74</v>
      </c>
      <c r="H307" t="s">
        <v>74</v>
      </c>
      <c r="I307" t="s">
        <v>6189</v>
      </c>
      <c r="J307" t="s">
        <v>1078</v>
      </c>
      <c r="K307" t="s">
        <v>74</v>
      </c>
      <c r="L307" t="s">
        <v>74</v>
      </c>
      <c r="M307" t="s">
        <v>78</v>
      </c>
      <c r="N307" t="s">
        <v>79</v>
      </c>
      <c r="O307" t="s">
        <v>74</v>
      </c>
      <c r="P307" t="s">
        <v>74</v>
      </c>
      <c r="Q307" t="s">
        <v>74</v>
      </c>
      <c r="R307" t="s">
        <v>74</v>
      </c>
      <c r="S307" t="s">
        <v>74</v>
      </c>
      <c r="T307" t="s">
        <v>74</v>
      </c>
      <c r="U307" t="s">
        <v>6190</v>
      </c>
      <c r="V307" t="s">
        <v>6191</v>
      </c>
      <c r="W307" t="s">
        <v>6192</v>
      </c>
      <c r="X307" t="s">
        <v>6193</v>
      </c>
      <c r="Y307" t="s">
        <v>6194</v>
      </c>
      <c r="Z307" t="s">
        <v>6195</v>
      </c>
      <c r="AA307" t="s">
        <v>74</v>
      </c>
      <c r="AB307" t="s">
        <v>6196</v>
      </c>
      <c r="AC307" t="s">
        <v>6197</v>
      </c>
      <c r="AD307" t="s">
        <v>6198</v>
      </c>
      <c r="AE307" t="s">
        <v>6199</v>
      </c>
      <c r="AF307" t="s">
        <v>74</v>
      </c>
      <c r="AG307">
        <v>53</v>
      </c>
      <c r="AH307">
        <v>3</v>
      </c>
      <c r="AI307">
        <v>4</v>
      </c>
      <c r="AJ307">
        <v>0</v>
      </c>
      <c r="AK307">
        <v>20</v>
      </c>
      <c r="AL307" t="s">
        <v>1089</v>
      </c>
      <c r="AM307" t="s">
        <v>1090</v>
      </c>
      <c r="AN307" t="s">
        <v>1091</v>
      </c>
      <c r="AO307" t="s">
        <v>1092</v>
      </c>
      <c r="AP307" t="s">
        <v>74</v>
      </c>
      <c r="AQ307" t="s">
        <v>74</v>
      </c>
      <c r="AR307" t="s">
        <v>1078</v>
      </c>
      <c r="AS307" t="s">
        <v>1093</v>
      </c>
      <c r="AT307" t="s">
        <v>6182</v>
      </c>
      <c r="AU307">
        <v>2015</v>
      </c>
      <c r="AV307">
        <v>10</v>
      </c>
      <c r="AW307">
        <v>9</v>
      </c>
      <c r="AX307" t="s">
        <v>74</v>
      </c>
      <c r="AY307" t="s">
        <v>74</v>
      </c>
      <c r="AZ307" t="s">
        <v>74</v>
      </c>
      <c r="BA307" t="s">
        <v>74</v>
      </c>
      <c r="BB307" t="s">
        <v>74</v>
      </c>
      <c r="BC307" t="s">
        <v>74</v>
      </c>
      <c r="BD307" t="s">
        <v>6200</v>
      </c>
      <c r="BE307" t="s">
        <v>6201</v>
      </c>
      <c r="BF307" t="str">
        <f>HYPERLINK("http://dx.doi.org/10.1371/journal.pone.0137241","http://dx.doi.org/10.1371/journal.pone.0137241")</f>
        <v>http://dx.doi.org/10.1371/journal.pone.0137241</v>
      </c>
      <c r="BG307" t="s">
        <v>74</v>
      </c>
      <c r="BH307" t="s">
        <v>74</v>
      </c>
      <c r="BI307">
        <v>15</v>
      </c>
      <c r="BJ307" t="s">
        <v>530</v>
      </c>
      <c r="BK307" t="s">
        <v>101</v>
      </c>
      <c r="BL307" t="s">
        <v>531</v>
      </c>
      <c r="BM307" t="s">
        <v>6185</v>
      </c>
      <c r="BN307">
        <v>26331957</v>
      </c>
      <c r="BO307" t="s">
        <v>1262</v>
      </c>
      <c r="BP307" t="s">
        <v>74</v>
      </c>
      <c r="BQ307" t="s">
        <v>74</v>
      </c>
      <c r="BR307" t="s">
        <v>103</v>
      </c>
      <c r="BS307" t="s">
        <v>6202</v>
      </c>
      <c r="BT307" t="str">
        <f>HYPERLINK("https%3A%2F%2Fwww.webofscience.com%2Fwos%2Fwoscc%2Ffull-record%2FWOS:000360613800115","View Full Record in Web of Science")</f>
        <v>View Full Record in Web of Science</v>
      </c>
    </row>
    <row r="308" spans="1:72" x14ac:dyDescent="0.15">
      <c r="A308" t="s">
        <v>72</v>
      </c>
      <c r="B308" t="s">
        <v>6203</v>
      </c>
      <c r="C308" t="s">
        <v>74</v>
      </c>
      <c r="D308" t="s">
        <v>74</v>
      </c>
      <c r="E308" t="s">
        <v>74</v>
      </c>
      <c r="F308" t="s">
        <v>6204</v>
      </c>
      <c r="G308" t="s">
        <v>74</v>
      </c>
      <c r="H308" t="s">
        <v>74</v>
      </c>
      <c r="I308" t="s">
        <v>6205</v>
      </c>
      <c r="J308" t="s">
        <v>6206</v>
      </c>
      <c r="K308" t="s">
        <v>74</v>
      </c>
      <c r="L308" t="s">
        <v>74</v>
      </c>
      <c r="M308" t="s">
        <v>78</v>
      </c>
      <c r="N308" t="s">
        <v>79</v>
      </c>
      <c r="O308" t="s">
        <v>74</v>
      </c>
      <c r="P308" t="s">
        <v>74</v>
      </c>
      <c r="Q308" t="s">
        <v>74</v>
      </c>
      <c r="R308" t="s">
        <v>74</v>
      </c>
      <c r="S308" t="s">
        <v>74</v>
      </c>
      <c r="T308" t="s">
        <v>6207</v>
      </c>
      <c r="U308" t="s">
        <v>74</v>
      </c>
      <c r="V308" t="s">
        <v>74</v>
      </c>
      <c r="W308" t="s">
        <v>6208</v>
      </c>
      <c r="X308" t="s">
        <v>6209</v>
      </c>
      <c r="Y308" t="s">
        <v>6210</v>
      </c>
      <c r="Z308" t="s">
        <v>1557</v>
      </c>
      <c r="AA308" t="s">
        <v>6211</v>
      </c>
      <c r="AB308" t="s">
        <v>6212</v>
      </c>
      <c r="AC308" t="s">
        <v>6213</v>
      </c>
      <c r="AD308" t="s">
        <v>5526</v>
      </c>
      <c r="AE308" t="s">
        <v>74</v>
      </c>
      <c r="AF308" t="s">
        <v>74</v>
      </c>
      <c r="AG308">
        <v>3</v>
      </c>
      <c r="AH308">
        <v>0</v>
      </c>
      <c r="AI308">
        <v>0</v>
      </c>
      <c r="AJ308">
        <v>0</v>
      </c>
      <c r="AK308">
        <v>1</v>
      </c>
      <c r="AL308" t="s">
        <v>6214</v>
      </c>
      <c r="AM308" t="s">
        <v>1254</v>
      </c>
      <c r="AN308" t="s">
        <v>6215</v>
      </c>
      <c r="AO308" t="s">
        <v>6216</v>
      </c>
      <c r="AP308" t="s">
        <v>74</v>
      </c>
      <c r="AQ308" t="s">
        <v>74</v>
      </c>
      <c r="AR308" t="s">
        <v>6217</v>
      </c>
      <c r="AS308" t="s">
        <v>6218</v>
      </c>
      <c r="AT308" t="s">
        <v>6182</v>
      </c>
      <c r="AU308">
        <v>2015</v>
      </c>
      <c r="AV308">
        <v>3</v>
      </c>
      <c r="AW308" t="s">
        <v>74</v>
      </c>
      <c r="AX308" t="s">
        <v>74</v>
      </c>
      <c r="AY308" t="s">
        <v>74</v>
      </c>
      <c r="AZ308" t="s">
        <v>74</v>
      </c>
      <c r="BA308" t="s">
        <v>74</v>
      </c>
      <c r="BB308" t="s">
        <v>74</v>
      </c>
      <c r="BC308" t="s">
        <v>74</v>
      </c>
      <c r="BD308">
        <v>69</v>
      </c>
      <c r="BE308" t="s">
        <v>6219</v>
      </c>
      <c r="BF308" t="str">
        <f>HYPERLINK("http://dx.doi.org/10.3389/fphy.2015.00069","http://dx.doi.org/10.3389/fphy.2015.00069")</f>
        <v>http://dx.doi.org/10.3389/fphy.2015.00069</v>
      </c>
      <c r="BG308" t="s">
        <v>74</v>
      </c>
      <c r="BH308" t="s">
        <v>74</v>
      </c>
      <c r="BI308">
        <v>2</v>
      </c>
      <c r="BJ308" t="s">
        <v>6220</v>
      </c>
      <c r="BK308" t="s">
        <v>831</v>
      </c>
      <c r="BL308" t="s">
        <v>6221</v>
      </c>
      <c r="BM308" t="s">
        <v>6222</v>
      </c>
      <c r="BN308" t="s">
        <v>74</v>
      </c>
      <c r="BO308" t="s">
        <v>6223</v>
      </c>
      <c r="BP308" t="s">
        <v>74</v>
      </c>
      <c r="BQ308" t="s">
        <v>74</v>
      </c>
      <c r="BR308" t="s">
        <v>103</v>
      </c>
      <c r="BS308" t="s">
        <v>6224</v>
      </c>
      <c r="BT308" t="str">
        <f>HYPERLINK("https%3A%2F%2Fwww.webofscience.com%2Fwos%2Fwoscc%2Ffull-record%2FWOS:000387269600001","View Full Record in Web of Science")</f>
        <v>View Full Record in Web of Science</v>
      </c>
    </row>
    <row r="309" spans="1:72" x14ac:dyDescent="0.15">
      <c r="A309" t="s">
        <v>72</v>
      </c>
      <c r="B309" t="s">
        <v>6225</v>
      </c>
      <c r="C309" t="s">
        <v>74</v>
      </c>
      <c r="D309" t="s">
        <v>74</v>
      </c>
      <c r="E309" t="s">
        <v>74</v>
      </c>
      <c r="F309" t="s">
        <v>6226</v>
      </c>
      <c r="G309" t="s">
        <v>74</v>
      </c>
      <c r="H309" t="s">
        <v>74</v>
      </c>
      <c r="I309" t="s">
        <v>6227</v>
      </c>
      <c r="J309" t="s">
        <v>5843</v>
      </c>
      <c r="K309" t="s">
        <v>74</v>
      </c>
      <c r="L309" t="s">
        <v>74</v>
      </c>
      <c r="M309" t="s">
        <v>78</v>
      </c>
      <c r="N309" t="s">
        <v>79</v>
      </c>
      <c r="O309" t="s">
        <v>74</v>
      </c>
      <c r="P309" t="s">
        <v>74</v>
      </c>
      <c r="Q309" t="s">
        <v>74</v>
      </c>
      <c r="R309" t="s">
        <v>74</v>
      </c>
      <c r="S309" t="s">
        <v>74</v>
      </c>
      <c r="T309" t="s">
        <v>6228</v>
      </c>
      <c r="U309" t="s">
        <v>6229</v>
      </c>
      <c r="V309" t="s">
        <v>6230</v>
      </c>
      <c r="W309" t="s">
        <v>6231</v>
      </c>
      <c r="X309" t="s">
        <v>6232</v>
      </c>
      <c r="Y309" t="s">
        <v>6233</v>
      </c>
      <c r="Z309" t="s">
        <v>6234</v>
      </c>
      <c r="AA309" t="s">
        <v>74</v>
      </c>
      <c r="AB309" t="s">
        <v>6235</v>
      </c>
      <c r="AC309" t="s">
        <v>6236</v>
      </c>
      <c r="AD309" t="s">
        <v>6237</v>
      </c>
      <c r="AE309" t="s">
        <v>6238</v>
      </c>
      <c r="AF309" t="s">
        <v>74</v>
      </c>
      <c r="AG309">
        <v>67</v>
      </c>
      <c r="AH309">
        <v>12</v>
      </c>
      <c r="AI309">
        <v>13</v>
      </c>
      <c r="AJ309">
        <v>1</v>
      </c>
      <c r="AK309">
        <v>40</v>
      </c>
      <c r="AL309" t="s">
        <v>883</v>
      </c>
      <c r="AM309" t="s">
        <v>884</v>
      </c>
      <c r="AN309" t="s">
        <v>885</v>
      </c>
      <c r="AO309" t="s">
        <v>5856</v>
      </c>
      <c r="AP309" t="s">
        <v>5857</v>
      </c>
      <c r="AQ309" t="s">
        <v>74</v>
      </c>
      <c r="AR309" t="s">
        <v>5858</v>
      </c>
      <c r="AS309" t="s">
        <v>5859</v>
      </c>
      <c r="AT309" t="s">
        <v>6182</v>
      </c>
      <c r="AU309">
        <v>2015</v>
      </c>
      <c r="AV309">
        <v>410</v>
      </c>
      <c r="AW309" t="s">
        <v>74</v>
      </c>
      <c r="AX309" t="s">
        <v>74</v>
      </c>
      <c r="AY309" t="s">
        <v>74</v>
      </c>
      <c r="AZ309" t="s">
        <v>74</v>
      </c>
      <c r="BA309" t="s">
        <v>74</v>
      </c>
      <c r="BB309">
        <v>124</v>
      </c>
      <c r="BC309">
        <v>137</v>
      </c>
      <c r="BD309" t="s">
        <v>74</v>
      </c>
      <c r="BE309" t="s">
        <v>6239</v>
      </c>
      <c r="BF309" t="str">
        <f>HYPERLINK("http://dx.doi.org/10.1016/j.chemgeo.2015.06.005","http://dx.doi.org/10.1016/j.chemgeo.2015.06.005")</f>
        <v>http://dx.doi.org/10.1016/j.chemgeo.2015.06.005</v>
      </c>
      <c r="BG309" t="s">
        <v>74</v>
      </c>
      <c r="BH309" t="s">
        <v>74</v>
      </c>
      <c r="BI309">
        <v>14</v>
      </c>
      <c r="BJ309" t="s">
        <v>1707</v>
      </c>
      <c r="BK309" t="s">
        <v>101</v>
      </c>
      <c r="BL309" t="s">
        <v>1707</v>
      </c>
      <c r="BM309" t="s">
        <v>6240</v>
      </c>
      <c r="BN309" t="s">
        <v>74</v>
      </c>
      <c r="BO309" t="s">
        <v>74</v>
      </c>
      <c r="BP309" t="s">
        <v>74</v>
      </c>
      <c r="BQ309" t="s">
        <v>74</v>
      </c>
      <c r="BR309" t="s">
        <v>103</v>
      </c>
      <c r="BS309" t="s">
        <v>6241</v>
      </c>
      <c r="BT309" t="str">
        <f>HYPERLINK("https%3A%2F%2Fwww.webofscience.com%2Fwos%2Fwoscc%2Ffull-record%2FWOS:000359064300011","View Full Record in Web of Science")</f>
        <v>View Full Record in Web of Science</v>
      </c>
    </row>
    <row r="310" spans="1:72" x14ac:dyDescent="0.15">
      <c r="A310" t="s">
        <v>72</v>
      </c>
      <c r="B310" t="s">
        <v>6242</v>
      </c>
      <c r="C310" t="s">
        <v>74</v>
      </c>
      <c r="D310" t="s">
        <v>74</v>
      </c>
      <c r="E310" t="s">
        <v>74</v>
      </c>
      <c r="F310" t="s">
        <v>6243</v>
      </c>
      <c r="G310" t="s">
        <v>74</v>
      </c>
      <c r="H310" t="s">
        <v>74</v>
      </c>
      <c r="I310" t="s">
        <v>6244</v>
      </c>
      <c r="J310" t="s">
        <v>6245</v>
      </c>
      <c r="K310" t="s">
        <v>74</v>
      </c>
      <c r="L310" t="s">
        <v>74</v>
      </c>
      <c r="M310" t="s">
        <v>78</v>
      </c>
      <c r="N310" t="s">
        <v>79</v>
      </c>
      <c r="O310" t="s">
        <v>74</v>
      </c>
      <c r="P310" t="s">
        <v>74</v>
      </c>
      <c r="Q310" t="s">
        <v>74</v>
      </c>
      <c r="R310" t="s">
        <v>74</v>
      </c>
      <c r="S310" t="s">
        <v>74</v>
      </c>
      <c r="T310" t="s">
        <v>74</v>
      </c>
      <c r="U310" t="s">
        <v>6246</v>
      </c>
      <c r="V310" t="s">
        <v>6247</v>
      </c>
      <c r="W310" t="s">
        <v>6248</v>
      </c>
      <c r="X310" t="s">
        <v>6249</v>
      </c>
      <c r="Y310" t="s">
        <v>6250</v>
      </c>
      <c r="Z310" t="s">
        <v>6251</v>
      </c>
      <c r="AA310" t="s">
        <v>6252</v>
      </c>
      <c r="AB310" t="s">
        <v>6253</v>
      </c>
      <c r="AC310" t="s">
        <v>6254</v>
      </c>
      <c r="AD310" t="s">
        <v>6255</v>
      </c>
      <c r="AE310" t="s">
        <v>6256</v>
      </c>
      <c r="AF310" t="s">
        <v>74</v>
      </c>
      <c r="AG310">
        <v>75</v>
      </c>
      <c r="AH310">
        <v>13</v>
      </c>
      <c r="AI310">
        <v>16</v>
      </c>
      <c r="AJ310">
        <v>0</v>
      </c>
      <c r="AK310">
        <v>3</v>
      </c>
      <c r="AL310" t="s">
        <v>741</v>
      </c>
      <c r="AM310" t="s">
        <v>550</v>
      </c>
      <c r="AN310" t="s">
        <v>742</v>
      </c>
      <c r="AO310" t="s">
        <v>6257</v>
      </c>
      <c r="AP310" t="s">
        <v>6258</v>
      </c>
      <c r="AQ310" t="s">
        <v>74</v>
      </c>
      <c r="AR310" t="s">
        <v>6259</v>
      </c>
      <c r="AS310" t="s">
        <v>6260</v>
      </c>
      <c r="AT310" t="s">
        <v>6261</v>
      </c>
      <c r="AU310">
        <v>2015</v>
      </c>
      <c r="AV310">
        <v>89</v>
      </c>
      <c r="AW310">
        <v>5</v>
      </c>
      <c r="AX310" t="s">
        <v>74</v>
      </c>
      <c r="AY310" t="s">
        <v>74</v>
      </c>
      <c r="AZ310" t="s">
        <v>74</v>
      </c>
      <c r="BA310" t="s">
        <v>74</v>
      </c>
      <c r="BB310">
        <v>870</v>
      </c>
      <c r="BC310">
        <v>881</v>
      </c>
      <c r="BD310" t="s">
        <v>74</v>
      </c>
      <c r="BE310" t="s">
        <v>6262</v>
      </c>
      <c r="BF310" t="str">
        <f>HYPERLINK("http://dx.doi.org/10.1017/jpa.2015.48","http://dx.doi.org/10.1017/jpa.2015.48")</f>
        <v>http://dx.doi.org/10.1017/jpa.2015.48</v>
      </c>
      <c r="BG310" t="s">
        <v>74</v>
      </c>
      <c r="BH310" t="s">
        <v>74</v>
      </c>
      <c r="BI310">
        <v>12</v>
      </c>
      <c r="BJ310" t="s">
        <v>2149</v>
      </c>
      <c r="BK310" t="s">
        <v>101</v>
      </c>
      <c r="BL310" t="s">
        <v>2149</v>
      </c>
      <c r="BM310" t="s">
        <v>6263</v>
      </c>
      <c r="BN310" t="s">
        <v>74</v>
      </c>
      <c r="BO310" t="s">
        <v>1213</v>
      </c>
      <c r="BP310" t="s">
        <v>74</v>
      </c>
      <c r="BQ310" t="s">
        <v>74</v>
      </c>
      <c r="BR310" t="s">
        <v>103</v>
      </c>
      <c r="BS310" t="s">
        <v>6264</v>
      </c>
      <c r="BT310" t="str">
        <f>HYPERLINK("https%3A%2F%2Fwww.webofscience.com%2Fwos%2Fwoscc%2Ffull-record%2FWOS:000376768000010","View Full Record in Web of Science")</f>
        <v>View Full Record in Web of Science</v>
      </c>
    </row>
    <row r="311" spans="1:72" x14ac:dyDescent="0.15">
      <c r="A311" t="s">
        <v>72</v>
      </c>
      <c r="B311" t="s">
        <v>6265</v>
      </c>
      <c r="C311" t="s">
        <v>74</v>
      </c>
      <c r="D311" t="s">
        <v>74</v>
      </c>
      <c r="E311" t="s">
        <v>74</v>
      </c>
      <c r="F311" t="s">
        <v>6266</v>
      </c>
      <c r="G311" t="s">
        <v>74</v>
      </c>
      <c r="H311" t="s">
        <v>74</v>
      </c>
      <c r="I311" t="s">
        <v>6267</v>
      </c>
      <c r="J311" t="s">
        <v>6268</v>
      </c>
      <c r="K311" t="s">
        <v>74</v>
      </c>
      <c r="L311" t="s">
        <v>74</v>
      </c>
      <c r="M311" t="s">
        <v>78</v>
      </c>
      <c r="N311" t="s">
        <v>79</v>
      </c>
      <c r="O311" t="s">
        <v>74</v>
      </c>
      <c r="P311" t="s">
        <v>74</v>
      </c>
      <c r="Q311" t="s">
        <v>74</v>
      </c>
      <c r="R311" t="s">
        <v>74</v>
      </c>
      <c r="S311" t="s">
        <v>74</v>
      </c>
      <c r="T311" t="s">
        <v>6269</v>
      </c>
      <c r="U311" t="s">
        <v>6270</v>
      </c>
      <c r="V311" t="s">
        <v>6271</v>
      </c>
      <c r="W311" t="s">
        <v>6272</v>
      </c>
      <c r="X311" t="s">
        <v>6273</v>
      </c>
      <c r="Y311" t="s">
        <v>6274</v>
      </c>
      <c r="Z311" t="s">
        <v>6275</v>
      </c>
      <c r="AA311" t="s">
        <v>6276</v>
      </c>
      <c r="AB311" t="s">
        <v>6277</v>
      </c>
      <c r="AC311" t="s">
        <v>74</v>
      </c>
      <c r="AD311" t="s">
        <v>74</v>
      </c>
      <c r="AE311" t="s">
        <v>74</v>
      </c>
      <c r="AF311" t="s">
        <v>74</v>
      </c>
      <c r="AG311">
        <v>16</v>
      </c>
      <c r="AH311">
        <v>0</v>
      </c>
      <c r="AI311">
        <v>1</v>
      </c>
      <c r="AJ311">
        <v>0</v>
      </c>
      <c r="AK311">
        <v>2</v>
      </c>
      <c r="AL311" t="s">
        <v>6278</v>
      </c>
      <c r="AM311" t="s">
        <v>6279</v>
      </c>
      <c r="AN311" t="s">
        <v>6280</v>
      </c>
      <c r="AO311" t="s">
        <v>6281</v>
      </c>
      <c r="AP311" t="s">
        <v>74</v>
      </c>
      <c r="AQ311" t="s">
        <v>74</v>
      </c>
      <c r="AR311" t="s">
        <v>6282</v>
      </c>
      <c r="AS311" t="s">
        <v>6283</v>
      </c>
      <c r="AT311" t="s">
        <v>6261</v>
      </c>
      <c r="AU311">
        <v>2015</v>
      </c>
      <c r="AV311">
        <v>2</v>
      </c>
      <c r="AW311">
        <v>9</v>
      </c>
      <c r="AX311" t="s">
        <v>74</v>
      </c>
      <c r="AY311" t="s">
        <v>74</v>
      </c>
      <c r="AZ311" t="s">
        <v>74</v>
      </c>
      <c r="BA311" t="s">
        <v>74</v>
      </c>
      <c r="BB311">
        <v>354</v>
      </c>
      <c r="BC311">
        <v>358</v>
      </c>
      <c r="BD311" t="s">
        <v>74</v>
      </c>
      <c r="BE311" t="s">
        <v>6284</v>
      </c>
      <c r="BF311" t="str">
        <f>HYPERLINK("http://dx.doi.org/10.7603/s40730-015-0021-1","http://dx.doi.org/10.7603/s40730-015-0021-1")</f>
        <v>http://dx.doi.org/10.7603/s40730-015-0021-1</v>
      </c>
      <c r="BG311" t="s">
        <v>74</v>
      </c>
      <c r="BH311" t="s">
        <v>74</v>
      </c>
      <c r="BI311">
        <v>5</v>
      </c>
      <c r="BJ311" t="s">
        <v>6285</v>
      </c>
      <c r="BK311" t="s">
        <v>831</v>
      </c>
      <c r="BL311" t="s">
        <v>6286</v>
      </c>
      <c r="BM311" t="s">
        <v>6287</v>
      </c>
      <c r="BN311" t="s">
        <v>74</v>
      </c>
      <c r="BO311" t="s">
        <v>74</v>
      </c>
      <c r="BP311" t="s">
        <v>74</v>
      </c>
      <c r="BQ311" t="s">
        <v>74</v>
      </c>
      <c r="BR311" t="s">
        <v>103</v>
      </c>
      <c r="BS311" t="s">
        <v>6288</v>
      </c>
      <c r="BT311" t="str">
        <f>HYPERLINK("https%3A%2F%2Fwww.webofscience.com%2Fwos%2Fwoscc%2Ffull-record%2FWOS:000371666400001","View Full Record in Web of Science")</f>
        <v>View Full Record in Web of Science</v>
      </c>
    </row>
    <row r="312" spans="1:72" x14ac:dyDescent="0.15">
      <c r="A312" t="s">
        <v>72</v>
      </c>
      <c r="B312" t="s">
        <v>6289</v>
      </c>
      <c r="C312" t="s">
        <v>74</v>
      </c>
      <c r="D312" t="s">
        <v>74</v>
      </c>
      <c r="E312" t="s">
        <v>74</v>
      </c>
      <c r="F312" t="s">
        <v>6290</v>
      </c>
      <c r="G312" t="s">
        <v>74</v>
      </c>
      <c r="H312" t="s">
        <v>74</v>
      </c>
      <c r="I312" t="s">
        <v>6291</v>
      </c>
      <c r="J312" t="s">
        <v>6292</v>
      </c>
      <c r="K312" t="s">
        <v>74</v>
      </c>
      <c r="L312" t="s">
        <v>74</v>
      </c>
      <c r="M312" t="s">
        <v>2204</v>
      </c>
      <c r="N312" t="s">
        <v>79</v>
      </c>
      <c r="O312" t="s">
        <v>74</v>
      </c>
      <c r="P312" t="s">
        <v>74</v>
      </c>
      <c r="Q312" t="s">
        <v>74</v>
      </c>
      <c r="R312" t="s">
        <v>74</v>
      </c>
      <c r="S312" t="s">
        <v>74</v>
      </c>
      <c r="T312" t="s">
        <v>6293</v>
      </c>
      <c r="U312" t="s">
        <v>6294</v>
      </c>
      <c r="V312" t="s">
        <v>6295</v>
      </c>
      <c r="W312" t="s">
        <v>6296</v>
      </c>
      <c r="X312" t="s">
        <v>6297</v>
      </c>
      <c r="Y312" t="s">
        <v>6298</v>
      </c>
      <c r="Z312" t="s">
        <v>6299</v>
      </c>
      <c r="AA312" t="s">
        <v>74</v>
      </c>
      <c r="AB312" t="s">
        <v>74</v>
      </c>
      <c r="AC312" t="s">
        <v>74</v>
      </c>
      <c r="AD312" t="s">
        <v>74</v>
      </c>
      <c r="AE312" t="s">
        <v>74</v>
      </c>
      <c r="AF312" t="s">
        <v>74</v>
      </c>
      <c r="AG312">
        <v>76</v>
      </c>
      <c r="AH312">
        <v>8</v>
      </c>
      <c r="AI312">
        <v>9</v>
      </c>
      <c r="AJ312">
        <v>0</v>
      </c>
      <c r="AK312">
        <v>4</v>
      </c>
      <c r="AL312" t="s">
        <v>6300</v>
      </c>
      <c r="AM312" t="s">
        <v>6301</v>
      </c>
      <c r="AN312" t="s">
        <v>6302</v>
      </c>
      <c r="AO312" t="s">
        <v>6303</v>
      </c>
      <c r="AP312" t="s">
        <v>6304</v>
      </c>
      <c r="AQ312" t="s">
        <v>74</v>
      </c>
      <c r="AR312" t="s">
        <v>6305</v>
      </c>
      <c r="AS312" t="s">
        <v>6306</v>
      </c>
      <c r="AT312" t="s">
        <v>6307</v>
      </c>
      <c r="AU312">
        <v>2015</v>
      </c>
      <c r="AV312">
        <v>18</v>
      </c>
      <c r="AW312">
        <v>3</v>
      </c>
      <c r="AX312" t="s">
        <v>74</v>
      </c>
      <c r="AY312" t="s">
        <v>74</v>
      </c>
      <c r="AZ312" t="s">
        <v>74</v>
      </c>
      <c r="BA312" t="s">
        <v>74</v>
      </c>
      <c r="BB312">
        <v>429</v>
      </c>
      <c r="BC312">
        <v>442</v>
      </c>
      <c r="BD312" t="s">
        <v>74</v>
      </c>
      <c r="BE312" t="s">
        <v>6308</v>
      </c>
      <c r="BF312" t="str">
        <f>HYPERLINK("http://dx.doi.org/10.4072/rbp.2015.3.08","http://dx.doi.org/10.4072/rbp.2015.3.08")</f>
        <v>http://dx.doi.org/10.4072/rbp.2015.3.08</v>
      </c>
      <c r="BG312" t="s">
        <v>74</v>
      </c>
      <c r="BH312" t="s">
        <v>74</v>
      </c>
      <c r="BI312">
        <v>14</v>
      </c>
      <c r="BJ312" t="s">
        <v>2149</v>
      </c>
      <c r="BK312" t="s">
        <v>101</v>
      </c>
      <c r="BL312" t="s">
        <v>2149</v>
      </c>
      <c r="BM312" t="s">
        <v>6309</v>
      </c>
      <c r="BN312" t="s">
        <v>74</v>
      </c>
      <c r="BO312" t="s">
        <v>908</v>
      </c>
      <c r="BP312" t="s">
        <v>74</v>
      </c>
      <c r="BQ312" t="s">
        <v>74</v>
      </c>
      <c r="BR312" t="s">
        <v>103</v>
      </c>
      <c r="BS312" t="s">
        <v>6310</v>
      </c>
      <c r="BT312" t="str">
        <f>HYPERLINK("https%3A%2F%2Fwww.webofscience.com%2Fwos%2Fwoscc%2Ffull-record%2FWOS:000369122000008","View Full Record in Web of Science")</f>
        <v>View Full Record in Web of Science</v>
      </c>
    </row>
    <row r="313" spans="1:72" x14ac:dyDescent="0.15">
      <c r="A313" t="s">
        <v>72</v>
      </c>
      <c r="B313" t="s">
        <v>6311</v>
      </c>
      <c r="C313" t="s">
        <v>74</v>
      </c>
      <c r="D313" t="s">
        <v>74</v>
      </c>
      <c r="E313" t="s">
        <v>74</v>
      </c>
      <c r="F313" t="s">
        <v>6312</v>
      </c>
      <c r="G313" t="s">
        <v>74</v>
      </c>
      <c r="H313" t="s">
        <v>74</v>
      </c>
      <c r="I313" t="s">
        <v>6313</v>
      </c>
      <c r="J313" t="s">
        <v>6314</v>
      </c>
      <c r="K313" t="s">
        <v>74</v>
      </c>
      <c r="L313" t="s">
        <v>74</v>
      </c>
      <c r="M313" t="s">
        <v>78</v>
      </c>
      <c r="N313" t="s">
        <v>79</v>
      </c>
      <c r="O313" t="s">
        <v>74</v>
      </c>
      <c r="P313" t="s">
        <v>74</v>
      </c>
      <c r="Q313" t="s">
        <v>74</v>
      </c>
      <c r="R313" t="s">
        <v>74</v>
      </c>
      <c r="S313" t="s">
        <v>74</v>
      </c>
      <c r="T313" t="s">
        <v>6315</v>
      </c>
      <c r="U313" t="s">
        <v>6316</v>
      </c>
      <c r="V313" t="s">
        <v>6317</v>
      </c>
      <c r="W313" t="s">
        <v>6318</v>
      </c>
      <c r="X313" t="s">
        <v>6319</v>
      </c>
      <c r="Y313" t="s">
        <v>6320</v>
      </c>
      <c r="Z313" t="s">
        <v>6321</v>
      </c>
      <c r="AA313" t="s">
        <v>6322</v>
      </c>
      <c r="AB313" t="s">
        <v>6323</v>
      </c>
      <c r="AC313" t="s">
        <v>6324</v>
      </c>
      <c r="AD313" t="s">
        <v>6324</v>
      </c>
      <c r="AE313" t="s">
        <v>6325</v>
      </c>
      <c r="AF313" t="s">
        <v>74</v>
      </c>
      <c r="AG313">
        <v>48</v>
      </c>
      <c r="AH313">
        <v>14</v>
      </c>
      <c r="AI313">
        <v>14</v>
      </c>
      <c r="AJ313">
        <v>0</v>
      </c>
      <c r="AK313">
        <v>20</v>
      </c>
      <c r="AL313" t="s">
        <v>2279</v>
      </c>
      <c r="AM313" t="s">
        <v>398</v>
      </c>
      <c r="AN313" t="s">
        <v>2280</v>
      </c>
      <c r="AO313" t="s">
        <v>6326</v>
      </c>
      <c r="AP313" t="s">
        <v>6327</v>
      </c>
      <c r="AQ313" t="s">
        <v>74</v>
      </c>
      <c r="AR313" t="s">
        <v>6328</v>
      </c>
      <c r="AS313" t="s">
        <v>6329</v>
      </c>
      <c r="AT313" t="s">
        <v>6330</v>
      </c>
      <c r="AU313">
        <v>2015</v>
      </c>
      <c r="AV313">
        <v>72</v>
      </c>
      <c r="AW313">
        <v>8</v>
      </c>
      <c r="AX313" t="s">
        <v>74</v>
      </c>
      <c r="AY313" t="s">
        <v>74</v>
      </c>
      <c r="AZ313" t="s">
        <v>74</v>
      </c>
      <c r="BA313" t="s">
        <v>74</v>
      </c>
      <c r="BB313">
        <v>2234</v>
      </c>
      <c r="BC313">
        <v>2244</v>
      </c>
      <c r="BD313" t="s">
        <v>74</v>
      </c>
      <c r="BE313" t="s">
        <v>6331</v>
      </c>
      <c r="BF313" t="str">
        <f>HYPERLINK("http://dx.doi.org/10.1093/icesjms/fsv079","http://dx.doi.org/10.1093/icesjms/fsv079")</f>
        <v>http://dx.doi.org/10.1093/icesjms/fsv079</v>
      </c>
      <c r="BG313" t="s">
        <v>74</v>
      </c>
      <c r="BH313" t="s">
        <v>74</v>
      </c>
      <c r="BI313">
        <v>11</v>
      </c>
      <c r="BJ313" t="s">
        <v>2128</v>
      </c>
      <c r="BK313" t="s">
        <v>101</v>
      </c>
      <c r="BL313" t="s">
        <v>2128</v>
      </c>
      <c r="BM313" t="s">
        <v>6332</v>
      </c>
      <c r="BN313" t="s">
        <v>74</v>
      </c>
      <c r="BO313" t="s">
        <v>162</v>
      </c>
      <c r="BP313" t="s">
        <v>74</v>
      </c>
      <c r="BQ313" t="s">
        <v>74</v>
      </c>
      <c r="BR313" t="s">
        <v>103</v>
      </c>
      <c r="BS313" t="s">
        <v>6333</v>
      </c>
      <c r="BT313" t="str">
        <f>HYPERLINK("https%3A%2F%2Fwww.webofscience.com%2Fwos%2Fwoscc%2Ffull-record%2FWOS:000368251600007","View Full Record in Web of Science")</f>
        <v>View Full Record in Web of Science</v>
      </c>
    </row>
    <row r="314" spans="1:72" x14ac:dyDescent="0.15">
      <c r="A314" t="s">
        <v>72</v>
      </c>
      <c r="B314" t="s">
        <v>6334</v>
      </c>
      <c r="C314" t="s">
        <v>74</v>
      </c>
      <c r="D314" t="s">
        <v>74</v>
      </c>
      <c r="E314" t="s">
        <v>74</v>
      </c>
      <c r="F314" t="s">
        <v>6335</v>
      </c>
      <c r="G314" t="s">
        <v>74</v>
      </c>
      <c r="H314" t="s">
        <v>74</v>
      </c>
      <c r="I314" t="s">
        <v>6336</v>
      </c>
      <c r="J314" t="s">
        <v>6314</v>
      </c>
      <c r="K314" t="s">
        <v>74</v>
      </c>
      <c r="L314" t="s">
        <v>74</v>
      </c>
      <c r="M314" t="s">
        <v>78</v>
      </c>
      <c r="N314" t="s">
        <v>79</v>
      </c>
      <c r="O314" t="s">
        <v>74</v>
      </c>
      <c r="P314" t="s">
        <v>74</v>
      </c>
      <c r="Q314" t="s">
        <v>74</v>
      </c>
      <c r="R314" t="s">
        <v>74</v>
      </c>
      <c r="S314" t="s">
        <v>74</v>
      </c>
      <c r="T314" t="s">
        <v>6337</v>
      </c>
      <c r="U314" t="s">
        <v>6338</v>
      </c>
      <c r="V314" t="s">
        <v>6339</v>
      </c>
      <c r="W314" t="s">
        <v>6340</v>
      </c>
      <c r="X314" t="s">
        <v>6341</v>
      </c>
      <c r="Y314" t="s">
        <v>6342</v>
      </c>
      <c r="Z314" t="s">
        <v>6343</v>
      </c>
      <c r="AA314" t="s">
        <v>6344</v>
      </c>
      <c r="AB314" t="s">
        <v>6345</v>
      </c>
      <c r="AC314" t="s">
        <v>6346</v>
      </c>
      <c r="AD314" t="s">
        <v>6347</v>
      </c>
      <c r="AE314" t="s">
        <v>6348</v>
      </c>
      <c r="AF314" t="s">
        <v>74</v>
      </c>
      <c r="AG314">
        <v>76</v>
      </c>
      <c r="AH314">
        <v>3</v>
      </c>
      <c r="AI314">
        <v>3</v>
      </c>
      <c r="AJ314">
        <v>1</v>
      </c>
      <c r="AK314">
        <v>27</v>
      </c>
      <c r="AL314" t="s">
        <v>2279</v>
      </c>
      <c r="AM314" t="s">
        <v>398</v>
      </c>
      <c r="AN314" t="s">
        <v>2280</v>
      </c>
      <c r="AO314" t="s">
        <v>6326</v>
      </c>
      <c r="AP314" t="s">
        <v>6327</v>
      </c>
      <c r="AQ314" t="s">
        <v>74</v>
      </c>
      <c r="AR314" t="s">
        <v>6328</v>
      </c>
      <c r="AS314" t="s">
        <v>6329</v>
      </c>
      <c r="AT314" t="s">
        <v>6330</v>
      </c>
      <c r="AU314">
        <v>2015</v>
      </c>
      <c r="AV314">
        <v>72</v>
      </c>
      <c r="AW314">
        <v>8</v>
      </c>
      <c r="AX314" t="s">
        <v>74</v>
      </c>
      <c r="AY314" t="s">
        <v>74</v>
      </c>
      <c r="AZ314" t="s">
        <v>74</v>
      </c>
      <c r="BA314" t="s">
        <v>74</v>
      </c>
      <c r="BB314">
        <v>2322</v>
      </c>
      <c r="BC314">
        <v>2331</v>
      </c>
      <c r="BD314" t="s">
        <v>74</v>
      </c>
      <c r="BE314" t="s">
        <v>6349</v>
      </c>
      <c r="BF314" t="str">
        <f>HYPERLINK("http://dx.doi.org/10.1093/icesjms/fsv095","http://dx.doi.org/10.1093/icesjms/fsv095")</f>
        <v>http://dx.doi.org/10.1093/icesjms/fsv095</v>
      </c>
      <c r="BG314" t="s">
        <v>74</v>
      </c>
      <c r="BH314" t="s">
        <v>74</v>
      </c>
      <c r="BI314">
        <v>10</v>
      </c>
      <c r="BJ314" t="s">
        <v>2128</v>
      </c>
      <c r="BK314" t="s">
        <v>101</v>
      </c>
      <c r="BL314" t="s">
        <v>2128</v>
      </c>
      <c r="BM314" t="s">
        <v>6332</v>
      </c>
      <c r="BN314" t="s">
        <v>74</v>
      </c>
      <c r="BO314" t="s">
        <v>74</v>
      </c>
      <c r="BP314" t="s">
        <v>74</v>
      </c>
      <c r="BQ314" t="s">
        <v>74</v>
      </c>
      <c r="BR314" t="s">
        <v>103</v>
      </c>
      <c r="BS314" t="s">
        <v>6350</v>
      </c>
      <c r="BT314" t="str">
        <f>HYPERLINK("https%3A%2F%2Fwww.webofscience.com%2Fwos%2Fwoscc%2Ffull-record%2FWOS:000368251600015","View Full Record in Web of Science")</f>
        <v>View Full Record in Web of Science</v>
      </c>
    </row>
    <row r="315" spans="1:72" x14ac:dyDescent="0.15">
      <c r="A315" t="s">
        <v>72</v>
      </c>
      <c r="B315" t="s">
        <v>6351</v>
      </c>
      <c r="C315" t="s">
        <v>74</v>
      </c>
      <c r="D315" t="s">
        <v>74</v>
      </c>
      <c r="E315" t="s">
        <v>74</v>
      </c>
      <c r="F315" t="s">
        <v>6352</v>
      </c>
      <c r="G315" t="s">
        <v>74</v>
      </c>
      <c r="H315" t="s">
        <v>74</v>
      </c>
      <c r="I315" t="s">
        <v>6353</v>
      </c>
      <c r="J315" t="s">
        <v>6354</v>
      </c>
      <c r="K315" t="s">
        <v>74</v>
      </c>
      <c r="L315" t="s">
        <v>74</v>
      </c>
      <c r="M315" t="s">
        <v>78</v>
      </c>
      <c r="N315" t="s">
        <v>1612</v>
      </c>
      <c r="O315" t="s">
        <v>6355</v>
      </c>
      <c r="P315" t="s">
        <v>6356</v>
      </c>
      <c r="Q315" t="s">
        <v>6357</v>
      </c>
      <c r="R315" t="s">
        <v>74</v>
      </c>
      <c r="S315" t="s">
        <v>74</v>
      </c>
      <c r="T315" t="s">
        <v>6358</v>
      </c>
      <c r="U315" t="s">
        <v>6359</v>
      </c>
      <c r="V315" t="s">
        <v>6360</v>
      </c>
      <c r="W315" t="s">
        <v>6361</v>
      </c>
      <c r="X315" t="s">
        <v>6362</v>
      </c>
      <c r="Y315" t="s">
        <v>6363</v>
      </c>
      <c r="Z315" t="s">
        <v>6364</v>
      </c>
      <c r="AA315" t="s">
        <v>6365</v>
      </c>
      <c r="AB315" t="s">
        <v>6366</v>
      </c>
      <c r="AC315" t="s">
        <v>6367</v>
      </c>
      <c r="AD315" t="s">
        <v>6368</v>
      </c>
      <c r="AE315" t="s">
        <v>6369</v>
      </c>
      <c r="AF315" t="s">
        <v>74</v>
      </c>
      <c r="AG315">
        <v>38</v>
      </c>
      <c r="AH315">
        <v>28</v>
      </c>
      <c r="AI315">
        <v>29</v>
      </c>
      <c r="AJ315">
        <v>0</v>
      </c>
      <c r="AK315">
        <v>7</v>
      </c>
      <c r="AL315" t="s">
        <v>4118</v>
      </c>
      <c r="AM315" t="s">
        <v>4119</v>
      </c>
      <c r="AN315" t="s">
        <v>4120</v>
      </c>
      <c r="AO315" t="s">
        <v>6370</v>
      </c>
      <c r="AP315" t="s">
        <v>6371</v>
      </c>
      <c r="AQ315" t="s">
        <v>74</v>
      </c>
      <c r="AR315" t="s">
        <v>6372</v>
      </c>
      <c r="AS315" t="s">
        <v>6373</v>
      </c>
      <c r="AT315" t="s">
        <v>6261</v>
      </c>
      <c r="AU315">
        <v>2015</v>
      </c>
      <c r="AV315">
        <v>8</v>
      </c>
      <c r="AW315">
        <v>9</v>
      </c>
      <c r="AX315" t="s">
        <v>74</v>
      </c>
      <c r="AY315" t="s">
        <v>74</v>
      </c>
      <c r="AZ315" t="s">
        <v>931</v>
      </c>
      <c r="BA315" t="s">
        <v>74</v>
      </c>
      <c r="BB315">
        <v>4405</v>
      </c>
      <c r="BC315">
        <v>4417</v>
      </c>
      <c r="BD315" t="s">
        <v>74</v>
      </c>
      <c r="BE315" t="s">
        <v>6374</v>
      </c>
      <c r="BF315" t="str">
        <f>HYPERLINK("http://dx.doi.org/10.1109/JSTARS.2015.2427512","http://dx.doi.org/10.1109/JSTARS.2015.2427512")</f>
        <v>http://dx.doi.org/10.1109/JSTARS.2015.2427512</v>
      </c>
      <c r="BG315" t="s">
        <v>74</v>
      </c>
      <c r="BH315" t="s">
        <v>74</v>
      </c>
      <c r="BI315">
        <v>13</v>
      </c>
      <c r="BJ315" t="s">
        <v>6375</v>
      </c>
      <c r="BK315" t="s">
        <v>1631</v>
      </c>
      <c r="BL315" t="s">
        <v>6376</v>
      </c>
      <c r="BM315" t="s">
        <v>6377</v>
      </c>
      <c r="BN315" t="s">
        <v>74</v>
      </c>
      <c r="BO315" t="s">
        <v>74</v>
      </c>
      <c r="BP315" t="s">
        <v>74</v>
      </c>
      <c r="BQ315" t="s">
        <v>74</v>
      </c>
      <c r="BR315" t="s">
        <v>103</v>
      </c>
      <c r="BS315" t="s">
        <v>6378</v>
      </c>
      <c r="BT315" t="str">
        <f>HYPERLINK("https%3A%2F%2Fwww.webofscience.com%2Fwos%2Fwoscc%2Ffull-record%2FWOS:000367323300018","View Full Record in Web of Science")</f>
        <v>View Full Record in Web of Science</v>
      </c>
    </row>
    <row r="316" spans="1:72" x14ac:dyDescent="0.15">
      <c r="A316" t="s">
        <v>72</v>
      </c>
      <c r="B316" t="s">
        <v>6379</v>
      </c>
      <c r="C316" t="s">
        <v>74</v>
      </c>
      <c r="D316" t="s">
        <v>74</v>
      </c>
      <c r="E316" t="s">
        <v>74</v>
      </c>
      <c r="F316" t="s">
        <v>6380</v>
      </c>
      <c r="G316" t="s">
        <v>74</v>
      </c>
      <c r="H316" t="s">
        <v>74</v>
      </c>
      <c r="I316" t="s">
        <v>6381</v>
      </c>
      <c r="J316" t="s">
        <v>6382</v>
      </c>
      <c r="K316" t="s">
        <v>74</v>
      </c>
      <c r="L316" t="s">
        <v>74</v>
      </c>
      <c r="M316" t="s">
        <v>78</v>
      </c>
      <c r="N316" t="s">
        <v>79</v>
      </c>
      <c r="O316" t="s">
        <v>74</v>
      </c>
      <c r="P316" t="s">
        <v>74</v>
      </c>
      <c r="Q316" t="s">
        <v>74</v>
      </c>
      <c r="R316" t="s">
        <v>74</v>
      </c>
      <c r="S316" t="s">
        <v>74</v>
      </c>
      <c r="T316" t="s">
        <v>6383</v>
      </c>
      <c r="U316" t="s">
        <v>6384</v>
      </c>
      <c r="V316" t="s">
        <v>6385</v>
      </c>
      <c r="W316" t="s">
        <v>6386</v>
      </c>
      <c r="X316" t="s">
        <v>6387</v>
      </c>
      <c r="Y316" t="s">
        <v>6388</v>
      </c>
      <c r="Z316" t="s">
        <v>74</v>
      </c>
      <c r="AA316" t="s">
        <v>3124</v>
      </c>
      <c r="AB316" t="s">
        <v>6389</v>
      </c>
      <c r="AC316" t="s">
        <v>6390</v>
      </c>
      <c r="AD316" t="s">
        <v>6391</v>
      </c>
      <c r="AE316" t="s">
        <v>6392</v>
      </c>
      <c r="AF316" t="s">
        <v>74</v>
      </c>
      <c r="AG316">
        <v>21</v>
      </c>
      <c r="AH316">
        <v>77</v>
      </c>
      <c r="AI316">
        <v>84</v>
      </c>
      <c r="AJ316">
        <v>0</v>
      </c>
      <c r="AK316">
        <v>50</v>
      </c>
      <c r="AL316" t="s">
        <v>2894</v>
      </c>
      <c r="AM316" t="s">
        <v>2895</v>
      </c>
      <c r="AN316" t="s">
        <v>2896</v>
      </c>
      <c r="AO316" t="s">
        <v>6393</v>
      </c>
      <c r="AP316" t="s">
        <v>74</v>
      </c>
      <c r="AQ316" t="s">
        <v>74</v>
      </c>
      <c r="AR316" t="s">
        <v>6394</v>
      </c>
      <c r="AS316" t="s">
        <v>6395</v>
      </c>
      <c r="AT316" t="s">
        <v>6261</v>
      </c>
      <c r="AU316">
        <v>2015</v>
      </c>
      <c r="AV316">
        <v>10</v>
      </c>
      <c r="AW316">
        <v>9</v>
      </c>
      <c r="AX316" t="s">
        <v>74</v>
      </c>
      <c r="AY316" t="s">
        <v>74</v>
      </c>
      <c r="AZ316" t="s">
        <v>74</v>
      </c>
      <c r="BA316" t="s">
        <v>74</v>
      </c>
      <c r="BB316" t="s">
        <v>74</v>
      </c>
      <c r="BC316" t="s">
        <v>74</v>
      </c>
      <c r="BD316">
        <v>94003</v>
      </c>
      <c r="BE316" t="s">
        <v>6396</v>
      </c>
      <c r="BF316" t="str">
        <f>HYPERLINK("http://dx.doi.org/10.1088/1748-9326/10/9/094003","http://dx.doi.org/10.1088/1748-9326/10/9/094003")</f>
        <v>http://dx.doi.org/10.1088/1748-9326/10/9/094003</v>
      </c>
      <c r="BG316" t="s">
        <v>74</v>
      </c>
      <c r="BH316" t="s">
        <v>74</v>
      </c>
      <c r="BI316">
        <v>8</v>
      </c>
      <c r="BJ316" t="s">
        <v>1837</v>
      </c>
      <c r="BK316" t="s">
        <v>101</v>
      </c>
      <c r="BL316" t="s">
        <v>1838</v>
      </c>
      <c r="BM316" t="s">
        <v>6397</v>
      </c>
      <c r="BN316" t="s">
        <v>74</v>
      </c>
      <c r="BO316" t="s">
        <v>1150</v>
      </c>
      <c r="BP316" t="s">
        <v>74</v>
      </c>
      <c r="BQ316" t="s">
        <v>74</v>
      </c>
      <c r="BR316" t="s">
        <v>103</v>
      </c>
      <c r="BS316" t="s">
        <v>6398</v>
      </c>
      <c r="BT316" t="str">
        <f>HYPERLINK("https%3A%2F%2Fwww.webofscience.com%2Fwos%2Fwoscc%2Ffull-record%2FWOS:000367141000006","View Full Record in Web of Science")</f>
        <v>View Full Record in Web of Science</v>
      </c>
    </row>
    <row r="317" spans="1:72" x14ac:dyDescent="0.15">
      <c r="A317" t="s">
        <v>72</v>
      </c>
      <c r="B317" t="s">
        <v>6399</v>
      </c>
      <c r="C317" t="s">
        <v>74</v>
      </c>
      <c r="D317" t="s">
        <v>74</v>
      </c>
      <c r="E317" t="s">
        <v>74</v>
      </c>
      <c r="F317" t="s">
        <v>6400</v>
      </c>
      <c r="G317" t="s">
        <v>74</v>
      </c>
      <c r="H317" t="s">
        <v>74</v>
      </c>
      <c r="I317" t="s">
        <v>6401</v>
      </c>
      <c r="J317" t="s">
        <v>6402</v>
      </c>
      <c r="K317" t="s">
        <v>74</v>
      </c>
      <c r="L317" t="s">
        <v>74</v>
      </c>
      <c r="M317" t="s">
        <v>78</v>
      </c>
      <c r="N317" t="s">
        <v>79</v>
      </c>
      <c r="O317" t="s">
        <v>74</v>
      </c>
      <c r="P317" t="s">
        <v>74</v>
      </c>
      <c r="Q317" t="s">
        <v>74</v>
      </c>
      <c r="R317" t="s">
        <v>74</v>
      </c>
      <c r="S317" t="s">
        <v>74</v>
      </c>
      <c r="T317" t="s">
        <v>74</v>
      </c>
      <c r="U317" t="s">
        <v>6403</v>
      </c>
      <c r="V317" t="s">
        <v>6404</v>
      </c>
      <c r="W317" t="s">
        <v>6405</v>
      </c>
      <c r="X317" t="s">
        <v>6406</v>
      </c>
      <c r="Y317" t="s">
        <v>6407</v>
      </c>
      <c r="Z317" t="s">
        <v>6408</v>
      </c>
      <c r="AA317" t="s">
        <v>6409</v>
      </c>
      <c r="AB317" t="s">
        <v>6410</v>
      </c>
      <c r="AC317" t="s">
        <v>6411</v>
      </c>
      <c r="AD317" t="s">
        <v>6412</v>
      </c>
      <c r="AE317" t="s">
        <v>6413</v>
      </c>
      <c r="AF317" t="s">
        <v>74</v>
      </c>
      <c r="AG317">
        <v>20</v>
      </c>
      <c r="AH317">
        <v>9</v>
      </c>
      <c r="AI317">
        <v>9</v>
      </c>
      <c r="AJ317">
        <v>0</v>
      </c>
      <c r="AK317">
        <v>4</v>
      </c>
      <c r="AL317" t="s">
        <v>306</v>
      </c>
      <c r="AM317" t="s">
        <v>307</v>
      </c>
      <c r="AN317" t="s">
        <v>308</v>
      </c>
      <c r="AO317" t="s">
        <v>6414</v>
      </c>
      <c r="AP317" t="s">
        <v>6415</v>
      </c>
      <c r="AQ317" t="s">
        <v>74</v>
      </c>
      <c r="AR317" t="s">
        <v>6416</v>
      </c>
      <c r="AS317" t="s">
        <v>6417</v>
      </c>
      <c r="AT317" t="s">
        <v>6261</v>
      </c>
      <c r="AU317">
        <v>2015</v>
      </c>
      <c r="AV317">
        <v>50</v>
      </c>
      <c r="AW317">
        <v>9</v>
      </c>
      <c r="AX317" t="s">
        <v>74</v>
      </c>
      <c r="AY317" t="s">
        <v>74</v>
      </c>
      <c r="AZ317" t="s">
        <v>74</v>
      </c>
      <c r="BA317" t="s">
        <v>74</v>
      </c>
      <c r="BB317">
        <v>916</v>
      </c>
      <c r="BC317">
        <v>930</v>
      </c>
      <c r="BD317" t="s">
        <v>74</v>
      </c>
      <c r="BE317" t="s">
        <v>6418</v>
      </c>
      <c r="BF317" t="str">
        <f>HYPERLINK("http://dx.doi.org/10.1002/2015RS005773","http://dx.doi.org/10.1002/2015RS005773")</f>
        <v>http://dx.doi.org/10.1002/2015RS005773</v>
      </c>
      <c r="BG317" t="s">
        <v>74</v>
      </c>
      <c r="BH317" t="s">
        <v>74</v>
      </c>
      <c r="BI317">
        <v>15</v>
      </c>
      <c r="BJ317" t="s">
        <v>6419</v>
      </c>
      <c r="BK317" t="s">
        <v>101</v>
      </c>
      <c r="BL317" t="s">
        <v>6419</v>
      </c>
      <c r="BM317" t="s">
        <v>6420</v>
      </c>
      <c r="BN317" t="s">
        <v>74</v>
      </c>
      <c r="BO317" t="s">
        <v>908</v>
      </c>
      <c r="BP317" t="s">
        <v>74</v>
      </c>
      <c r="BQ317" t="s">
        <v>74</v>
      </c>
      <c r="BR317" t="s">
        <v>103</v>
      </c>
      <c r="BS317" t="s">
        <v>6421</v>
      </c>
      <c r="BT317" t="str">
        <f>HYPERLINK("https%3A%2F%2Fwww.webofscience.com%2Fwos%2Fwoscc%2Ffull-record%2FWOS:000365120700006","View Full Record in Web of Science")</f>
        <v>View Full Record in Web of Science</v>
      </c>
    </row>
    <row r="318" spans="1:72" x14ac:dyDescent="0.15">
      <c r="A318" t="s">
        <v>72</v>
      </c>
      <c r="B318" t="s">
        <v>6422</v>
      </c>
      <c r="C318" t="s">
        <v>74</v>
      </c>
      <c r="D318" t="s">
        <v>74</v>
      </c>
      <c r="E318" t="s">
        <v>74</v>
      </c>
      <c r="F318" t="s">
        <v>6423</v>
      </c>
      <c r="G318" t="s">
        <v>74</v>
      </c>
      <c r="H318" t="s">
        <v>74</v>
      </c>
      <c r="I318" t="s">
        <v>6424</v>
      </c>
      <c r="J318" t="s">
        <v>6425</v>
      </c>
      <c r="K318" t="s">
        <v>74</v>
      </c>
      <c r="L318" t="s">
        <v>74</v>
      </c>
      <c r="M318" t="s">
        <v>78</v>
      </c>
      <c r="N318" t="s">
        <v>79</v>
      </c>
      <c r="O318" t="s">
        <v>74</v>
      </c>
      <c r="P318" t="s">
        <v>74</v>
      </c>
      <c r="Q318" t="s">
        <v>74</v>
      </c>
      <c r="R318" t="s">
        <v>74</v>
      </c>
      <c r="S318" t="s">
        <v>74</v>
      </c>
      <c r="T318" t="s">
        <v>6426</v>
      </c>
      <c r="U318" t="s">
        <v>6427</v>
      </c>
      <c r="V318" t="s">
        <v>6428</v>
      </c>
      <c r="W318" t="s">
        <v>6429</v>
      </c>
      <c r="X318" t="s">
        <v>6430</v>
      </c>
      <c r="Y318" t="s">
        <v>6431</v>
      </c>
      <c r="Z318" t="s">
        <v>6432</v>
      </c>
      <c r="AA318" t="s">
        <v>6433</v>
      </c>
      <c r="AB318" t="s">
        <v>6434</v>
      </c>
      <c r="AC318" t="s">
        <v>6435</v>
      </c>
      <c r="AD318" t="s">
        <v>6435</v>
      </c>
      <c r="AE318" t="s">
        <v>6436</v>
      </c>
      <c r="AF318" t="s">
        <v>74</v>
      </c>
      <c r="AG318">
        <v>15</v>
      </c>
      <c r="AH318">
        <v>15</v>
      </c>
      <c r="AI318">
        <v>15</v>
      </c>
      <c r="AJ318">
        <v>3</v>
      </c>
      <c r="AK318">
        <v>29</v>
      </c>
      <c r="AL318" t="s">
        <v>1321</v>
      </c>
      <c r="AM318" t="s">
        <v>180</v>
      </c>
      <c r="AN318" t="s">
        <v>1322</v>
      </c>
      <c r="AO318" t="s">
        <v>6437</v>
      </c>
      <c r="AP318" t="s">
        <v>6438</v>
      </c>
      <c r="AQ318" t="s">
        <v>74</v>
      </c>
      <c r="AR318" t="s">
        <v>6439</v>
      </c>
      <c r="AS318" t="s">
        <v>6440</v>
      </c>
      <c r="AT318" t="s">
        <v>6441</v>
      </c>
      <c r="AU318">
        <v>2015</v>
      </c>
      <c r="AV318">
        <v>11</v>
      </c>
      <c r="AW318">
        <v>9</v>
      </c>
      <c r="AX318" t="s">
        <v>74</v>
      </c>
      <c r="AY318" t="s">
        <v>74</v>
      </c>
      <c r="AZ318" t="s">
        <v>74</v>
      </c>
      <c r="BA318" t="s">
        <v>74</v>
      </c>
      <c r="BB318" t="s">
        <v>74</v>
      </c>
      <c r="BC318" t="s">
        <v>74</v>
      </c>
      <c r="BD318">
        <v>20150408</v>
      </c>
      <c r="BE318" t="s">
        <v>6442</v>
      </c>
      <c r="BF318" t="str">
        <f>HYPERLINK("http://dx.doi.org/10.1098/rsbl.2015.0408","http://dx.doi.org/10.1098/rsbl.2015.0408")</f>
        <v>http://dx.doi.org/10.1098/rsbl.2015.0408</v>
      </c>
      <c r="BG318" t="s">
        <v>74</v>
      </c>
      <c r="BH318" t="s">
        <v>74</v>
      </c>
      <c r="BI318">
        <v>5</v>
      </c>
      <c r="BJ318" t="s">
        <v>1329</v>
      </c>
      <c r="BK318" t="s">
        <v>101</v>
      </c>
      <c r="BL318" t="s">
        <v>1330</v>
      </c>
      <c r="BM318" t="s">
        <v>6443</v>
      </c>
      <c r="BN318">
        <v>26333663</v>
      </c>
      <c r="BO318" t="s">
        <v>4189</v>
      </c>
      <c r="BP318" t="s">
        <v>74</v>
      </c>
      <c r="BQ318" t="s">
        <v>74</v>
      </c>
      <c r="BR318" t="s">
        <v>103</v>
      </c>
      <c r="BS318" t="s">
        <v>6444</v>
      </c>
      <c r="BT318" t="str">
        <f>HYPERLINK("https%3A%2F%2Fwww.webofscience.com%2Fwos%2Fwoscc%2Ffull-record%2FWOS:000364772300004","View Full Record in Web of Science")</f>
        <v>View Full Record in Web of Science</v>
      </c>
    </row>
    <row r="319" spans="1:72" x14ac:dyDescent="0.15">
      <c r="A319" t="s">
        <v>72</v>
      </c>
      <c r="B319" t="s">
        <v>6445</v>
      </c>
      <c r="C319" t="s">
        <v>74</v>
      </c>
      <c r="D319" t="s">
        <v>74</v>
      </c>
      <c r="E319" t="s">
        <v>74</v>
      </c>
      <c r="F319" t="s">
        <v>6446</v>
      </c>
      <c r="G319" t="s">
        <v>74</v>
      </c>
      <c r="H319" t="s">
        <v>74</v>
      </c>
      <c r="I319" t="s">
        <v>6447</v>
      </c>
      <c r="J319" t="s">
        <v>6448</v>
      </c>
      <c r="K319" t="s">
        <v>74</v>
      </c>
      <c r="L319" t="s">
        <v>74</v>
      </c>
      <c r="M319" t="s">
        <v>78</v>
      </c>
      <c r="N319" t="s">
        <v>79</v>
      </c>
      <c r="O319" t="s">
        <v>74</v>
      </c>
      <c r="P319" t="s">
        <v>74</v>
      </c>
      <c r="Q319" t="s">
        <v>74</v>
      </c>
      <c r="R319" t="s">
        <v>74</v>
      </c>
      <c r="S319" t="s">
        <v>74</v>
      </c>
      <c r="T319" t="s">
        <v>6449</v>
      </c>
      <c r="U319" t="s">
        <v>6450</v>
      </c>
      <c r="V319" t="s">
        <v>6451</v>
      </c>
      <c r="W319" t="s">
        <v>6452</v>
      </c>
      <c r="X319" t="s">
        <v>6406</v>
      </c>
      <c r="Y319" t="s">
        <v>6453</v>
      </c>
      <c r="Z319" t="s">
        <v>6454</v>
      </c>
      <c r="AA319" t="s">
        <v>6455</v>
      </c>
      <c r="AB319" t="s">
        <v>6456</v>
      </c>
      <c r="AC319" t="s">
        <v>6457</v>
      </c>
      <c r="AD319" t="s">
        <v>6458</v>
      </c>
      <c r="AE319" t="s">
        <v>6459</v>
      </c>
      <c r="AF319" t="s">
        <v>74</v>
      </c>
      <c r="AG319">
        <v>20</v>
      </c>
      <c r="AH319">
        <v>15</v>
      </c>
      <c r="AI319">
        <v>15</v>
      </c>
      <c r="AJ319">
        <v>1</v>
      </c>
      <c r="AK319">
        <v>5</v>
      </c>
      <c r="AL319" t="s">
        <v>6460</v>
      </c>
      <c r="AM319" t="s">
        <v>3041</v>
      </c>
      <c r="AN319" t="s">
        <v>6461</v>
      </c>
      <c r="AO319" t="s">
        <v>6462</v>
      </c>
      <c r="AP319" t="s">
        <v>74</v>
      </c>
      <c r="AQ319" t="s">
        <v>74</v>
      </c>
      <c r="AR319" t="s">
        <v>6463</v>
      </c>
      <c r="AS319" t="s">
        <v>6464</v>
      </c>
      <c r="AT319" t="s">
        <v>6261</v>
      </c>
      <c r="AU319">
        <v>2015</v>
      </c>
      <c r="AV319">
        <v>7</v>
      </c>
      <c r="AW319">
        <v>9</v>
      </c>
      <c r="AX319" t="s">
        <v>74</v>
      </c>
      <c r="AY319" t="s">
        <v>74</v>
      </c>
      <c r="AZ319" t="s">
        <v>74</v>
      </c>
      <c r="BA319" t="s">
        <v>74</v>
      </c>
      <c r="BB319">
        <v>11712</v>
      </c>
      <c r="BC319">
        <v>11730</v>
      </c>
      <c r="BD319" t="s">
        <v>74</v>
      </c>
      <c r="BE319" t="s">
        <v>6465</v>
      </c>
      <c r="BF319" t="str">
        <f>HYPERLINK("http://dx.doi.org/10.3390/rs70911712","http://dx.doi.org/10.3390/rs70911712")</f>
        <v>http://dx.doi.org/10.3390/rs70911712</v>
      </c>
      <c r="BG319" t="s">
        <v>74</v>
      </c>
      <c r="BH319" t="s">
        <v>74</v>
      </c>
      <c r="BI319">
        <v>19</v>
      </c>
      <c r="BJ319" t="s">
        <v>6466</v>
      </c>
      <c r="BK319" t="s">
        <v>101</v>
      </c>
      <c r="BL319" t="s">
        <v>6467</v>
      </c>
      <c r="BM319" t="s">
        <v>6468</v>
      </c>
      <c r="BN319" t="s">
        <v>74</v>
      </c>
      <c r="BO319" t="s">
        <v>1262</v>
      </c>
      <c r="BP319" t="s">
        <v>74</v>
      </c>
      <c r="BQ319" t="s">
        <v>74</v>
      </c>
      <c r="BR319" t="s">
        <v>103</v>
      </c>
      <c r="BS319" t="s">
        <v>6469</v>
      </c>
      <c r="BT319" t="str">
        <f>HYPERLINK("https%3A%2F%2Fwww.webofscience.com%2Fwos%2Fwoscc%2Ffull-record%2FWOS:000362511400035","View Full Record in Web of Science")</f>
        <v>View Full Record in Web of Science</v>
      </c>
    </row>
    <row r="320" spans="1:72" x14ac:dyDescent="0.15">
      <c r="A320" t="s">
        <v>72</v>
      </c>
      <c r="B320" t="s">
        <v>6470</v>
      </c>
      <c r="C320" t="s">
        <v>74</v>
      </c>
      <c r="D320" t="s">
        <v>74</v>
      </c>
      <c r="E320" t="s">
        <v>74</v>
      </c>
      <c r="F320" t="s">
        <v>6471</v>
      </c>
      <c r="G320" t="s">
        <v>74</v>
      </c>
      <c r="H320" t="s">
        <v>74</v>
      </c>
      <c r="I320" t="s">
        <v>6472</v>
      </c>
      <c r="J320" t="s">
        <v>4042</v>
      </c>
      <c r="K320" t="s">
        <v>74</v>
      </c>
      <c r="L320" t="s">
        <v>74</v>
      </c>
      <c r="M320" t="s">
        <v>78</v>
      </c>
      <c r="N320" t="s">
        <v>79</v>
      </c>
      <c r="O320" t="s">
        <v>74</v>
      </c>
      <c r="P320" t="s">
        <v>74</v>
      </c>
      <c r="Q320" t="s">
        <v>74</v>
      </c>
      <c r="R320" t="s">
        <v>74</v>
      </c>
      <c r="S320" t="s">
        <v>74</v>
      </c>
      <c r="T320" t="s">
        <v>6473</v>
      </c>
      <c r="U320" t="s">
        <v>6474</v>
      </c>
      <c r="V320" t="s">
        <v>6475</v>
      </c>
      <c r="W320" t="s">
        <v>6476</v>
      </c>
      <c r="X320" t="s">
        <v>6477</v>
      </c>
      <c r="Y320" t="s">
        <v>6478</v>
      </c>
      <c r="Z320" t="s">
        <v>6479</v>
      </c>
      <c r="AA320" t="s">
        <v>6480</v>
      </c>
      <c r="AB320" t="s">
        <v>6481</v>
      </c>
      <c r="AC320" t="s">
        <v>6482</v>
      </c>
      <c r="AD320" t="s">
        <v>6483</v>
      </c>
      <c r="AE320" t="s">
        <v>6484</v>
      </c>
      <c r="AF320" t="s">
        <v>74</v>
      </c>
      <c r="AG320">
        <v>79</v>
      </c>
      <c r="AH320">
        <v>29</v>
      </c>
      <c r="AI320">
        <v>33</v>
      </c>
      <c r="AJ320">
        <v>3</v>
      </c>
      <c r="AK320">
        <v>43</v>
      </c>
      <c r="AL320" t="s">
        <v>306</v>
      </c>
      <c r="AM320" t="s">
        <v>307</v>
      </c>
      <c r="AN320" t="s">
        <v>308</v>
      </c>
      <c r="AO320" t="s">
        <v>4054</v>
      </c>
      <c r="AP320" t="s">
        <v>4055</v>
      </c>
      <c r="AQ320" t="s">
        <v>74</v>
      </c>
      <c r="AR320" t="s">
        <v>4056</v>
      </c>
      <c r="AS320" t="s">
        <v>4057</v>
      </c>
      <c r="AT320" t="s">
        <v>6261</v>
      </c>
      <c r="AU320">
        <v>2015</v>
      </c>
      <c r="AV320">
        <v>29</v>
      </c>
      <c r="AW320">
        <v>9</v>
      </c>
      <c r="AX320" t="s">
        <v>74</v>
      </c>
      <c r="AY320" t="s">
        <v>74</v>
      </c>
      <c r="AZ320" t="s">
        <v>74</v>
      </c>
      <c r="BA320" t="s">
        <v>74</v>
      </c>
      <c r="BB320">
        <v>1400</v>
      </c>
      <c r="BC320">
        <v>1420</v>
      </c>
      <c r="BD320" t="s">
        <v>74</v>
      </c>
      <c r="BE320" t="s">
        <v>6485</v>
      </c>
      <c r="BF320" t="str">
        <f>HYPERLINK("http://dx.doi.org/10.1002/2015GB005211","http://dx.doi.org/10.1002/2015GB005211")</f>
        <v>http://dx.doi.org/10.1002/2015GB005211</v>
      </c>
      <c r="BG320" t="s">
        <v>74</v>
      </c>
      <c r="BH320" t="s">
        <v>74</v>
      </c>
      <c r="BI320">
        <v>21</v>
      </c>
      <c r="BJ320" t="s">
        <v>2464</v>
      </c>
      <c r="BK320" t="s">
        <v>101</v>
      </c>
      <c r="BL320" t="s">
        <v>2465</v>
      </c>
      <c r="BM320" t="s">
        <v>6486</v>
      </c>
      <c r="BN320" t="s">
        <v>74</v>
      </c>
      <c r="BO320" t="s">
        <v>162</v>
      </c>
      <c r="BP320" t="s">
        <v>74</v>
      </c>
      <c r="BQ320" t="s">
        <v>74</v>
      </c>
      <c r="BR320" t="s">
        <v>103</v>
      </c>
      <c r="BS320" t="s">
        <v>6487</v>
      </c>
      <c r="BT320" t="str">
        <f>HYPERLINK("https%3A%2F%2Fwww.webofscience.com%2Fwos%2Fwoscc%2Ffull-record%2FWOS:000363703800005","View Full Record in Web of Science")</f>
        <v>View Full Record in Web of Science</v>
      </c>
    </row>
    <row r="321" spans="1:72" x14ac:dyDescent="0.15">
      <c r="A321" t="s">
        <v>72</v>
      </c>
      <c r="B321" t="s">
        <v>6488</v>
      </c>
      <c r="C321" t="s">
        <v>74</v>
      </c>
      <c r="D321" t="s">
        <v>74</v>
      </c>
      <c r="E321" t="s">
        <v>74</v>
      </c>
      <c r="F321" t="s">
        <v>6489</v>
      </c>
      <c r="G321" t="s">
        <v>74</v>
      </c>
      <c r="H321" t="s">
        <v>74</v>
      </c>
      <c r="I321" t="s">
        <v>6490</v>
      </c>
      <c r="J321" t="s">
        <v>4042</v>
      </c>
      <c r="K321" t="s">
        <v>74</v>
      </c>
      <c r="L321" t="s">
        <v>74</v>
      </c>
      <c r="M321" t="s">
        <v>78</v>
      </c>
      <c r="N321" t="s">
        <v>79</v>
      </c>
      <c r="O321" t="s">
        <v>74</v>
      </c>
      <c r="P321" t="s">
        <v>74</v>
      </c>
      <c r="Q321" t="s">
        <v>74</v>
      </c>
      <c r="R321" t="s">
        <v>74</v>
      </c>
      <c r="S321" t="s">
        <v>74</v>
      </c>
      <c r="T321" t="s">
        <v>6491</v>
      </c>
      <c r="U321" t="s">
        <v>6492</v>
      </c>
      <c r="V321" t="s">
        <v>6493</v>
      </c>
      <c r="W321" t="s">
        <v>6494</v>
      </c>
      <c r="X321" t="s">
        <v>6495</v>
      </c>
      <c r="Y321" t="s">
        <v>6496</v>
      </c>
      <c r="Z321" t="s">
        <v>6497</v>
      </c>
      <c r="AA321" t="s">
        <v>6498</v>
      </c>
      <c r="AB321" t="s">
        <v>6499</v>
      </c>
      <c r="AC321" t="s">
        <v>6500</v>
      </c>
      <c r="AD321" t="s">
        <v>6501</v>
      </c>
      <c r="AE321" t="s">
        <v>6502</v>
      </c>
      <c r="AF321" t="s">
        <v>74</v>
      </c>
      <c r="AG321">
        <v>79</v>
      </c>
      <c r="AH321">
        <v>24</v>
      </c>
      <c r="AI321">
        <v>24</v>
      </c>
      <c r="AJ321">
        <v>1</v>
      </c>
      <c r="AK321">
        <v>46</v>
      </c>
      <c r="AL321" t="s">
        <v>306</v>
      </c>
      <c r="AM321" t="s">
        <v>307</v>
      </c>
      <c r="AN321" t="s">
        <v>308</v>
      </c>
      <c r="AO321" t="s">
        <v>4054</v>
      </c>
      <c r="AP321" t="s">
        <v>4055</v>
      </c>
      <c r="AQ321" t="s">
        <v>74</v>
      </c>
      <c r="AR321" t="s">
        <v>4056</v>
      </c>
      <c r="AS321" t="s">
        <v>4057</v>
      </c>
      <c r="AT321" t="s">
        <v>6261</v>
      </c>
      <c r="AU321">
        <v>2015</v>
      </c>
      <c r="AV321">
        <v>29</v>
      </c>
      <c r="AW321">
        <v>9</v>
      </c>
      <c r="AX321" t="s">
        <v>74</v>
      </c>
      <c r="AY321" t="s">
        <v>74</v>
      </c>
      <c r="AZ321" t="s">
        <v>74</v>
      </c>
      <c r="BA321" t="s">
        <v>74</v>
      </c>
      <c r="BB321">
        <v>1495</v>
      </c>
      <c r="BC321">
        <v>1510</v>
      </c>
      <c r="BD321" t="s">
        <v>74</v>
      </c>
      <c r="BE321" t="s">
        <v>6503</v>
      </c>
      <c r="BF321" t="str">
        <f>HYPERLINK("http://dx.doi.org/10.1002/2015GB005180","http://dx.doi.org/10.1002/2015GB005180")</f>
        <v>http://dx.doi.org/10.1002/2015GB005180</v>
      </c>
      <c r="BG321" t="s">
        <v>74</v>
      </c>
      <c r="BH321" t="s">
        <v>74</v>
      </c>
      <c r="BI321">
        <v>16</v>
      </c>
      <c r="BJ321" t="s">
        <v>2464</v>
      </c>
      <c r="BK321" t="s">
        <v>101</v>
      </c>
      <c r="BL321" t="s">
        <v>2465</v>
      </c>
      <c r="BM321" t="s">
        <v>6486</v>
      </c>
      <c r="BN321" t="s">
        <v>74</v>
      </c>
      <c r="BO321" t="s">
        <v>6504</v>
      </c>
      <c r="BP321" t="s">
        <v>74</v>
      </c>
      <c r="BQ321" t="s">
        <v>74</v>
      </c>
      <c r="BR321" t="s">
        <v>103</v>
      </c>
      <c r="BS321" t="s">
        <v>6505</v>
      </c>
      <c r="BT321" t="str">
        <f>HYPERLINK("https%3A%2F%2Fwww.webofscience.com%2Fwos%2Fwoscc%2Ffull-record%2FWOS:000363703800010","View Full Record in Web of Science")</f>
        <v>View Full Record in Web of Science</v>
      </c>
    </row>
    <row r="322" spans="1:72" x14ac:dyDescent="0.15">
      <c r="A322" t="s">
        <v>72</v>
      </c>
      <c r="B322" t="s">
        <v>6506</v>
      </c>
      <c r="C322" t="s">
        <v>74</v>
      </c>
      <c r="D322" t="s">
        <v>74</v>
      </c>
      <c r="E322" t="s">
        <v>74</v>
      </c>
      <c r="F322" t="s">
        <v>6507</v>
      </c>
      <c r="G322" t="s">
        <v>74</v>
      </c>
      <c r="H322" t="s">
        <v>74</v>
      </c>
      <c r="I322" t="s">
        <v>6508</v>
      </c>
      <c r="J322" t="s">
        <v>6509</v>
      </c>
      <c r="K322" t="s">
        <v>74</v>
      </c>
      <c r="L322" t="s">
        <v>74</v>
      </c>
      <c r="M322" t="s">
        <v>78</v>
      </c>
      <c r="N322" t="s">
        <v>79</v>
      </c>
      <c r="O322" t="s">
        <v>74</v>
      </c>
      <c r="P322" t="s">
        <v>74</v>
      </c>
      <c r="Q322" t="s">
        <v>74</v>
      </c>
      <c r="R322" t="s">
        <v>74</v>
      </c>
      <c r="S322" t="s">
        <v>74</v>
      </c>
      <c r="T322" t="s">
        <v>6510</v>
      </c>
      <c r="U322" t="s">
        <v>6511</v>
      </c>
      <c r="V322" t="s">
        <v>6512</v>
      </c>
      <c r="W322" t="s">
        <v>6513</v>
      </c>
      <c r="X322" t="s">
        <v>74</v>
      </c>
      <c r="Y322" t="s">
        <v>6514</v>
      </c>
      <c r="Z322" t="s">
        <v>6515</v>
      </c>
      <c r="AA322" t="s">
        <v>74</v>
      </c>
      <c r="AB322" t="s">
        <v>74</v>
      </c>
      <c r="AC322" t="s">
        <v>6516</v>
      </c>
      <c r="AD322" t="s">
        <v>6517</v>
      </c>
      <c r="AE322" t="s">
        <v>6518</v>
      </c>
      <c r="AF322" t="s">
        <v>74</v>
      </c>
      <c r="AG322">
        <v>148</v>
      </c>
      <c r="AH322">
        <v>15</v>
      </c>
      <c r="AI322">
        <v>16</v>
      </c>
      <c r="AJ322">
        <v>0</v>
      </c>
      <c r="AK322">
        <v>12</v>
      </c>
      <c r="AL322" t="s">
        <v>6519</v>
      </c>
      <c r="AM322" t="s">
        <v>6520</v>
      </c>
      <c r="AN322" t="s">
        <v>6521</v>
      </c>
      <c r="AO322" t="s">
        <v>6522</v>
      </c>
      <c r="AP322" t="s">
        <v>74</v>
      </c>
      <c r="AQ322" t="s">
        <v>74</v>
      </c>
      <c r="AR322" t="s">
        <v>6523</v>
      </c>
      <c r="AS322" t="s">
        <v>6524</v>
      </c>
      <c r="AT322" t="s">
        <v>6261</v>
      </c>
      <c r="AU322">
        <v>2015</v>
      </c>
      <c r="AV322">
        <v>122</v>
      </c>
      <c r="AW322">
        <v>2</v>
      </c>
      <c r="AX322" t="s">
        <v>74</v>
      </c>
      <c r="AY322" t="s">
        <v>74</v>
      </c>
      <c r="AZ322" t="s">
        <v>74</v>
      </c>
      <c r="BA322" t="s">
        <v>74</v>
      </c>
      <c r="BB322">
        <v>213</v>
      </c>
      <c r="BC322">
        <v>246</v>
      </c>
      <c r="BD322" t="s">
        <v>74</v>
      </c>
      <c r="BE322" t="s">
        <v>6525</v>
      </c>
      <c r="BF322" t="str">
        <f>HYPERLINK("http://dx.doi.org/10.5281/zenodo.29998","http://dx.doi.org/10.5281/zenodo.29998")</f>
        <v>http://dx.doi.org/10.5281/zenodo.29998</v>
      </c>
      <c r="BG322" t="s">
        <v>74</v>
      </c>
      <c r="BH322" t="s">
        <v>74</v>
      </c>
      <c r="BI322">
        <v>34</v>
      </c>
      <c r="BJ322" t="s">
        <v>243</v>
      </c>
      <c r="BK322" t="s">
        <v>101</v>
      </c>
      <c r="BL322" t="s">
        <v>243</v>
      </c>
      <c r="BM322" t="s">
        <v>6526</v>
      </c>
      <c r="BN322" t="s">
        <v>74</v>
      </c>
      <c r="BO322" t="s">
        <v>74</v>
      </c>
      <c r="BP322" t="s">
        <v>74</v>
      </c>
      <c r="BQ322" t="s">
        <v>74</v>
      </c>
      <c r="BR322" t="s">
        <v>103</v>
      </c>
      <c r="BS322" t="s">
        <v>6527</v>
      </c>
      <c r="BT322" t="str">
        <f>HYPERLINK("https%3A%2F%2Fwww.webofscience.com%2Fwos%2Fwoscc%2Ffull-record%2FWOS:000363600000005","View Full Record in Web of Science")</f>
        <v>View Full Record in Web of Science</v>
      </c>
    </row>
    <row r="323" spans="1:72" x14ac:dyDescent="0.15">
      <c r="A323" t="s">
        <v>72</v>
      </c>
      <c r="B323" t="s">
        <v>6528</v>
      </c>
      <c r="C323" t="s">
        <v>74</v>
      </c>
      <c r="D323" t="s">
        <v>74</v>
      </c>
      <c r="E323" t="s">
        <v>74</v>
      </c>
      <c r="F323" t="s">
        <v>6529</v>
      </c>
      <c r="G323" t="s">
        <v>74</v>
      </c>
      <c r="H323" t="s">
        <v>74</v>
      </c>
      <c r="I323" t="s">
        <v>6530</v>
      </c>
      <c r="J323" t="s">
        <v>6531</v>
      </c>
      <c r="K323" t="s">
        <v>74</v>
      </c>
      <c r="L323" t="s">
        <v>74</v>
      </c>
      <c r="M323" t="s">
        <v>78</v>
      </c>
      <c r="N323" t="s">
        <v>79</v>
      </c>
      <c r="O323" t="s">
        <v>74</v>
      </c>
      <c r="P323" t="s">
        <v>74</v>
      </c>
      <c r="Q323" t="s">
        <v>74</v>
      </c>
      <c r="R323" t="s">
        <v>74</v>
      </c>
      <c r="S323" t="s">
        <v>74</v>
      </c>
      <c r="T323" t="s">
        <v>6532</v>
      </c>
      <c r="U323" t="s">
        <v>6533</v>
      </c>
      <c r="V323" t="s">
        <v>6534</v>
      </c>
      <c r="W323" t="s">
        <v>6535</v>
      </c>
      <c r="X323" t="s">
        <v>6536</v>
      </c>
      <c r="Y323" t="s">
        <v>6537</v>
      </c>
      <c r="Z323" t="s">
        <v>6538</v>
      </c>
      <c r="AA323" t="s">
        <v>6539</v>
      </c>
      <c r="AB323" t="s">
        <v>6540</v>
      </c>
      <c r="AC323" t="s">
        <v>6541</v>
      </c>
      <c r="AD323" t="s">
        <v>6541</v>
      </c>
      <c r="AE323" t="s">
        <v>6542</v>
      </c>
      <c r="AF323" t="s">
        <v>74</v>
      </c>
      <c r="AG323">
        <v>48</v>
      </c>
      <c r="AH323">
        <v>20</v>
      </c>
      <c r="AI323">
        <v>21</v>
      </c>
      <c r="AJ323">
        <v>0</v>
      </c>
      <c r="AK323">
        <v>3</v>
      </c>
      <c r="AL323" t="s">
        <v>6543</v>
      </c>
      <c r="AM323" t="s">
        <v>3041</v>
      </c>
      <c r="AN323" t="s">
        <v>6544</v>
      </c>
      <c r="AO323" t="s">
        <v>6545</v>
      </c>
      <c r="AP323" t="s">
        <v>74</v>
      </c>
      <c r="AQ323" t="s">
        <v>74</v>
      </c>
      <c r="AR323" t="s">
        <v>6546</v>
      </c>
      <c r="AS323" t="s">
        <v>6547</v>
      </c>
      <c r="AT323" t="s">
        <v>6261</v>
      </c>
      <c r="AU323">
        <v>2015</v>
      </c>
      <c r="AV323">
        <v>6</v>
      </c>
      <c r="AW323">
        <v>9</v>
      </c>
      <c r="AX323" t="s">
        <v>74</v>
      </c>
      <c r="AY323" t="s">
        <v>74</v>
      </c>
      <c r="AZ323" t="s">
        <v>74</v>
      </c>
      <c r="BA323" t="s">
        <v>74</v>
      </c>
      <c r="BB323">
        <v>1271</v>
      </c>
      <c r="BC323">
        <v>1289</v>
      </c>
      <c r="BD323" t="s">
        <v>74</v>
      </c>
      <c r="BE323" t="s">
        <v>6548</v>
      </c>
      <c r="BF323" t="str">
        <f>HYPERLINK("http://dx.doi.org/10.3390/atmos6091271","http://dx.doi.org/10.3390/atmos6091271")</f>
        <v>http://dx.doi.org/10.3390/atmos6091271</v>
      </c>
      <c r="BG323" t="s">
        <v>74</v>
      </c>
      <c r="BH323" t="s">
        <v>74</v>
      </c>
      <c r="BI323">
        <v>19</v>
      </c>
      <c r="BJ323" t="s">
        <v>1837</v>
      </c>
      <c r="BK323" t="s">
        <v>101</v>
      </c>
      <c r="BL323" t="s">
        <v>1838</v>
      </c>
      <c r="BM323" t="s">
        <v>6549</v>
      </c>
      <c r="BN323" t="s">
        <v>74</v>
      </c>
      <c r="BO323" t="s">
        <v>1304</v>
      </c>
      <c r="BP323" t="s">
        <v>74</v>
      </c>
      <c r="BQ323" t="s">
        <v>74</v>
      </c>
      <c r="BR323" t="s">
        <v>103</v>
      </c>
      <c r="BS323" t="s">
        <v>6550</v>
      </c>
      <c r="BT323" t="str">
        <f>HYPERLINK("https%3A%2F%2Fwww.webofscience.com%2Fwos%2Fwoscc%2Ffull-record%2FWOS:000362546500002","View Full Record in Web of Science")</f>
        <v>View Full Record in Web of Science</v>
      </c>
    </row>
    <row r="324" spans="1:72" x14ac:dyDescent="0.15">
      <c r="A324" t="s">
        <v>72</v>
      </c>
      <c r="B324" t="s">
        <v>6551</v>
      </c>
      <c r="C324" t="s">
        <v>74</v>
      </c>
      <c r="D324" t="s">
        <v>74</v>
      </c>
      <c r="E324" t="s">
        <v>74</v>
      </c>
      <c r="F324" t="s">
        <v>6552</v>
      </c>
      <c r="G324" t="s">
        <v>74</v>
      </c>
      <c r="H324" t="s">
        <v>74</v>
      </c>
      <c r="I324" t="s">
        <v>6553</v>
      </c>
      <c r="J324" t="s">
        <v>6554</v>
      </c>
      <c r="K324" t="s">
        <v>74</v>
      </c>
      <c r="L324" t="s">
        <v>74</v>
      </c>
      <c r="M324" t="s">
        <v>78</v>
      </c>
      <c r="N324" t="s">
        <v>79</v>
      </c>
      <c r="O324" t="s">
        <v>74</v>
      </c>
      <c r="P324" t="s">
        <v>74</v>
      </c>
      <c r="Q324" t="s">
        <v>74</v>
      </c>
      <c r="R324" t="s">
        <v>74</v>
      </c>
      <c r="S324" t="s">
        <v>74</v>
      </c>
      <c r="T324" t="s">
        <v>74</v>
      </c>
      <c r="U324" t="s">
        <v>74</v>
      </c>
      <c r="V324" t="s">
        <v>6555</v>
      </c>
      <c r="W324" t="s">
        <v>6556</v>
      </c>
      <c r="X324" t="s">
        <v>6557</v>
      </c>
      <c r="Y324" t="s">
        <v>6558</v>
      </c>
      <c r="Z324" t="s">
        <v>74</v>
      </c>
      <c r="AA324" t="s">
        <v>6559</v>
      </c>
      <c r="AB324" t="s">
        <v>74</v>
      </c>
      <c r="AC324" t="s">
        <v>74</v>
      </c>
      <c r="AD324" t="s">
        <v>74</v>
      </c>
      <c r="AE324" t="s">
        <v>74</v>
      </c>
      <c r="AF324" t="s">
        <v>74</v>
      </c>
      <c r="AG324">
        <v>24</v>
      </c>
      <c r="AH324">
        <v>1</v>
      </c>
      <c r="AI324">
        <v>2</v>
      </c>
      <c r="AJ324">
        <v>0</v>
      </c>
      <c r="AK324">
        <v>15</v>
      </c>
      <c r="AL324" t="s">
        <v>208</v>
      </c>
      <c r="AM324" t="s">
        <v>209</v>
      </c>
      <c r="AN324" t="s">
        <v>210</v>
      </c>
      <c r="AO324" t="s">
        <v>6560</v>
      </c>
      <c r="AP324" t="s">
        <v>6561</v>
      </c>
      <c r="AQ324" t="s">
        <v>74</v>
      </c>
      <c r="AR324" t="s">
        <v>6562</v>
      </c>
      <c r="AS324" t="s">
        <v>6563</v>
      </c>
      <c r="AT324" t="s">
        <v>6261</v>
      </c>
      <c r="AU324">
        <v>2015</v>
      </c>
      <c r="AV324">
        <v>6</v>
      </c>
      <c r="AW324">
        <v>3</v>
      </c>
      <c r="AX324" t="s">
        <v>74</v>
      </c>
      <c r="AY324" t="s">
        <v>74</v>
      </c>
      <c r="AZ324" t="s">
        <v>74</v>
      </c>
      <c r="BA324" t="s">
        <v>74</v>
      </c>
      <c r="BB324">
        <v>237</v>
      </c>
      <c r="BC324">
        <v>246</v>
      </c>
      <c r="BD324" t="s">
        <v>74</v>
      </c>
      <c r="BE324" t="s">
        <v>6564</v>
      </c>
      <c r="BF324" t="str">
        <f>HYPERLINK("http://dx.doi.org/10.1111/1758-5899.12246","http://dx.doi.org/10.1111/1758-5899.12246")</f>
        <v>http://dx.doi.org/10.1111/1758-5899.12246</v>
      </c>
      <c r="BG324" t="s">
        <v>74</v>
      </c>
      <c r="BH324" t="s">
        <v>74</v>
      </c>
      <c r="BI324">
        <v>10</v>
      </c>
      <c r="BJ324" t="s">
        <v>6565</v>
      </c>
      <c r="BK324" t="s">
        <v>504</v>
      </c>
      <c r="BL324" t="s">
        <v>6566</v>
      </c>
      <c r="BM324" t="s">
        <v>6567</v>
      </c>
      <c r="BN324" t="s">
        <v>74</v>
      </c>
      <c r="BO324" t="s">
        <v>1213</v>
      </c>
      <c r="BP324" t="s">
        <v>74</v>
      </c>
      <c r="BQ324" t="s">
        <v>74</v>
      </c>
      <c r="BR324" t="s">
        <v>103</v>
      </c>
      <c r="BS324" t="s">
        <v>6568</v>
      </c>
      <c r="BT324" t="str">
        <f>HYPERLINK("https%3A%2F%2Fwww.webofscience.com%2Fwos%2Fwoscc%2Ffull-record%2FWOS:000363060600007","View Full Record in Web of Science")</f>
        <v>View Full Record in Web of Science</v>
      </c>
    </row>
    <row r="325" spans="1:72" x14ac:dyDescent="0.15">
      <c r="A325" t="s">
        <v>72</v>
      </c>
      <c r="B325" t="s">
        <v>6569</v>
      </c>
      <c r="C325" t="s">
        <v>74</v>
      </c>
      <c r="D325" t="s">
        <v>74</v>
      </c>
      <c r="E325" t="s">
        <v>74</v>
      </c>
      <c r="F325" t="s">
        <v>6570</v>
      </c>
      <c r="G325" t="s">
        <v>74</v>
      </c>
      <c r="H325" t="s">
        <v>74</v>
      </c>
      <c r="I325" t="s">
        <v>6571</v>
      </c>
      <c r="J325" t="s">
        <v>322</v>
      </c>
      <c r="K325" t="s">
        <v>74</v>
      </c>
      <c r="L325" t="s">
        <v>74</v>
      </c>
      <c r="M325" t="s">
        <v>78</v>
      </c>
      <c r="N325" t="s">
        <v>79</v>
      </c>
      <c r="O325" t="s">
        <v>74</v>
      </c>
      <c r="P325" t="s">
        <v>74</v>
      </c>
      <c r="Q325" t="s">
        <v>74</v>
      </c>
      <c r="R325" t="s">
        <v>74</v>
      </c>
      <c r="S325" t="s">
        <v>74</v>
      </c>
      <c r="T325" t="s">
        <v>6572</v>
      </c>
      <c r="U325" t="s">
        <v>6573</v>
      </c>
      <c r="V325" t="s">
        <v>6574</v>
      </c>
      <c r="W325" t="s">
        <v>6575</v>
      </c>
      <c r="X325" t="s">
        <v>6576</v>
      </c>
      <c r="Y325" t="s">
        <v>6577</v>
      </c>
      <c r="Z325" t="s">
        <v>6578</v>
      </c>
      <c r="AA325" t="s">
        <v>6579</v>
      </c>
      <c r="AB325" t="s">
        <v>74</v>
      </c>
      <c r="AC325" t="s">
        <v>6580</v>
      </c>
      <c r="AD325" t="s">
        <v>6581</v>
      </c>
      <c r="AE325" t="s">
        <v>6582</v>
      </c>
      <c r="AF325" t="s">
        <v>74</v>
      </c>
      <c r="AG325">
        <v>28</v>
      </c>
      <c r="AH325">
        <v>5</v>
      </c>
      <c r="AI325">
        <v>5</v>
      </c>
      <c r="AJ325">
        <v>0</v>
      </c>
      <c r="AK325">
        <v>5</v>
      </c>
      <c r="AL325" t="s">
        <v>306</v>
      </c>
      <c r="AM325" t="s">
        <v>307</v>
      </c>
      <c r="AN325" t="s">
        <v>308</v>
      </c>
      <c r="AO325" t="s">
        <v>334</v>
      </c>
      <c r="AP325" t="s">
        <v>335</v>
      </c>
      <c r="AQ325" t="s">
        <v>74</v>
      </c>
      <c r="AR325" t="s">
        <v>336</v>
      </c>
      <c r="AS325" t="s">
        <v>337</v>
      </c>
      <c r="AT325" t="s">
        <v>6261</v>
      </c>
      <c r="AU325">
        <v>2015</v>
      </c>
      <c r="AV325">
        <v>120</v>
      </c>
      <c r="AW325">
        <v>9</v>
      </c>
      <c r="AX325" t="s">
        <v>74</v>
      </c>
      <c r="AY325" t="s">
        <v>74</v>
      </c>
      <c r="AZ325" t="s">
        <v>74</v>
      </c>
      <c r="BA325" t="s">
        <v>74</v>
      </c>
      <c r="BB325">
        <v>6130</v>
      </c>
      <c r="BC325">
        <v>6144</v>
      </c>
      <c r="BD325" t="s">
        <v>74</v>
      </c>
      <c r="BE325" t="s">
        <v>6583</v>
      </c>
      <c r="BF325" t="str">
        <f>HYPERLINK("http://dx.doi.org/10.1002/2015JC011083","http://dx.doi.org/10.1002/2015JC011083")</f>
        <v>http://dx.doi.org/10.1002/2015JC011083</v>
      </c>
      <c r="BG325" t="s">
        <v>74</v>
      </c>
      <c r="BH325" t="s">
        <v>74</v>
      </c>
      <c r="BI325">
        <v>15</v>
      </c>
      <c r="BJ325" t="s">
        <v>339</v>
      </c>
      <c r="BK325" t="s">
        <v>101</v>
      </c>
      <c r="BL325" t="s">
        <v>339</v>
      </c>
      <c r="BM325" t="s">
        <v>6584</v>
      </c>
      <c r="BN325" t="s">
        <v>74</v>
      </c>
      <c r="BO325" t="s">
        <v>1073</v>
      </c>
      <c r="BP325" t="s">
        <v>74</v>
      </c>
      <c r="BQ325" t="s">
        <v>74</v>
      </c>
      <c r="BR325" t="s">
        <v>103</v>
      </c>
      <c r="BS325" t="s">
        <v>6585</v>
      </c>
      <c r="BT325" t="str">
        <f>HYPERLINK("https%3A%2F%2Fwww.webofscience.com%2Fwos%2Fwoscc%2Ffull-record%2FWOS:000363470300014","View Full Record in Web of Science")</f>
        <v>View Full Record in Web of Science</v>
      </c>
    </row>
    <row r="326" spans="1:72" x14ac:dyDescent="0.15">
      <c r="A326" t="s">
        <v>72</v>
      </c>
      <c r="B326" t="s">
        <v>6586</v>
      </c>
      <c r="C326" t="s">
        <v>74</v>
      </c>
      <c r="D326" t="s">
        <v>74</v>
      </c>
      <c r="E326" t="s">
        <v>74</v>
      </c>
      <c r="F326" t="s">
        <v>6587</v>
      </c>
      <c r="G326" t="s">
        <v>74</v>
      </c>
      <c r="H326" t="s">
        <v>74</v>
      </c>
      <c r="I326" t="s">
        <v>6588</v>
      </c>
      <c r="J326" t="s">
        <v>322</v>
      </c>
      <c r="K326" t="s">
        <v>74</v>
      </c>
      <c r="L326" t="s">
        <v>74</v>
      </c>
      <c r="M326" t="s">
        <v>78</v>
      </c>
      <c r="N326" t="s">
        <v>79</v>
      </c>
      <c r="O326" t="s">
        <v>74</v>
      </c>
      <c r="P326" t="s">
        <v>74</v>
      </c>
      <c r="Q326" t="s">
        <v>74</v>
      </c>
      <c r="R326" t="s">
        <v>74</v>
      </c>
      <c r="S326" t="s">
        <v>74</v>
      </c>
      <c r="T326" t="s">
        <v>6589</v>
      </c>
      <c r="U326" t="s">
        <v>6590</v>
      </c>
      <c r="V326" t="s">
        <v>6591</v>
      </c>
      <c r="W326" t="s">
        <v>6592</v>
      </c>
      <c r="X326" t="s">
        <v>6593</v>
      </c>
      <c r="Y326" t="s">
        <v>6594</v>
      </c>
      <c r="Z326" t="s">
        <v>6595</v>
      </c>
      <c r="AA326" t="s">
        <v>6596</v>
      </c>
      <c r="AB326" t="s">
        <v>6597</v>
      </c>
      <c r="AC326" t="s">
        <v>6598</v>
      </c>
      <c r="AD326" t="s">
        <v>6599</v>
      </c>
      <c r="AE326" t="s">
        <v>6600</v>
      </c>
      <c r="AF326" t="s">
        <v>74</v>
      </c>
      <c r="AG326">
        <v>48</v>
      </c>
      <c r="AH326">
        <v>17</v>
      </c>
      <c r="AI326">
        <v>20</v>
      </c>
      <c r="AJ326">
        <v>0</v>
      </c>
      <c r="AK326">
        <v>11</v>
      </c>
      <c r="AL326" t="s">
        <v>306</v>
      </c>
      <c r="AM326" t="s">
        <v>307</v>
      </c>
      <c r="AN326" t="s">
        <v>308</v>
      </c>
      <c r="AO326" t="s">
        <v>334</v>
      </c>
      <c r="AP326" t="s">
        <v>335</v>
      </c>
      <c r="AQ326" t="s">
        <v>74</v>
      </c>
      <c r="AR326" t="s">
        <v>336</v>
      </c>
      <c r="AS326" t="s">
        <v>337</v>
      </c>
      <c r="AT326" t="s">
        <v>6261</v>
      </c>
      <c r="AU326">
        <v>2015</v>
      </c>
      <c r="AV326">
        <v>120</v>
      </c>
      <c r="AW326">
        <v>9</v>
      </c>
      <c r="AX326" t="s">
        <v>74</v>
      </c>
      <c r="AY326" t="s">
        <v>74</v>
      </c>
      <c r="AZ326" t="s">
        <v>74</v>
      </c>
      <c r="BA326" t="s">
        <v>74</v>
      </c>
      <c r="BB326">
        <v>6234</v>
      </c>
      <c r="BC326">
        <v>6252</v>
      </c>
      <c r="BD326" t="s">
        <v>74</v>
      </c>
      <c r="BE326" t="s">
        <v>6601</v>
      </c>
      <c r="BF326" t="str">
        <f>HYPERLINK("http://dx.doi.org/10.1002/2015JC010894","http://dx.doi.org/10.1002/2015JC010894")</f>
        <v>http://dx.doi.org/10.1002/2015JC010894</v>
      </c>
      <c r="BG326" t="s">
        <v>74</v>
      </c>
      <c r="BH326" t="s">
        <v>74</v>
      </c>
      <c r="BI326">
        <v>19</v>
      </c>
      <c r="BJ326" t="s">
        <v>339</v>
      </c>
      <c r="BK326" t="s">
        <v>101</v>
      </c>
      <c r="BL326" t="s">
        <v>339</v>
      </c>
      <c r="BM326" t="s">
        <v>6584</v>
      </c>
      <c r="BN326" t="s">
        <v>74</v>
      </c>
      <c r="BO326" t="s">
        <v>6602</v>
      </c>
      <c r="BP326" t="s">
        <v>74</v>
      </c>
      <c r="BQ326" t="s">
        <v>74</v>
      </c>
      <c r="BR326" t="s">
        <v>103</v>
      </c>
      <c r="BS326" t="s">
        <v>6603</v>
      </c>
      <c r="BT326" t="str">
        <f>HYPERLINK("https%3A%2F%2Fwww.webofscience.com%2Fwos%2Fwoscc%2Ffull-record%2FWOS:000363470300020","View Full Record in Web of Science")</f>
        <v>View Full Record in Web of Science</v>
      </c>
    </row>
    <row r="327" spans="1:72" x14ac:dyDescent="0.15">
      <c r="A327" t="s">
        <v>72</v>
      </c>
      <c r="B327" t="s">
        <v>6604</v>
      </c>
      <c r="C327" t="s">
        <v>74</v>
      </c>
      <c r="D327" t="s">
        <v>74</v>
      </c>
      <c r="E327" t="s">
        <v>74</v>
      </c>
      <c r="F327" t="s">
        <v>6605</v>
      </c>
      <c r="G327" t="s">
        <v>74</v>
      </c>
      <c r="H327" t="s">
        <v>74</v>
      </c>
      <c r="I327" t="s">
        <v>6606</v>
      </c>
      <c r="J327" t="s">
        <v>6607</v>
      </c>
      <c r="K327" t="s">
        <v>74</v>
      </c>
      <c r="L327" t="s">
        <v>74</v>
      </c>
      <c r="M327" t="s">
        <v>78</v>
      </c>
      <c r="N327" t="s">
        <v>79</v>
      </c>
      <c r="O327" t="s">
        <v>74</v>
      </c>
      <c r="P327" t="s">
        <v>74</v>
      </c>
      <c r="Q327" t="s">
        <v>74</v>
      </c>
      <c r="R327" t="s">
        <v>74</v>
      </c>
      <c r="S327" t="s">
        <v>74</v>
      </c>
      <c r="T327" t="s">
        <v>74</v>
      </c>
      <c r="U327" t="s">
        <v>6608</v>
      </c>
      <c r="V327" t="s">
        <v>6609</v>
      </c>
      <c r="W327" t="s">
        <v>6610</v>
      </c>
      <c r="X327" t="s">
        <v>74</v>
      </c>
      <c r="Y327" t="s">
        <v>6611</v>
      </c>
      <c r="Z327" t="s">
        <v>6612</v>
      </c>
      <c r="AA327" t="s">
        <v>74</v>
      </c>
      <c r="AB327" t="s">
        <v>74</v>
      </c>
      <c r="AC327" t="s">
        <v>6613</v>
      </c>
      <c r="AD327" t="s">
        <v>6614</v>
      </c>
      <c r="AE327" t="s">
        <v>6615</v>
      </c>
      <c r="AF327" t="s">
        <v>74</v>
      </c>
      <c r="AG327">
        <v>47</v>
      </c>
      <c r="AH327">
        <v>0</v>
      </c>
      <c r="AI327">
        <v>0</v>
      </c>
      <c r="AJ327">
        <v>0</v>
      </c>
      <c r="AK327">
        <v>4</v>
      </c>
      <c r="AL327" t="s">
        <v>2638</v>
      </c>
      <c r="AM327" t="s">
        <v>550</v>
      </c>
      <c r="AN327" t="s">
        <v>2639</v>
      </c>
      <c r="AO327" t="s">
        <v>6616</v>
      </c>
      <c r="AP327" t="s">
        <v>6617</v>
      </c>
      <c r="AQ327" t="s">
        <v>74</v>
      </c>
      <c r="AR327" t="s">
        <v>6618</v>
      </c>
      <c r="AS327" t="s">
        <v>6619</v>
      </c>
      <c r="AT327" t="s">
        <v>6261</v>
      </c>
      <c r="AU327">
        <v>2015</v>
      </c>
      <c r="AV327">
        <v>55</v>
      </c>
      <c r="AW327">
        <v>5</v>
      </c>
      <c r="AX327" t="s">
        <v>74</v>
      </c>
      <c r="AY327" t="s">
        <v>74</v>
      </c>
      <c r="AZ327" t="s">
        <v>74</v>
      </c>
      <c r="BA327" t="s">
        <v>74</v>
      </c>
      <c r="BB327">
        <v>760</v>
      </c>
      <c r="BC327">
        <v>768</v>
      </c>
      <c r="BD327" t="s">
        <v>74</v>
      </c>
      <c r="BE327" t="s">
        <v>6620</v>
      </c>
      <c r="BF327" t="str">
        <f>HYPERLINK("http://dx.doi.org/10.1134/S0001437015050148","http://dx.doi.org/10.1134/S0001437015050148")</f>
        <v>http://dx.doi.org/10.1134/S0001437015050148</v>
      </c>
      <c r="BG327" t="s">
        <v>74</v>
      </c>
      <c r="BH327" t="s">
        <v>74</v>
      </c>
      <c r="BI327">
        <v>9</v>
      </c>
      <c r="BJ327" t="s">
        <v>339</v>
      </c>
      <c r="BK327" t="s">
        <v>101</v>
      </c>
      <c r="BL327" t="s">
        <v>339</v>
      </c>
      <c r="BM327" t="s">
        <v>6621</v>
      </c>
      <c r="BN327" t="s">
        <v>74</v>
      </c>
      <c r="BO327" t="s">
        <v>74</v>
      </c>
      <c r="BP327" t="s">
        <v>74</v>
      </c>
      <c r="BQ327" t="s">
        <v>74</v>
      </c>
      <c r="BR327" t="s">
        <v>103</v>
      </c>
      <c r="BS327" t="s">
        <v>6622</v>
      </c>
      <c r="BT327" t="str">
        <f>HYPERLINK("https%3A%2F%2Fwww.webofscience.com%2Fwos%2Fwoscc%2Ffull-record%2FWOS:000363255400012","View Full Record in Web of Science")</f>
        <v>View Full Record in Web of Science</v>
      </c>
    </row>
    <row r="328" spans="1:72" x14ac:dyDescent="0.15">
      <c r="A328" t="s">
        <v>72</v>
      </c>
      <c r="B328" t="s">
        <v>6623</v>
      </c>
      <c r="C328" t="s">
        <v>74</v>
      </c>
      <c r="D328" t="s">
        <v>74</v>
      </c>
      <c r="E328" t="s">
        <v>74</v>
      </c>
      <c r="F328" t="s">
        <v>6624</v>
      </c>
      <c r="G328" t="s">
        <v>74</v>
      </c>
      <c r="H328" t="s">
        <v>74</v>
      </c>
      <c r="I328" t="s">
        <v>6625</v>
      </c>
      <c r="J328" t="s">
        <v>6607</v>
      </c>
      <c r="K328" t="s">
        <v>74</v>
      </c>
      <c r="L328" t="s">
        <v>74</v>
      </c>
      <c r="M328" t="s">
        <v>78</v>
      </c>
      <c r="N328" t="s">
        <v>79</v>
      </c>
      <c r="O328" t="s">
        <v>74</v>
      </c>
      <c r="P328" t="s">
        <v>74</v>
      </c>
      <c r="Q328" t="s">
        <v>74</v>
      </c>
      <c r="R328" t="s">
        <v>74</v>
      </c>
      <c r="S328" t="s">
        <v>74</v>
      </c>
      <c r="T328" t="s">
        <v>74</v>
      </c>
      <c r="U328" t="s">
        <v>74</v>
      </c>
      <c r="V328" t="s">
        <v>74</v>
      </c>
      <c r="W328" t="s">
        <v>6626</v>
      </c>
      <c r="X328" t="s">
        <v>6627</v>
      </c>
      <c r="Y328" t="s">
        <v>6628</v>
      </c>
      <c r="Z328" t="s">
        <v>6629</v>
      </c>
      <c r="AA328" t="s">
        <v>6630</v>
      </c>
      <c r="AB328" t="s">
        <v>6631</v>
      </c>
      <c r="AC328" t="s">
        <v>6632</v>
      </c>
      <c r="AD328" t="s">
        <v>6614</v>
      </c>
      <c r="AE328" t="s">
        <v>6633</v>
      </c>
      <c r="AF328" t="s">
        <v>74</v>
      </c>
      <c r="AG328">
        <v>0</v>
      </c>
      <c r="AH328">
        <v>1</v>
      </c>
      <c r="AI328">
        <v>1</v>
      </c>
      <c r="AJ328">
        <v>0</v>
      </c>
      <c r="AK328">
        <v>4</v>
      </c>
      <c r="AL328" t="s">
        <v>2638</v>
      </c>
      <c r="AM328" t="s">
        <v>550</v>
      </c>
      <c r="AN328" t="s">
        <v>2639</v>
      </c>
      <c r="AO328" t="s">
        <v>6616</v>
      </c>
      <c r="AP328" t="s">
        <v>6617</v>
      </c>
      <c r="AQ328" t="s">
        <v>74</v>
      </c>
      <c r="AR328" t="s">
        <v>6618</v>
      </c>
      <c r="AS328" t="s">
        <v>6619</v>
      </c>
      <c r="AT328" t="s">
        <v>6261</v>
      </c>
      <c r="AU328">
        <v>2015</v>
      </c>
      <c r="AV328">
        <v>55</v>
      </c>
      <c r="AW328">
        <v>5</v>
      </c>
      <c r="AX328" t="s">
        <v>74</v>
      </c>
      <c r="AY328" t="s">
        <v>74</v>
      </c>
      <c r="AZ328" t="s">
        <v>74</v>
      </c>
      <c r="BA328" t="s">
        <v>74</v>
      </c>
      <c r="BB328">
        <v>785</v>
      </c>
      <c r="BC328">
        <v>787</v>
      </c>
      <c r="BD328" t="s">
        <v>74</v>
      </c>
      <c r="BE328" t="s">
        <v>6634</v>
      </c>
      <c r="BF328" t="str">
        <f>HYPERLINK("http://dx.doi.org/10.1134/S000143701505001X","http://dx.doi.org/10.1134/S000143701505001X")</f>
        <v>http://dx.doi.org/10.1134/S000143701505001X</v>
      </c>
      <c r="BG328" t="s">
        <v>74</v>
      </c>
      <c r="BH328" t="s">
        <v>74</v>
      </c>
      <c r="BI328">
        <v>3</v>
      </c>
      <c r="BJ328" t="s">
        <v>339</v>
      </c>
      <c r="BK328" t="s">
        <v>101</v>
      </c>
      <c r="BL328" t="s">
        <v>339</v>
      </c>
      <c r="BM328" t="s">
        <v>6621</v>
      </c>
      <c r="BN328" t="s">
        <v>74</v>
      </c>
      <c r="BO328" t="s">
        <v>74</v>
      </c>
      <c r="BP328" t="s">
        <v>74</v>
      </c>
      <c r="BQ328" t="s">
        <v>74</v>
      </c>
      <c r="BR328" t="s">
        <v>103</v>
      </c>
      <c r="BS328" t="s">
        <v>6635</v>
      </c>
      <c r="BT328" t="str">
        <f>HYPERLINK("https%3A%2F%2Fwww.webofscience.com%2Fwos%2Fwoscc%2Ffull-record%2FWOS:000363255400018","View Full Record in Web of Science")</f>
        <v>View Full Record in Web of Science</v>
      </c>
    </row>
    <row r="329" spans="1:72" x14ac:dyDescent="0.15">
      <c r="A329" t="s">
        <v>72</v>
      </c>
      <c r="B329" t="s">
        <v>6636</v>
      </c>
      <c r="C329" t="s">
        <v>74</v>
      </c>
      <c r="D329" t="s">
        <v>74</v>
      </c>
      <c r="E329" t="s">
        <v>74</v>
      </c>
      <c r="F329" t="s">
        <v>6637</v>
      </c>
      <c r="G329" t="s">
        <v>74</v>
      </c>
      <c r="H329" t="s">
        <v>74</v>
      </c>
      <c r="I329" t="s">
        <v>6638</v>
      </c>
      <c r="J329" t="s">
        <v>6639</v>
      </c>
      <c r="K329" t="s">
        <v>74</v>
      </c>
      <c r="L329" t="s">
        <v>74</v>
      </c>
      <c r="M329" t="s">
        <v>78</v>
      </c>
      <c r="N329" t="s">
        <v>79</v>
      </c>
      <c r="O329" t="s">
        <v>74</v>
      </c>
      <c r="P329" t="s">
        <v>74</v>
      </c>
      <c r="Q329" t="s">
        <v>74</v>
      </c>
      <c r="R329" t="s">
        <v>74</v>
      </c>
      <c r="S329" t="s">
        <v>74</v>
      </c>
      <c r="T329" t="s">
        <v>6640</v>
      </c>
      <c r="U329" t="s">
        <v>74</v>
      </c>
      <c r="V329" t="s">
        <v>6641</v>
      </c>
      <c r="W329" t="s">
        <v>6642</v>
      </c>
      <c r="X329" t="s">
        <v>6643</v>
      </c>
      <c r="Y329" t="s">
        <v>6644</v>
      </c>
      <c r="Z329" t="s">
        <v>6645</v>
      </c>
      <c r="AA329" t="s">
        <v>6646</v>
      </c>
      <c r="AB329" t="s">
        <v>6647</v>
      </c>
      <c r="AC329" t="s">
        <v>74</v>
      </c>
      <c r="AD329" t="s">
        <v>74</v>
      </c>
      <c r="AE329" t="s">
        <v>74</v>
      </c>
      <c r="AF329" t="s">
        <v>74</v>
      </c>
      <c r="AG329">
        <v>8</v>
      </c>
      <c r="AH329">
        <v>0</v>
      </c>
      <c r="AI329">
        <v>0</v>
      </c>
      <c r="AJ329">
        <v>0</v>
      </c>
      <c r="AK329">
        <v>4</v>
      </c>
      <c r="AL329" t="s">
        <v>718</v>
      </c>
      <c r="AM329" t="s">
        <v>719</v>
      </c>
      <c r="AN329" t="s">
        <v>720</v>
      </c>
      <c r="AO329" t="s">
        <v>6648</v>
      </c>
      <c r="AP329" t="s">
        <v>6649</v>
      </c>
      <c r="AQ329" t="s">
        <v>74</v>
      </c>
      <c r="AR329" t="s">
        <v>6650</v>
      </c>
      <c r="AS329" t="s">
        <v>6651</v>
      </c>
      <c r="AT329" t="s">
        <v>6261</v>
      </c>
      <c r="AU329">
        <v>2015</v>
      </c>
      <c r="AV329">
        <v>40</v>
      </c>
      <c r="AW329">
        <v>9</v>
      </c>
      <c r="AX329" t="s">
        <v>74</v>
      </c>
      <c r="AY329" t="s">
        <v>74</v>
      </c>
      <c r="AZ329" t="s">
        <v>74</v>
      </c>
      <c r="BA329" t="s">
        <v>74</v>
      </c>
      <c r="BB329">
        <v>598</v>
      </c>
      <c r="BC329">
        <v>605</v>
      </c>
      <c r="BD329" t="s">
        <v>74</v>
      </c>
      <c r="BE329" t="s">
        <v>6652</v>
      </c>
      <c r="BF329" t="str">
        <f>HYPERLINK("http://dx.doi.org/10.3103/S1068373915090046","http://dx.doi.org/10.3103/S1068373915090046")</f>
        <v>http://dx.doi.org/10.3103/S1068373915090046</v>
      </c>
      <c r="BG329" t="s">
        <v>74</v>
      </c>
      <c r="BH329" t="s">
        <v>74</v>
      </c>
      <c r="BI329">
        <v>8</v>
      </c>
      <c r="BJ329" t="s">
        <v>271</v>
      </c>
      <c r="BK329" t="s">
        <v>101</v>
      </c>
      <c r="BL329" t="s">
        <v>271</v>
      </c>
      <c r="BM329" t="s">
        <v>6653</v>
      </c>
      <c r="BN329" t="s">
        <v>74</v>
      </c>
      <c r="BO329" t="s">
        <v>74</v>
      </c>
      <c r="BP329" t="s">
        <v>74</v>
      </c>
      <c r="BQ329" t="s">
        <v>74</v>
      </c>
      <c r="BR329" t="s">
        <v>103</v>
      </c>
      <c r="BS329" t="s">
        <v>6654</v>
      </c>
      <c r="BT329" t="str">
        <f>HYPERLINK("https%3A%2F%2Fwww.webofscience.com%2Fwos%2Fwoscc%2Ffull-record%2FWOS:000362904500004","View Full Record in Web of Science")</f>
        <v>View Full Record in Web of Science</v>
      </c>
    </row>
    <row r="330" spans="1:72" x14ac:dyDescent="0.15">
      <c r="A330" t="s">
        <v>72</v>
      </c>
      <c r="B330" t="s">
        <v>6655</v>
      </c>
      <c r="C330" t="s">
        <v>74</v>
      </c>
      <c r="D330" t="s">
        <v>74</v>
      </c>
      <c r="E330" t="s">
        <v>74</v>
      </c>
      <c r="F330" t="s">
        <v>6656</v>
      </c>
      <c r="G330" t="s">
        <v>74</v>
      </c>
      <c r="H330" t="s">
        <v>74</v>
      </c>
      <c r="I330" t="s">
        <v>6657</v>
      </c>
      <c r="J330" t="s">
        <v>6658</v>
      </c>
      <c r="K330" t="s">
        <v>74</v>
      </c>
      <c r="L330" t="s">
        <v>74</v>
      </c>
      <c r="M330" t="s">
        <v>78</v>
      </c>
      <c r="N330" t="s">
        <v>79</v>
      </c>
      <c r="O330" t="s">
        <v>74</v>
      </c>
      <c r="P330" t="s">
        <v>74</v>
      </c>
      <c r="Q330" t="s">
        <v>74</v>
      </c>
      <c r="R330" t="s">
        <v>74</v>
      </c>
      <c r="S330" t="s">
        <v>74</v>
      </c>
      <c r="T330" t="s">
        <v>6659</v>
      </c>
      <c r="U330" t="s">
        <v>6660</v>
      </c>
      <c r="V330" t="s">
        <v>6661</v>
      </c>
      <c r="W330" t="s">
        <v>6662</v>
      </c>
      <c r="X330" t="s">
        <v>6663</v>
      </c>
      <c r="Y330" t="s">
        <v>6664</v>
      </c>
      <c r="Z330" t="s">
        <v>6665</v>
      </c>
      <c r="AA330" t="s">
        <v>6666</v>
      </c>
      <c r="AB330" t="s">
        <v>6667</v>
      </c>
      <c r="AC330" t="s">
        <v>74</v>
      </c>
      <c r="AD330" t="s">
        <v>74</v>
      </c>
      <c r="AE330" t="s">
        <v>74</v>
      </c>
      <c r="AF330" t="s">
        <v>74</v>
      </c>
      <c r="AG330">
        <v>80</v>
      </c>
      <c r="AH330">
        <v>7</v>
      </c>
      <c r="AI330">
        <v>7</v>
      </c>
      <c r="AJ330">
        <v>1</v>
      </c>
      <c r="AK330">
        <v>31</v>
      </c>
      <c r="AL330" t="s">
        <v>208</v>
      </c>
      <c r="AM330" t="s">
        <v>209</v>
      </c>
      <c r="AN330" t="s">
        <v>210</v>
      </c>
      <c r="AO330" t="s">
        <v>6668</v>
      </c>
      <c r="AP330" t="s">
        <v>6669</v>
      </c>
      <c r="AQ330" t="s">
        <v>74</v>
      </c>
      <c r="AR330" t="s">
        <v>6670</v>
      </c>
      <c r="AS330" t="s">
        <v>6671</v>
      </c>
      <c r="AT330" t="s">
        <v>6261</v>
      </c>
      <c r="AU330">
        <v>2015</v>
      </c>
      <c r="AV330">
        <v>24</v>
      </c>
      <c r="AW330">
        <v>5</v>
      </c>
      <c r="AX330" t="s">
        <v>74</v>
      </c>
      <c r="AY330" t="s">
        <v>74</v>
      </c>
      <c r="AZ330" t="s">
        <v>74</v>
      </c>
      <c r="BA330" t="s">
        <v>74</v>
      </c>
      <c r="BB330">
        <v>478</v>
      </c>
      <c r="BC330">
        <v>493</v>
      </c>
      <c r="BD330" t="s">
        <v>74</v>
      </c>
      <c r="BE330" t="s">
        <v>6672</v>
      </c>
      <c r="BF330" t="str">
        <f>HYPERLINK("http://dx.doi.org/10.1111/fog.12123","http://dx.doi.org/10.1111/fog.12123")</f>
        <v>http://dx.doi.org/10.1111/fog.12123</v>
      </c>
      <c r="BG330" t="s">
        <v>74</v>
      </c>
      <c r="BH330" t="s">
        <v>74</v>
      </c>
      <c r="BI330">
        <v>16</v>
      </c>
      <c r="BJ330" t="s">
        <v>6673</v>
      </c>
      <c r="BK330" t="s">
        <v>101</v>
      </c>
      <c r="BL330" t="s">
        <v>6673</v>
      </c>
      <c r="BM330" t="s">
        <v>6674</v>
      </c>
      <c r="BN330" t="s">
        <v>74</v>
      </c>
      <c r="BO330" t="s">
        <v>74</v>
      </c>
      <c r="BP330" t="s">
        <v>74</v>
      </c>
      <c r="BQ330" t="s">
        <v>74</v>
      </c>
      <c r="BR330" t="s">
        <v>103</v>
      </c>
      <c r="BS330" t="s">
        <v>6675</v>
      </c>
      <c r="BT330" t="str">
        <f>HYPERLINK("https%3A%2F%2Fwww.webofscience.com%2Fwos%2Fwoscc%2Ffull-record%2FWOS:000362359900006","View Full Record in Web of Science")</f>
        <v>View Full Record in Web of Science</v>
      </c>
    </row>
    <row r="331" spans="1:72" x14ac:dyDescent="0.15">
      <c r="A331" t="s">
        <v>72</v>
      </c>
      <c r="B331" t="s">
        <v>6676</v>
      </c>
      <c r="C331" t="s">
        <v>74</v>
      </c>
      <c r="D331" t="s">
        <v>74</v>
      </c>
      <c r="E331" t="s">
        <v>74</v>
      </c>
      <c r="F331" t="s">
        <v>6677</v>
      </c>
      <c r="G331" t="s">
        <v>74</v>
      </c>
      <c r="H331" t="s">
        <v>74</v>
      </c>
      <c r="I331" t="s">
        <v>6678</v>
      </c>
      <c r="J331" t="s">
        <v>3135</v>
      </c>
      <c r="K331" t="s">
        <v>74</v>
      </c>
      <c r="L331" t="s">
        <v>74</v>
      </c>
      <c r="M331" t="s">
        <v>78</v>
      </c>
      <c r="N331" t="s">
        <v>79</v>
      </c>
      <c r="O331" t="s">
        <v>74</v>
      </c>
      <c r="P331" t="s">
        <v>74</v>
      </c>
      <c r="Q331" t="s">
        <v>74</v>
      </c>
      <c r="R331" t="s">
        <v>74</v>
      </c>
      <c r="S331" t="s">
        <v>74</v>
      </c>
      <c r="T331" t="s">
        <v>74</v>
      </c>
      <c r="U331" t="s">
        <v>6679</v>
      </c>
      <c r="V331" t="s">
        <v>6680</v>
      </c>
      <c r="W331" t="s">
        <v>6681</v>
      </c>
      <c r="X331" t="s">
        <v>6682</v>
      </c>
      <c r="Y331" t="s">
        <v>6683</v>
      </c>
      <c r="Z331" t="s">
        <v>6684</v>
      </c>
      <c r="AA331" t="s">
        <v>6685</v>
      </c>
      <c r="AB331" t="s">
        <v>6686</v>
      </c>
      <c r="AC331" t="s">
        <v>6687</v>
      </c>
      <c r="AD331" t="s">
        <v>6688</v>
      </c>
      <c r="AE331" t="s">
        <v>6689</v>
      </c>
      <c r="AF331" t="s">
        <v>74</v>
      </c>
      <c r="AG331">
        <v>65</v>
      </c>
      <c r="AH331">
        <v>14</v>
      </c>
      <c r="AI331">
        <v>16</v>
      </c>
      <c r="AJ331">
        <v>1</v>
      </c>
      <c r="AK331">
        <v>51</v>
      </c>
      <c r="AL331" t="s">
        <v>3146</v>
      </c>
      <c r="AM331" t="s">
        <v>3147</v>
      </c>
      <c r="AN331" t="s">
        <v>3148</v>
      </c>
      <c r="AO331" t="s">
        <v>3149</v>
      </c>
      <c r="AP331" t="s">
        <v>3150</v>
      </c>
      <c r="AQ331" t="s">
        <v>74</v>
      </c>
      <c r="AR331" t="s">
        <v>3151</v>
      </c>
      <c r="AS331" t="s">
        <v>3152</v>
      </c>
      <c r="AT331" t="s">
        <v>6261</v>
      </c>
      <c r="AU331">
        <v>2015</v>
      </c>
      <c r="AV331">
        <v>162</v>
      </c>
      <c r="AW331">
        <v>9</v>
      </c>
      <c r="AX331" t="s">
        <v>74</v>
      </c>
      <c r="AY331" t="s">
        <v>74</v>
      </c>
      <c r="AZ331" t="s">
        <v>74</v>
      </c>
      <c r="BA331" t="s">
        <v>74</v>
      </c>
      <c r="BB331">
        <v>1813</v>
      </c>
      <c r="BC331">
        <v>1821</v>
      </c>
      <c r="BD331" t="s">
        <v>74</v>
      </c>
      <c r="BE331" t="s">
        <v>6690</v>
      </c>
      <c r="BF331" t="str">
        <f>HYPERLINK("http://dx.doi.org/10.1007/s00227-015-2714-9","http://dx.doi.org/10.1007/s00227-015-2714-9")</f>
        <v>http://dx.doi.org/10.1007/s00227-015-2714-9</v>
      </c>
      <c r="BG331" t="s">
        <v>74</v>
      </c>
      <c r="BH331" t="s">
        <v>74</v>
      </c>
      <c r="BI331">
        <v>9</v>
      </c>
      <c r="BJ331" t="s">
        <v>100</v>
      </c>
      <c r="BK331" t="s">
        <v>101</v>
      </c>
      <c r="BL331" t="s">
        <v>100</v>
      </c>
      <c r="BM331" t="s">
        <v>6691</v>
      </c>
      <c r="BN331" t="s">
        <v>74</v>
      </c>
      <c r="BO331" t="s">
        <v>1213</v>
      </c>
      <c r="BP331" t="s">
        <v>74</v>
      </c>
      <c r="BQ331" t="s">
        <v>74</v>
      </c>
      <c r="BR331" t="s">
        <v>103</v>
      </c>
      <c r="BS331" t="s">
        <v>6692</v>
      </c>
      <c r="BT331" t="str">
        <f>HYPERLINK("https%3A%2F%2Fwww.webofscience.com%2Fwos%2Fwoscc%2Ffull-record%2FWOS:000362321800009","View Full Record in Web of Science")</f>
        <v>View Full Record in Web of Science</v>
      </c>
    </row>
    <row r="332" spans="1:72" x14ac:dyDescent="0.15">
      <c r="A332" t="s">
        <v>72</v>
      </c>
      <c r="B332" t="s">
        <v>6693</v>
      </c>
      <c r="C332" t="s">
        <v>74</v>
      </c>
      <c r="D332" t="s">
        <v>74</v>
      </c>
      <c r="E332" t="s">
        <v>74</v>
      </c>
      <c r="F332" t="s">
        <v>6694</v>
      </c>
      <c r="G332" t="s">
        <v>74</v>
      </c>
      <c r="H332" t="s">
        <v>74</v>
      </c>
      <c r="I332" t="s">
        <v>6695</v>
      </c>
      <c r="J332" t="s">
        <v>6696</v>
      </c>
      <c r="K332" t="s">
        <v>74</v>
      </c>
      <c r="L332" t="s">
        <v>74</v>
      </c>
      <c r="M332" t="s">
        <v>78</v>
      </c>
      <c r="N332" t="s">
        <v>79</v>
      </c>
      <c r="O332" t="s">
        <v>74</v>
      </c>
      <c r="P332" t="s">
        <v>74</v>
      </c>
      <c r="Q332" t="s">
        <v>74</v>
      </c>
      <c r="R332" t="s">
        <v>74</v>
      </c>
      <c r="S332" t="s">
        <v>74</v>
      </c>
      <c r="T332" t="s">
        <v>6697</v>
      </c>
      <c r="U332" t="s">
        <v>6698</v>
      </c>
      <c r="V332" t="s">
        <v>6699</v>
      </c>
      <c r="W332" t="s">
        <v>6700</v>
      </c>
      <c r="X332" t="s">
        <v>6701</v>
      </c>
      <c r="Y332" t="s">
        <v>6702</v>
      </c>
      <c r="Z332" t="s">
        <v>6703</v>
      </c>
      <c r="AA332" t="s">
        <v>6704</v>
      </c>
      <c r="AB332" t="s">
        <v>74</v>
      </c>
      <c r="AC332" t="s">
        <v>6705</v>
      </c>
      <c r="AD332" t="s">
        <v>6706</v>
      </c>
      <c r="AE332" t="s">
        <v>6707</v>
      </c>
      <c r="AF332" t="s">
        <v>74</v>
      </c>
      <c r="AG332">
        <v>49</v>
      </c>
      <c r="AH332">
        <v>10</v>
      </c>
      <c r="AI332">
        <v>11</v>
      </c>
      <c r="AJ332">
        <v>0</v>
      </c>
      <c r="AK332">
        <v>7</v>
      </c>
      <c r="AL332" t="s">
        <v>6708</v>
      </c>
      <c r="AM332" t="s">
        <v>6709</v>
      </c>
      <c r="AN332" t="s">
        <v>6710</v>
      </c>
      <c r="AO332" t="s">
        <v>6711</v>
      </c>
      <c r="AP332" t="s">
        <v>6712</v>
      </c>
      <c r="AQ332" t="s">
        <v>74</v>
      </c>
      <c r="AR332" t="s">
        <v>6713</v>
      </c>
      <c r="AS332" t="s">
        <v>6714</v>
      </c>
      <c r="AT332" t="s">
        <v>6261</v>
      </c>
      <c r="AU332">
        <v>2015</v>
      </c>
      <c r="AV332">
        <v>87</v>
      </c>
      <c r="AW332">
        <v>3</v>
      </c>
      <c r="AX332" t="s">
        <v>74</v>
      </c>
      <c r="AY332" t="s">
        <v>74</v>
      </c>
      <c r="AZ332" t="s">
        <v>74</v>
      </c>
      <c r="BA332" t="s">
        <v>74</v>
      </c>
      <c r="BB332">
        <v>1583</v>
      </c>
      <c r="BC332">
        <v>1597</v>
      </c>
      <c r="BD332" t="s">
        <v>74</v>
      </c>
      <c r="BE332" t="s">
        <v>6715</v>
      </c>
      <c r="BF332" t="str">
        <f>HYPERLINK("http://dx.doi.org/10.1590/0001-3765201520140651","http://dx.doi.org/10.1590/0001-3765201520140651")</f>
        <v>http://dx.doi.org/10.1590/0001-3765201520140651</v>
      </c>
      <c r="BG332" t="s">
        <v>74</v>
      </c>
      <c r="BH332" t="s">
        <v>74</v>
      </c>
      <c r="BI332">
        <v>15</v>
      </c>
      <c r="BJ332" t="s">
        <v>530</v>
      </c>
      <c r="BK332" t="s">
        <v>101</v>
      </c>
      <c r="BL332" t="s">
        <v>531</v>
      </c>
      <c r="BM332" t="s">
        <v>6716</v>
      </c>
      <c r="BN332">
        <v>26312427</v>
      </c>
      <c r="BO332" t="s">
        <v>6717</v>
      </c>
      <c r="BP332" t="s">
        <v>74</v>
      </c>
      <c r="BQ332" t="s">
        <v>74</v>
      </c>
      <c r="BR332" t="s">
        <v>103</v>
      </c>
      <c r="BS332" t="s">
        <v>6718</v>
      </c>
      <c r="BT332" t="str">
        <f>HYPERLINK("https%3A%2F%2Fwww.webofscience.com%2Fwos%2Fwoscc%2Ffull-record%2FWOS:000361842000009","View Full Record in Web of Science")</f>
        <v>View Full Record in Web of Science</v>
      </c>
    </row>
    <row r="333" spans="1:72" x14ac:dyDescent="0.15">
      <c r="A333" t="s">
        <v>72</v>
      </c>
      <c r="B333" t="s">
        <v>6719</v>
      </c>
      <c r="C333" t="s">
        <v>74</v>
      </c>
      <c r="D333" t="s">
        <v>74</v>
      </c>
      <c r="E333" t="s">
        <v>74</v>
      </c>
      <c r="F333" t="s">
        <v>6720</v>
      </c>
      <c r="G333" t="s">
        <v>74</v>
      </c>
      <c r="H333" t="s">
        <v>74</v>
      </c>
      <c r="I333" t="s">
        <v>6721</v>
      </c>
      <c r="J333" t="s">
        <v>6722</v>
      </c>
      <c r="K333" t="s">
        <v>74</v>
      </c>
      <c r="L333" t="s">
        <v>74</v>
      </c>
      <c r="M333" t="s">
        <v>78</v>
      </c>
      <c r="N333" t="s">
        <v>79</v>
      </c>
      <c r="O333" t="s">
        <v>74</v>
      </c>
      <c r="P333" t="s">
        <v>74</v>
      </c>
      <c r="Q333" t="s">
        <v>74</v>
      </c>
      <c r="R333" t="s">
        <v>74</v>
      </c>
      <c r="S333" t="s">
        <v>74</v>
      </c>
      <c r="T333" t="s">
        <v>6723</v>
      </c>
      <c r="U333" t="s">
        <v>6724</v>
      </c>
      <c r="V333" t="s">
        <v>6725</v>
      </c>
      <c r="W333" t="s">
        <v>6726</v>
      </c>
      <c r="X333" t="s">
        <v>6727</v>
      </c>
      <c r="Y333" t="s">
        <v>6728</v>
      </c>
      <c r="Z333" t="s">
        <v>6729</v>
      </c>
      <c r="AA333" t="s">
        <v>74</v>
      </c>
      <c r="AB333" t="s">
        <v>74</v>
      </c>
      <c r="AC333" t="s">
        <v>6730</v>
      </c>
      <c r="AD333" t="s">
        <v>6731</v>
      </c>
      <c r="AE333" t="s">
        <v>74</v>
      </c>
      <c r="AF333" t="s">
        <v>74</v>
      </c>
      <c r="AG333">
        <v>50</v>
      </c>
      <c r="AH333">
        <v>9</v>
      </c>
      <c r="AI333">
        <v>11</v>
      </c>
      <c r="AJ333">
        <v>0</v>
      </c>
      <c r="AK333">
        <v>23</v>
      </c>
      <c r="AL333" t="s">
        <v>1448</v>
      </c>
      <c r="AM333" t="s">
        <v>1449</v>
      </c>
      <c r="AN333" t="s">
        <v>1450</v>
      </c>
      <c r="AO333" t="s">
        <v>6732</v>
      </c>
      <c r="AP333" t="s">
        <v>6733</v>
      </c>
      <c r="AQ333" t="s">
        <v>74</v>
      </c>
      <c r="AR333" t="s">
        <v>6734</v>
      </c>
      <c r="AS333" t="s">
        <v>6735</v>
      </c>
      <c r="AT333" t="s">
        <v>6261</v>
      </c>
      <c r="AU333">
        <v>2015</v>
      </c>
      <c r="AV333">
        <v>69</v>
      </c>
      <c r="AW333">
        <v>9</v>
      </c>
      <c r="AX333" t="s">
        <v>74</v>
      </c>
      <c r="AY333" t="s">
        <v>74</v>
      </c>
      <c r="AZ333" t="s">
        <v>74</v>
      </c>
      <c r="BA333" t="s">
        <v>74</v>
      </c>
      <c r="BB333">
        <v>1059</v>
      </c>
      <c r="BC333">
        <v>1065</v>
      </c>
      <c r="BD333" t="s">
        <v>74</v>
      </c>
      <c r="BE333" t="s">
        <v>6736</v>
      </c>
      <c r="BF333" t="str">
        <f>HYPERLINK("http://dx.doi.org/10.1366/14-07843","http://dx.doi.org/10.1366/14-07843")</f>
        <v>http://dx.doi.org/10.1366/14-07843</v>
      </c>
      <c r="BG333" t="s">
        <v>74</v>
      </c>
      <c r="BH333" t="s">
        <v>74</v>
      </c>
      <c r="BI333">
        <v>7</v>
      </c>
      <c r="BJ333" t="s">
        <v>6737</v>
      </c>
      <c r="BK333" t="s">
        <v>101</v>
      </c>
      <c r="BL333" t="s">
        <v>6737</v>
      </c>
      <c r="BM333" t="s">
        <v>6738</v>
      </c>
      <c r="BN333">
        <v>26414525</v>
      </c>
      <c r="BO333" t="s">
        <v>74</v>
      </c>
      <c r="BP333" t="s">
        <v>74</v>
      </c>
      <c r="BQ333" t="s">
        <v>74</v>
      </c>
      <c r="BR333" t="s">
        <v>103</v>
      </c>
      <c r="BS333" t="s">
        <v>6739</v>
      </c>
      <c r="BT333" t="str">
        <f>HYPERLINK("https%3A%2F%2Fwww.webofscience.com%2Fwos%2Fwoscc%2Ffull-record%2FWOS:000361929300008","View Full Record in Web of Science")</f>
        <v>View Full Record in Web of Science</v>
      </c>
    </row>
    <row r="334" spans="1:72" x14ac:dyDescent="0.15">
      <c r="A334" t="s">
        <v>72</v>
      </c>
      <c r="B334" t="s">
        <v>6740</v>
      </c>
      <c r="C334" t="s">
        <v>74</v>
      </c>
      <c r="D334" t="s">
        <v>74</v>
      </c>
      <c r="E334" t="s">
        <v>74</v>
      </c>
      <c r="F334" t="s">
        <v>6741</v>
      </c>
      <c r="G334" t="s">
        <v>74</v>
      </c>
      <c r="H334" t="s">
        <v>74</v>
      </c>
      <c r="I334" t="s">
        <v>6742</v>
      </c>
      <c r="J334" t="s">
        <v>6743</v>
      </c>
      <c r="K334" t="s">
        <v>74</v>
      </c>
      <c r="L334" t="s">
        <v>74</v>
      </c>
      <c r="M334" t="s">
        <v>78</v>
      </c>
      <c r="N334" t="s">
        <v>79</v>
      </c>
      <c r="O334" t="s">
        <v>74</v>
      </c>
      <c r="P334" t="s">
        <v>74</v>
      </c>
      <c r="Q334" t="s">
        <v>74</v>
      </c>
      <c r="R334" t="s">
        <v>74</v>
      </c>
      <c r="S334" t="s">
        <v>74</v>
      </c>
      <c r="T334" t="s">
        <v>74</v>
      </c>
      <c r="U334" t="s">
        <v>6744</v>
      </c>
      <c r="V334" t="s">
        <v>6745</v>
      </c>
      <c r="W334" t="s">
        <v>6746</v>
      </c>
      <c r="X334" t="s">
        <v>6747</v>
      </c>
      <c r="Y334" t="s">
        <v>6748</v>
      </c>
      <c r="Z334" t="s">
        <v>6749</v>
      </c>
      <c r="AA334" t="s">
        <v>6750</v>
      </c>
      <c r="AB334" t="s">
        <v>6751</v>
      </c>
      <c r="AC334" t="s">
        <v>6752</v>
      </c>
      <c r="AD334" t="s">
        <v>6753</v>
      </c>
      <c r="AE334" t="s">
        <v>6754</v>
      </c>
      <c r="AF334" t="s">
        <v>74</v>
      </c>
      <c r="AG334">
        <v>31</v>
      </c>
      <c r="AH334">
        <v>32</v>
      </c>
      <c r="AI334">
        <v>32</v>
      </c>
      <c r="AJ334">
        <v>0</v>
      </c>
      <c r="AK334">
        <v>15</v>
      </c>
      <c r="AL334" t="s">
        <v>263</v>
      </c>
      <c r="AM334" t="s">
        <v>264</v>
      </c>
      <c r="AN334" t="s">
        <v>265</v>
      </c>
      <c r="AO334" t="s">
        <v>6755</v>
      </c>
      <c r="AP334" t="s">
        <v>6756</v>
      </c>
      <c r="AQ334" t="s">
        <v>74</v>
      </c>
      <c r="AR334" t="s">
        <v>6757</v>
      </c>
      <c r="AS334" t="s">
        <v>6758</v>
      </c>
      <c r="AT334" t="s">
        <v>6261</v>
      </c>
      <c r="AU334">
        <v>2015</v>
      </c>
      <c r="AV334">
        <v>96</v>
      </c>
      <c r="AW334">
        <v>9</v>
      </c>
      <c r="AX334" t="s">
        <v>74</v>
      </c>
      <c r="AY334" t="s">
        <v>74</v>
      </c>
      <c r="AZ334" t="s">
        <v>74</v>
      </c>
      <c r="BA334" t="s">
        <v>74</v>
      </c>
      <c r="BB334">
        <v>1505</v>
      </c>
      <c r="BC334">
        <v>1518</v>
      </c>
      <c r="BD334" t="s">
        <v>74</v>
      </c>
      <c r="BE334" t="s">
        <v>6759</v>
      </c>
      <c r="BF334" t="str">
        <f>HYPERLINK("http://dx.doi.org/10.1175/BAMS-D-13-00286.1","http://dx.doi.org/10.1175/BAMS-D-13-00286.1")</f>
        <v>http://dx.doi.org/10.1175/BAMS-D-13-00286.1</v>
      </c>
      <c r="BG334" t="s">
        <v>74</v>
      </c>
      <c r="BH334" t="s">
        <v>74</v>
      </c>
      <c r="BI334">
        <v>14</v>
      </c>
      <c r="BJ334" t="s">
        <v>271</v>
      </c>
      <c r="BK334" t="s">
        <v>101</v>
      </c>
      <c r="BL334" t="s">
        <v>271</v>
      </c>
      <c r="BM334" t="s">
        <v>6760</v>
      </c>
      <c r="BN334" t="s">
        <v>74</v>
      </c>
      <c r="BO334" t="s">
        <v>1509</v>
      </c>
      <c r="BP334" t="s">
        <v>74</v>
      </c>
      <c r="BQ334" t="s">
        <v>74</v>
      </c>
      <c r="BR334" t="s">
        <v>103</v>
      </c>
      <c r="BS334" t="s">
        <v>6761</v>
      </c>
      <c r="BT334" t="str">
        <f>HYPERLINK("https%3A%2F%2Fwww.webofscience.com%2Fwos%2Fwoscc%2Ffull-record%2FWOS:000362208700001","View Full Record in Web of Science")</f>
        <v>View Full Record in Web of Science</v>
      </c>
    </row>
    <row r="335" spans="1:72" x14ac:dyDescent="0.15">
      <c r="A335" t="s">
        <v>72</v>
      </c>
      <c r="B335" t="s">
        <v>6762</v>
      </c>
      <c r="C335" t="s">
        <v>74</v>
      </c>
      <c r="D335" t="s">
        <v>74</v>
      </c>
      <c r="E335" t="s">
        <v>74</v>
      </c>
      <c r="F335" t="s">
        <v>6763</v>
      </c>
      <c r="G335" t="s">
        <v>74</v>
      </c>
      <c r="H335" t="s">
        <v>74</v>
      </c>
      <c r="I335" t="s">
        <v>6764</v>
      </c>
      <c r="J335" t="s">
        <v>6765</v>
      </c>
      <c r="K335" t="s">
        <v>74</v>
      </c>
      <c r="L335" t="s">
        <v>74</v>
      </c>
      <c r="M335" t="s">
        <v>78</v>
      </c>
      <c r="N335" t="s">
        <v>79</v>
      </c>
      <c r="O335" t="s">
        <v>74</v>
      </c>
      <c r="P335" t="s">
        <v>74</v>
      </c>
      <c r="Q335" t="s">
        <v>74</v>
      </c>
      <c r="R335" t="s">
        <v>74</v>
      </c>
      <c r="S335" t="s">
        <v>74</v>
      </c>
      <c r="T335" t="s">
        <v>74</v>
      </c>
      <c r="U335" t="s">
        <v>6766</v>
      </c>
      <c r="V335" t="s">
        <v>6767</v>
      </c>
      <c r="W335" t="s">
        <v>6768</v>
      </c>
      <c r="X335" t="s">
        <v>6769</v>
      </c>
      <c r="Y335" t="s">
        <v>6770</v>
      </c>
      <c r="Z335" t="s">
        <v>6771</v>
      </c>
      <c r="AA335" t="s">
        <v>6772</v>
      </c>
      <c r="AB335" t="s">
        <v>6773</v>
      </c>
      <c r="AC335" t="s">
        <v>6774</v>
      </c>
      <c r="AD335" t="s">
        <v>6775</v>
      </c>
      <c r="AE335" t="s">
        <v>6776</v>
      </c>
      <c r="AF335" t="s">
        <v>74</v>
      </c>
      <c r="AG335">
        <v>62</v>
      </c>
      <c r="AH335">
        <v>17</v>
      </c>
      <c r="AI335">
        <v>20</v>
      </c>
      <c r="AJ335">
        <v>0</v>
      </c>
      <c r="AK335">
        <v>37</v>
      </c>
      <c r="AL335" t="s">
        <v>208</v>
      </c>
      <c r="AM335" t="s">
        <v>209</v>
      </c>
      <c r="AN335" t="s">
        <v>210</v>
      </c>
      <c r="AO335" t="s">
        <v>6777</v>
      </c>
      <c r="AP335" t="s">
        <v>74</v>
      </c>
      <c r="AQ335" t="s">
        <v>74</v>
      </c>
      <c r="AR335" t="s">
        <v>6778</v>
      </c>
      <c r="AS335" t="s">
        <v>6779</v>
      </c>
      <c r="AT335" t="s">
        <v>6261</v>
      </c>
      <c r="AU335">
        <v>2015</v>
      </c>
      <c r="AV335">
        <v>13</v>
      </c>
      <c r="AW335">
        <v>9</v>
      </c>
      <c r="AX335" t="s">
        <v>74</v>
      </c>
      <c r="AY335" t="s">
        <v>74</v>
      </c>
      <c r="AZ335" t="s">
        <v>74</v>
      </c>
      <c r="BA335" t="s">
        <v>74</v>
      </c>
      <c r="BB335">
        <v>494</v>
      </c>
      <c r="BC335">
        <v>508</v>
      </c>
      <c r="BD335" t="s">
        <v>74</v>
      </c>
      <c r="BE335" t="s">
        <v>6780</v>
      </c>
      <c r="BF335" t="str">
        <f>HYPERLINK("http://dx.doi.org/10.1002/lom3.10043","http://dx.doi.org/10.1002/lom3.10043")</f>
        <v>http://dx.doi.org/10.1002/lom3.10043</v>
      </c>
      <c r="BG335" t="s">
        <v>74</v>
      </c>
      <c r="BH335" t="s">
        <v>74</v>
      </c>
      <c r="BI335">
        <v>15</v>
      </c>
      <c r="BJ335" t="s">
        <v>477</v>
      </c>
      <c r="BK335" t="s">
        <v>101</v>
      </c>
      <c r="BL335" t="s">
        <v>478</v>
      </c>
      <c r="BM335" t="s">
        <v>6781</v>
      </c>
      <c r="BN335" t="s">
        <v>74</v>
      </c>
      <c r="BO335" t="s">
        <v>162</v>
      </c>
      <c r="BP335" t="s">
        <v>74</v>
      </c>
      <c r="BQ335" t="s">
        <v>74</v>
      </c>
      <c r="BR335" t="s">
        <v>103</v>
      </c>
      <c r="BS335" t="s">
        <v>6782</v>
      </c>
      <c r="BT335" t="str">
        <f>HYPERLINK("https%3A%2F%2Fwww.webofscience.com%2Fwos%2Fwoscc%2Ffull-record%2FWOS:000361968000004","View Full Record in Web of Science")</f>
        <v>View Full Record in Web of Science</v>
      </c>
    </row>
    <row r="336" spans="1:72" x14ac:dyDescent="0.15">
      <c r="A336" t="s">
        <v>72</v>
      </c>
      <c r="B336" t="s">
        <v>6783</v>
      </c>
      <c r="C336" t="s">
        <v>74</v>
      </c>
      <c r="D336" t="s">
        <v>74</v>
      </c>
      <c r="E336" t="s">
        <v>74</v>
      </c>
      <c r="F336" t="s">
        <v>6784</v>
      </c>
      <c r="G336" t="s">
        <v>74</v>
      </c>
      <c r="H336" t="s">
        <v>74</v>
      </c>
      <c r="I336" t="s">
        <v>6785</v>
      </c>
      <c r="J336" t="s">
        <v>6786</v>
      </c>
      <c r="K336" t="s">
        <v>74</v>
      </c>
      <c r="L336" t="s">
        <v>74</v>
      </c>
      <c r="M336" t="s">
        <v>78</v>
      </c>
      <c r="N336" t="s">
        <v>79</v>
      </c>
      <c r="O336" t="s">
        <v>74</v>
      </c>
      <c r="P336" t="s">
        <v>74</v>
      </c>
      <c r="Q336" t="s">
        <v>74</v>
      </c>
      <c r="R336" t="s">
        <v>74</v>
      </c>
      <c r="S336" t="s">
        <v>74</v>
      </c>
      <c r="T336" t="s">
        <v>6787</v>
      </c>
      <c r="U336" t="s">
        <v>6788</v>
      </c>
      <c r="V336" t="s">
        <v>6789</v>
      </c>
      <c r="W336" t="s">
        <v>6790</v>
      </c>
      <c r="X336" t="s">
        <v>6791</v>
      </c>
      <c r="Y336" t="s">
        <v>6792</v>
      </c>
      <c r="Z336" t="s">
        <v>6793</v>
      </c>
      <c r="AA336" t="s">
        <v>6794</v>
      </c>
      <c r="AB336" t="s">
        <v>6795</v>
      </c>
      <c r="AC336" t="s">
        <v>6796</v>
      </c>
      <c r="AD336" t="s">
        <v>6797</v>
      </c>
      <c r="AE336" t="s">
        <v>6798</v>
      </c>
      <c r="AF336" t="s">
        <v>74</v>
      </c>
      <c r="AG336">
        <v>55</v>
      </c>
      <c r="AH336">
        <v>16</v>
      </c>
      <c r="AI336">
        <v>16</v>
      </c>
      <c r="AJ336">
        <v>0</v>
      </c>
      <c r="AK336">
        <v>22</v>
      </c>
      <c r="AL336" t="s">
        <v>6460</v>
      </c>
      <c r="AM336" t="s">
        <v>3041</v>
      </c>
      <c r="AN336" t="s">
        <v>6461</v>
      </c>
      <c r="AO336" t="s">
        <v>6799</v>
      </c>
      <c r="AP336" t="s">
        <v>74</v>
      </c>
      <c r="AQ336" t="s">
        <v>74</v>
      </c>
      <c r="AR336" t="s">
        <v>6800</v>
      </c>
      <c r="AS336" t="s">
        <v>6801</v>
      </c>
      <c r="AT336" t="s">
        <v>6261</v>
      </c>
      <c r="AU336">
        <v>2015</v>
      </c>
      <c r="AV336">
        <v>13</v>
      </c>
      <c r="AW336">
        <v>9</v>
      </c>
      <c r="AX336" t="s">
        <v>74</v>
      </c>
      <c r="AY336" t="s">
        <v>74</v>
      </c>
      <c r="AZ336" t="s">
        <v>74</v>
      </c>
      <c r="BA336" t="s">
        <v>74</v>
      </c>
      <c r="BB336">
        <v>5706</v>
      </c>
      <c r="BC336">
        <v>5721</v>
      </c>
      <c r="BD336" t="s">
        <v>74</v>
      </c>
      <c r="BE336" t="s">
        <v>6802</v>
      </c>
      <c r="BF336" t="str">
        <f>HYPERLINK("http://dx.doi.org/10.3390/md13095706","http://dx.doi.org/10.3390/md13095706")</f>
        <v>http://dx.doi.org/10.3390/md13095706</v>
      </c>
      <c r="BG336" t="s">
        <v>74</v>
      </c>
      <c r="BH336" t="s">
        <v>74</v>
      </c>
      <c r="BI336">
        <v>16</v>
      </c>
      <c r="BJ336" t="s">
        <v>6803</v>
      </c>
      <c r="BK336" t="s">
        <v>101</v>
      </c>
      <c r="BL336" t="s">
        <v>6804</v>
      </c>
      <c r="BM336" t="s">
        <v>6805</v>
      </c>
      <c r="BN336">
        <v>26371012</v>
      </c>
      <c r="BO336" t="s">
        <v>6806</v>
      </c>
      <c r="BP336" t="s">
        <v>74</v>
      </c>
      <c r="BQ336" t="s">
        <v>74</v>
      </c>
      <c r="BR336" t="s">
        <v>103</v>
      </c>
      <c r="BS336" t="s">
        <v>6807</v>
      </c>
      <c r="BT336" t="str">
        <f>HYPERLINK("https%3A%2F%2Fwww.webofscience.com%2Fwos%2Fwoscc%2Ffull-record%2FWOS:000361891700013","View Full Record in Web of Science")</f>
        <v>View Full Record in Web of Science</v>
      </c>
    </row>
    <row r="337" spans="1:72" x14ac:dyDescent="0.15">
      <c r="A337" t="s">
        <v>72</v>
      </c>
      <c r="B337" t="s">
        <v>6808</v>
      </c>
      <c r="C337" t="s">
        <v>74</v>
      </c>
      <c r="D337" t="s">
        <v>74</v>
      </c>
      <c r="E337" t="s">
        <v>74</v>
      </c>
      <c r="F337" t="s">
        <v>6809</v>
      </c>
      <c r="G337" t="s">
        <v>74</v>
      </c>
      <c r="H337" t="s">
        <v>74</v>
      </c>
      <c r="I337" t="s">
        <v>6810</v>
      </c>
      <c r="J337" t="s">
        <v>6811</v>
      </c>
      <c r="K337" t="s">
        <v>74</v>
      </c>
      <c r="L337" t="s">
        <v>74</v>
      </c>
      <c r="M337" t="s">
        <v>78</v>
      </c>
      <c r="N337" t="s">
        <v>79</v>
      </c>
      <c r="O337" t="s">
        <v>74</v>
      </c>
      <c r="P337" t="s">
        <v>74</v>
      </c>
      <c r="Q337" t="s">
        <v>74</v>
      </c>
      <c r="R337" t="s">
        <v>74</v>
      </c>
      <c r="S337" t="s">
        <v>74</v>
      </c>
      <c r="T337" t="s">
        <v>6812</v>
      </c>
      <c r="U337" t="s">
        <v>6813</v>
      </c>
      <c r="V337" t="s">
        <v>6814</v>
      </c>
      <c r="W337" t="s">
        <v>6815</v>
      </c>
      <c r="X337" t="s">
        <v>6816</v>
      </c>
      <c r="Y337" t="s">
        <v>6817</v>
      </c>
      <c r="Z337" t="s">
        <v>6818</v>
      </c>
      <c r="AA337" t="s">
        <v>74</v>
      </c>
      <c r="AB337" t="s">
        <v>6819</v>
      </c>
      <c r="AC337" t="s">
        <v>6820</v>
      </c>
      <c r="AD337" t="s">
        <v>6820</v>
      </c>
      <c r="AE337" t="s">
        <v>6821</v>
      </c>
      <c r="AF337" t="s">
        <v>74</v>
      </c>
      <c r="AG337">
        <v>48</v>
      </c>
      <c r="AH337">
        <v>4</v>
      </c>
      <c r="AI337">
        <v>6</v>
      </c>
      <c r="AJ337">
        <v>0</v>
      </c>
      <c r="AK337">
        <v>9</v>
      </c>
      <c r="AL337" t="s">
        <v>1974</v>
      </c>
      <c r="AM337" t="s">
        <v>180</v>
      </c>
      <c r="AN337" t="s">
        <v>1975</v>
      </c>
      <c r="AO337" t="s">
        <v>6822</v>
      </c>
      <c r="AP337" t="s">
        <v>6823</v>
      </c>
      <c r="AQ337" t="s">
        <v>74</v>
      </c>
      <c r="AR337" t="s">
        <v>6824</v>
      </c>
      <c r="AS337" t="s">
        <v>6825</v>
      </c>
      <c r="AT337" t="s">
        <v>6307</v>
      </c>
      <c r="AU337">
        <v>2015</v>
      </c>
      <c r="AV337">
        <v>56</v>
      </c>
      <c r="AW337" t="s">
        <v>74</v>
      </c>
      <c r="AX337" t="s">
        <v>74</v>
      </c>
      <c r="AY337" t="s">
        <v>74</v>
      </c>
      <c r="AZ337" t="s">
        <v>74</v>
      </c>
      <c r="BA337" t="s">
        <v>74</v>
      </c>
      <c r="BB337">
        <v>141</v>
      </c>
      <c r="BC337">
        <v>154</v>
      </c>
      <c r="BD337" t="s">
        <v>74</v>
      </c>
      <c r="BE337" t="s">
        <v>6826</v>
      </c>
      <c r="BF337" t="str">
        <f>HYPERLINK("http://dx.doi.org/10.1016/j.cretres.2015.04.015","http://dx.doi.org/10.1016/j.cretres.2015.04.015")</f>
        <v>http://dx.doi.org/10.1016/j.cretres.2015.04.015</v>
      </c>
      <c r="BG337" t="s">
        <v>74</v>
      </c>
      <c r="BH337" t="s">
        <v>74</v>
      </c>
      <c r="BI337">
        <v>14</v>
      </c>
      <c r="BJ337" t="s">
        <v>6827</v>
      </c>
      <c r="BK337" t="s">
        <v>101</v>
      </c>
      <c r="BL337" t="s">
        <v>6827</v>
      </c>
      <c r="BM337" t="s">
        <v>6828</v>
      </c>
      <c r="BN337" t="s">
        <v>74</v>
      </c>
      <c r="BO337" t="s">
        <v>1213</v>
      </c>
      <c r="BP337" t="s">
        <v>74</v>
      </c>
      <c r="BQ337" t="s">
        <v>74</v>
      </c>
      <c r="BR337" t="s">
        <v>103</v>
      </c>
      <c r="BS337" t="s">
        <v>6829</v>
      </c>
      <c r="BT337" t="str">
        <f>HYPERLINK("https%3A%2F%2Fwww.webofscience.com%2Fwos%2Fwoscc%2Ffull-record%2FWOS:000361773000010","View Full Record in Web of Science")</f>
        <v>View Full Record in Web of Science</v>
      </c>
    </row>
    <row r="338" spans="1:72" x14ac:dyDescent="0.15">
      <c r="A338" t="s">
        <v>72</v>
      </c>
      <c r="B338" t="s">
        <v>6830</v>
      </c>
      <c r="C338" t="s">
        <v>74</v>
      </c>
      <c r="D338" t="s">
        <v>74</v>
      </c>
      <c r="E338" t="s">
        <v>74</v>
      </c>
      <c r="F338" t="s">
        <v>6831</v>
      </c>
      <c r="G338" t="s">
        <v>74</v>
      </c>
      <c r="H338" t="s">
        <v>74</v>
      </c>
      <c r="I338" t="s">
        <v>6832</v>
      </c>
      <c r="J338" t="s">
        <v>6811</v>
      </c>
      <c r="K338" t="s">
        <v>74</v>
      </c>
      <c r="L338" t="s">
        <v>74</v>
      </c>
      <c r="M338" t="s">
        <v>78</v>
      </c>
      <c r="N338" t="s">
        <v>79</v>
      </c>
      <c r="O338" t="s">
        <v>74</v>
      </c>
      <c r="P338" t="s">
        <v>74</v>
      </c>
      <c r="Q338" t="s">
        <v>74</v>
      </c>
      <c r="R338" t="s">
        <v>74</v>
      </c>
      <c r="S338" t="s">
        <v>74</v>
      </c>
      <c r="T338" t="s">
        <v>6833</v>
      </c>
      <c r="U338" t="s">
        <v>6834</v>
      </c>
      <c r="V338" t="s">
        <v>6835</v>
      </c>
      <c r="W338" t="s">
        <v>6836</v>
      </c>
      <c r="X338" t="s">
        <v>6837</v>
      </c>
      <c r="Y338" t="s">
        <v>6838</v>
      </c>
      <c r="Z338" t="s">
        <v>6839</v>
      </c>
      <c r="AA338" t="s">
        <v>6840</v>
      </c>
      <c r="AB338" t="s">
        <v>6841</v>
      </c>
      <c r="AC338" t="s">
        <v>6842</v>
      </c>
      <c r="AD338" t="s">
        <v>6843</v>
      </c>
      <c r="AE338" t="s">
        <v>6844</v>
      </c>
      <c r="AF338" t="s">
        <v>74</v>
      </c>
      <c r="AG338">
        <v>70</v>
      </c>
      <c r="AH338">
        <v>9</v>
      </c>
      <c r="AI338">
        <v>10</v>
      </c>
      <c r="AJ338">
        <v>2</v>
      </c>
      <c r="AK338">
        <v>8</v>
      </c>
      <c r="AL338" t="s">
        <v>1974</v>
      </c>
      <c r="AM338" t="s">
        <v>180</v>
      </c>
      <c r="AN338" t="s">
        <v>1975</v>
      </c>
      <c r="AO338" t="s">
        <v>6822</v>
      </c>
      <c r="AP338" t="s">
        <v>6823</v>
      </c>
      <c r="AQ338" t="s">
        <v>74</v>
      </c>
      <c r="AR338" t="s">
        <v>6824</v>
      </c>
      <c r="AS338" t="s">
        <v>6825</v>
      </c>
      <c r="AT338" t="s">
        <v>6307</v>
      </c>
      <c r="AU338">
        <v>2015</v>
      </c>
      <c r="AV338">
        <v>56</v>
      </c>
      <c r="AW338" t="s">
        <v>74</v>
      </c>
      <c r="AX338" t="s">
        <v>74</v>
      </c>
      <c r="AY338" t="s">
        <v>74</v>
      </c>
      <c r="AZ338" t="s">
        <v>74</v>
      </c>
      <c r="BA338" t="s">
        <v>74</v>
      </c>
      <c r="BB338">
        <v>550</v>
      </c>
      <c r="BC338">
        <v>562</v>
      </c>
      <c r="BD338" t="s">
        <v>74</v>
      </c>
      <c r="BE338" t="s">
        <v>6845</v>
      </c>
      <c r="BF338" t="str">
        <f>HYPERLINK("http://dx.doi.org/10.1016/j.cretres.2015.06.009","http://dx.doi.org/10.1016/j.cretres.2015.06.009")</f>
        <v>http://dx.doi.org/10.1016/j.cretres.2015.06.009</v>
      </c>
      <c r="BG338" t="s">
        <v>74</v>
      </c>
      <c r="BH338" t="s">
        <v>74</v>
      </c>
      <c r="BI338">
        <v>13</v>
      </c>
      <c r="BJ338" t="s">
        <v>6827</v>
      </c>
      <c r="BK338" t="s">
        <v>101</v>
      </c>
      <c r="BL338" t="s">
        <v>6827</v>
      </c>
      <c r="BM338" t="s">
        <v>6828</v>
      </c>
      <c r="BN338" t="s">
        <v>74</v>
      </c>
      <c r="BO338" t="s">
        <v>1213</v>
      </c>
      <c r="BP338" t="s">
        <v>74</v>
      </c>
      <c r="BQ338" t="s">
        <v>74</v>
      </c>
      <c r="BR338" t="s">
        <v>103</v>
      </c>
      <c r="BS338" t="s">
        <v>6846</v>
      </c>
      <c r="BT338" t="str">
        <f>HYPERLINK("https%3A%2F%2Fwww.webofscience.com%2Fwos%2Fwoscc%2Ffull-record%2FWOS:000361773000041","View Full Record in Web of Science")</f>
        <v>View Full Record in Web of Science</v>
      </c>
    </row>
    <row r="339" spans="1:72" x14ac:dyDescent="0.15">
      <c r="A339" t="s">
        <v>72</v>
      </c>
      <c r="B339" t="s">
        <v>6847</v>
      </c>
      <c r="C339" t="s">
        <v>74</v>
      </c>
      <c r="D339" t="s">
        <v>74</v>
      </c>
      <c r="E339" t="s">
        <v>74</v>
      </c>
      <c r="F339" t="s">
        <v>6848</v>
      </c>
      <c r="G339" t="s">
        <v>74</v>
      </c>
      <c r="H339" t="s">
        <v>74</v>
      </c>
      <c r="I339" t="s">
        <v>6849</v>
      </c>
      <c r="J339" t="s">
        <v>6811</v>
      </c>
      <c r="K339" t="s">
        <v>74</v>
      </c>
      <c r="L339" t="s">
        <v>74</v>
      </c>
      <c r="M339" t="s">
        <v>78</v>
      </c>
      <c r="N339" t="s">
        <v>79</v>
      </c>
      <c r="O339" t="s">
        <v>74</v>
      </c>
      <c r="P339" t="s">
        <v>74</v>
      </c>
      <c r="Q339" t="s">
        <v>74</v>
      </c>
      <c r="R339" t="s">
        <v>74</v>
      </c>
      <c r="S339" t="s">
        <v>74</v>
      </c>
      <c r="T339" t="s">
        <v>6850</v>
      </c>
      <c r="U339" t="s">
        <v>6851</v>
      </c>
      <c r="V339" t="s">
        <v>6852</v>
      </c>
      <c r="W339" t="s">
        <v>6853</v>
      </c>
      <c r="X339" t="s">
        <v>6854</v>
      </c>
      <c r="Y339" t="s">
        <v>6855</v>
      </c>
      <c r="Z339" t="s">
        <v>6856</v>
      </c>
      <c r="AA339" t="s">
        <v>6857</v>
      </c>
      <c r="AB339" t="s">
        <v>6858</v>
      </c>
      <c r="AC339" t="s">
        <v>6859</v>
      </c>
      <c r="AD339" t="s">
        <v>6860</v>
      </c>
      <c r="AE339" t="s">
        <v>6861</v>
      </c>
      <c r="AF339" t="s">
        <v>74</v>
      </c>
      <c r="AG339">
        <v>55</v>
      </c>
      <c r="AH339">
        <v>12</v>
      </c>
      <c r="AI339">
        <v>15</v>
      </c>
      <c r="AJ339">
        <v>0</v>
      </c>
      <c r="AK339">
        <v>3</v>
      </c>
      <c r="AL339" t="s">
        <v>1974</v>
      </c>
      <c r="AM339" t="s">
        <v>180</v>
      </c>
      <c r="AN339" t="s">
        <v>1975</v>
      </c>
      <c r="AO339" t="s">
        <v>6822</v>
      </c>
      <c r="AP339" t="s">
        <v>6823</v>
      </c>
      <c r="AQ339" t="s">
        <v>74</v>
      </c>
      <c r="AR339" t="s">
        <v>6824</v>
      </c>
      <c r="AS339" t="s">
        <v>6825</v>
      </c>
      <c r="AT339" t="s">
        <v>6307</v>
      </c>
      <c r="AU339">
        <v>2015</v>
      </c>
      <c r="AV339">
        <v>56</v>
      </c>
      <c r="AW339" t="s">
        <v>74</v>
      </c>
      <c r="AX339" t="s">
        <v>74</v>
      </c>
      <c r="AY339" t="s">
        <v>74</v>
      </c>
      <c r="AZ339" t="s">
        <v>74</v>
      </c>
      <c r="BA339" t="s">
        <v>74</v>
      </c>
      <c r="BB339">
        <v>563</v>
      </c>
      <c r="BC339">
        <v>568</v>
      </c>
      <c r="BD339" t="s">
        <v>74</v>
      </c>
      <c r="BE339" t="s">
        <v>6862</v>
      </c>
      <c r="BF339" t="str">
        <f>HYPERLINK("http://dx.doi.org/10.1016/j.cretres.2015.06.015","http://dx.doi.org/10.1016/j.cretres.2015.06.015")</f>
        <v>http://dx.doi.org/10.1016/j.cretres.2015.06.015</v>
      </c>
      <c r="BG339" t="s">
        <v>74</v>
      </c>
      <c r="BH339" t="s">
        <v>74</v>
      </c>
      <c r="BI339">
        <v>6</v>
      </c>
      <c r="BJ339" t="s">
        <v>6827</v>
      </c>
      <c r="BK339" t="s">
        <v>101</v>
      </c>
      <c r="BL339" t="s">
        <v>6827</v>
      </c>
      <c r="BM339" t="s">
        <v>6828</v>
      </c>
      <c r="BN339" t="s">
        <v>74</v>
      </c>
      <c r="BO339" t="s">
        <v>74</v>
      </c>
      <c r="BP339" t="s">
        <v>74</v>
      </c>
      <c r="BQ339" t="s">
        <v>74</v>
      </c>
      <c r="BR339" t="s">
        <v>103</v>
      </c>
      <c r="BS339" t="s">
        <v>6863</v>
      </c>
      <c r="BT339" t="str">
        <f>HYPERLINK("https%3A%2F%2Fwww.webofscience.com%2Fwos%2Fwoscc%2Ffull-record%2FWOS:000361773000042","View Full Record in Web of Science")</f>
        <v>View Full Record in Web of Science</v>
      </c>
    </row>
    <row r="340" spans="1:72" x14ac:dyDescent="0.15">
      <c r="A340" t="s">
        <v>72</v>
      </c>
      <c r="B340" t="s">
        <v>6864</v>
      </c>
      <c r="C340" t="s">
        <v>74</v>
      </c>
      <c r="D340" t="s">
        <v>74</v>
      </c>
      <c r="E340" t="s">
        <v>74</v>
      </c>
      <c r="F340" t="s">
        <v>6865</v>
      </c>
      <c r="G340" t="s">
        <v>74</v>
      </c>
      <c r="H340" t="s">
        <v>74</v>
      </c>
      <c r="I340" t="s">
        <v>6866</v>
      </c>
      <c r="J340" t="s">
        <v>6867</v>
      </c>
      <c r="K340" t="s">
        <v>74</v>
      </c>
      <c r="L340" t="s">
        <v>74</v>
      </c>
      <c r="M340" t="s">
        <v>78</v>
      </c>
      <c r="N340" t="s">
        <v>79</v>
      </c>
      <c r="O340" t="s">
        <v>74</v>
      </c>
      <c r="P340" t="s">
        <v>74</v>
      </c>
      <c r="Q340" t="s">
        <v>74</v>
      </c>
      <c r="R340" t="s">
        <v>74</v>
      </c>
      <c r="S340" t="s">
        <v>74</v>
      </c>
      <c r="T340" t="s">
        <v>74</v>
      </c>
      <c r="U340" t="s">
        <v>6868</v>
      </c>
      <c r="V340" t="s">
        <v>6869</v>
      </c>
      <c r="W340" t="s">
        <v>6870</v>
      </c>
      <c r="X340" t="s">
        <v>6871</v>
      </c>
      <c r="Y340" t="s">
        <v>6872</v>
      </c>
      <c r="Z340" t="s">
        <v>6873</v>
      </c>
      <c r="AA340" t="s">
        <v>6874</v>
      </c>
      <c r="AB340" t="s">
        <v>6875</v>
      </c>
      <c r="AC340" t="s">
        <v>74</v>
      </c>
      <c r="AD340" t="s">
        <v>74</v>
      </c>
      <c r="AE340" t="s">
        <v>74</v>
      </c>
      <c r="AF340" t="s">
        <v>74</v>
      </c>
      <c r="AG340">
        <v>42</v>
      </c>
      <c r="AH340">
        <v>7</v>
      </c>
      <c r="AI340">
        <v>10</v>
      </c>
      <c r="AJ340">
        <v>0</v>
      </c>
      <c r="AK340">
        <v>10</v>
      </c>
      <c r="AL340" t="s">
        <v>2638</v>
      </c>
      <c r="AM340" t="s">
        <v>550</v>
      </c>
      <c r="AN340" t="s">
        <v>2639</v>
      </c>
      <c r="AO340" t="s">
        <v>6876</v>
      </c>
      <c r="AP340" t="s">
        <v>6877</v>
      </c>
      <c r="AQ340" t="s">
        <v>74</v>
      </c>
      <c r="AR340" t="s">
        <v>6878</v>
      </c>
      <c r="AS340" t="s">
        <v>6879</v>
      </c>
      <c r="AT340" t="s">
        <v>6261</v>
      </c>
      <c r="AU340">
        <v>2015</v>
      </c>
      <c r="AV340">
        <v>55</v>
      </c>
      <c r="AW340">
        <v>5</v>
      </c>
      <c r="AX340" t="s">
        <v>74</v>
      </c>
      <c r="AY340" t="s">
        <v>74</v>
      </c>
      <c r="AZ340" t="s">
        <v>74</v>
      </c>
      <c r="BA340" t="s">
        <v>74</v>
      </c>
      <c r="BB340">
        <v>650</v>
      </c>
      <c r="BC340">
        <v>657</v>
      </c>
      <c r="BD340" t="s">
        <v>74</v>
      </c>
      <c r="BE340" t="s">
        <v>6880</v>
      </c>
      <c r="BF340" t="str">
        <f>HYPERLINK("http://dx.doi.org/10.1134/S0016793215050151","http://dx.doi.org/10.1134/S0016793215050151")</f>
        <v>http://dx.doi.org/10.1134/S0016793215050151</v>
      </c>
      <c r="BG340" t="s">
        <v>74</v>
      </c>
      <c r="BH340" t="s">
        <v>74</v>
      </c>
      <c r="BI340">
        <v>8</v>
      </c>
      <c r="BJ340" t="s">
        <v>1707</v>
      </c>
      <c r="BK340" t="s">
        <v>101</v>
      </c>
      <c r="BL340" t="s">
        <v>1707</v>
      </c>
      <c r="BM340" t="s">
        <v>6881</v>
      </c>
      <c r="BN340" t="s">
        <v>74</v>
      </c>
      <c r="BO340" t="s">
        <v>74</v>
      </c>
      <c r="BP340" t="s">
        <v>74</v>
      </c>
      <c r="BQ340" t="s">
        <v>74</v>
      </c>
      <c r="BR340" t="s">
        <v>103</v>
      </c>
      <c r="BS340" t="s">
        <v>6882</v>
      </c>
      <c r="BT340" t="str">
        <f>HYPERLINK("https%3A%2F%2Fwww.webofscience.com%2Fwos%2Fwoscc%2Ffull-record%2FWOS:000361752900012","View Full Record in Web of Science")</f>
        <v>View Full Record in Web of Science</v>
      </c>
    </row>
    <row r="341" spans="1:72" x14ac:dyDescent="0.15">
      <c r="A341" t="s">
        <v>72</v>
      </c>
      <c r="B341" t="s">
        <v>6883</v>
      </c>
      <c r="C341" t="s">
        <v>74</v>
      </c>
      <c r="D341" t="s">
        <v>74</v>
      </c>
      <c r="E341" t="s">
        <v>74</v>
      </c>
      <c r="F341" t="s">
        <v>6884</v>
      </c>
      <c r="G341" t="s">
        <v>74</v>
      </c>
      <c r="H341" t="s">
        <v>74</v>
      </c>
      <c r="I341" t="s">
        <v>6885</v>
      </c>
      <c r="J341" t="s">
        <v>6886</v>
      </c>
      <c r="K341" t="s">
        <v>74</v>
      </c>
      <c r="L341" t="s">
        <v>74</v>
      </c>
      <c r="M341" t="s">
        <v>78</v>
      </c>
      <c r="N341" t="s">
        <v>79</v>
      </c>
      <c r="O341" t="s">
        <v>74</v>
      </c>
      <c r="P341" t="s">
        <v>74</v>
      </c>
      <c r="Q341" t="s">
        <v>74</v>
      </c>
      <c r="R341" t="s">
        <v>74</v>
      </c>
      <c r="S341" t="s">
        <v>74</v>
      </c>
      <c r="T341" t="s">
        <v>6887</v>
      </c>
      <c r="U341" t="s">
        <v>6888</v>
      </c>
      <c r="V341" t="s">
        <v>6889</v>
      </c>
      <c r="W341" t="s">
        <v>6890</v>
      </c>
      <c r="X341" t="s">
        <v>6891</v>
      </c>
      <c r="Y341" t="s">
        <v>6892</v>
      </c>
      <c r="Z341" t="s">
        <v>6893</v>
      </c>
      <c r="AA341" t="s">
        <v>74</v>
      </c>
      <c r="AB341" t="s">
        <v>74</v>
      </c>
      <c r="AC341" t="s">
        <v>6894</v>
      </c>
      <c r="AD341" t="s">
        <v>6895</v>
      </c>
      <c r="AE341" t="s">
        <v>6896</v>
      </c>
      <c r="AF341" t="s">
        <v>74</v>
      </c>
      <c r="AG341">
        <v>16</v>
      </c>
      <c r="AH341">
        <v>12</v>
      </c>
      <c r="AI341">
        <v>14</v>
      </c>
      <c r="AJ341">
        <v>5</v>
      </c>
      <c r="AK341">
        <v>60</v>
      </c>
      <c r="AL341" t="s">
        <v>6897</v>
      </c>
      <c r="AM341" t="s">
        <v>550</v>
      </c>
      <c r="AN341" t="s">
        <v>6898</v>
      </c>
      <c r="AO341" t="s">
        <v>6899</v>
      </c>
      <c r="AP341" t="s">
        <v>6900</v>
      </c>
      <c r="AQ341" t="s">
        <v>74</v>
      </c>
      <c r="AR341" t="s">
        <v>6901</v>
      </c>
      <c r="AS341" t="s">
        <v>6902</v>
      </c>
      <c r="AT341" t="s">
        <v>6261</v>
      </c>
      <c r="AU341">
        <v>2015</v>
      </c>
      <c r="AV341">
        <v>26</v>
      </c>
      <c r="AW341">
        <v>9</v>
      </c>
      <c r="AX341" t="s">
        <v>74</v>
      </c>
      <c r="AY341" t="s">
        <v>74</v>
      </c>
      <c r="AZ341" t="s">
        <v>74</v>
      </c>
      <c r="BA341" t="s">
        <v>74</v>
      </c>
      <c r="BB341">
        <v>1073</v>
      </c>
      <c r="BC341">
        <v>1078</v>
      </c>
      <c r="BD341" t="s">
        <v>74</v>
      </c>
      <c r="BE341" t="s">
        <v>6903</v>
      </c>
      <c r="BF341" t="str">
        <f>HYPERLINK("http://dx.doi.org/10.1016/j.cclet.2015.05.038","http://dx.doi.org/10.1016/j.cclet.2015.05.038")</f>
        <v>http://dx.doi.org/10.1016/j.cclet.2015.05.038</v>
      </c>
      <c r="BG341" t="s">
        <v>74</v>
      </c>
      <c r="BH341" t="s">
        <v>74</v>
      </c>
      <c r="BI341">
        <v>6</v>
      </c>
      <c r="BJ341" t="s">
        <v>6904</v>
      </c>
      <c r="BK341" t="s">
        <v>101</v>
      </c>
      <c r="BL341" t="s">
        <v>2442</v>
      </c>
      <c r="BM341" t="s">
        <v>6905</v>
      </c>
      <c r="BN341" t="s">
        <v>74</v>
      </c>
      <c r="BO341" t="s">
        <v>74</v>
      </c>
      <c r="BP341" t="s">
        <v>74</v>
      </c>
      <c r="BQ341" t="s">
        <v>74</v>
      </c>
      <c r="BR341" t="s">
        <v>103</v>
      </c>
      <c r="BS341" t="s">
        <v>6906</v>
      </c>
      <c r="BT341" t="str">
        <f>HYPERLINK("https%3A%2F%2Fwww.webofscience.com%2Fwos%2Fwoscc%2Ffull-record%2FWOS:000361407700005","View Full Record in Web of Science")</f>
        <v>View Full Record in Web of Science</v>
      </c>
    </row>
    <row r="342" spans="1:72" x14ac:dyDescent="0.15">
      <c r="A342" t="s">
        <v>72</v>
      </c>
      <c r="B342" t="s">
        <v>6907</v>
      </c>
      <c r="C342" t="s">
        <v>74</v>
      </c>
      <c r="D342" t="s">
        <v>74</v>
      </c>
      <c r="E342" t="s">
        <v>74</v>
      </c>
      <c r="F342" t="s">
        <v>6908</v>
      </c>
      <c r="G342" t="s">
        <v>74</v>
      </c>
      <c r="H342" t="s">
        <v>74</v>
      </c>
      <c r="I342" t="s">
        <v>6909</v>
      </c>
      <c r="J342" t="s">
        <v>6910</v>
      </c>
      <c r="K342" t="s">
        <v>74</v>
      </c>
      <c r="L342" t="s">
        <v>74</v>
      </c>
      <c r="M342" t="s">
        <v>78</v>
      </c>
      <c r="N342" t="s">
        <v>79</v>
      </c>
      <c r="O342" t="s">
        <v>74</v>
      </c>
      <c r="P342" t="s">
        <v>74</v>
      </c>
      <c r="Q342" t="s">
        <v>74</v>
      </c>
      <c r="R342" t="s">
        <v>74</v>
      </c>
      <c r="S342" t="s">
        <v>74</v>
      </c>
      <c r="T342" t="s">
        <v>6911</v>
      </c>
      <c r="U342" t="s">
        <v>6912</v>
      </c>
      <c r="V342" t="s">
        <v>6913</v>
      </c>
      <c r="W342" t="s">
        <v>6914</v>
      </c>
      <c r="X342" t="s">
        <v>5775</v>
      </c>
      <c r="Y342" t="s">
        <v>6915</v>
      </c>
      <c r="Z342" t="s">
        <v>6916</v>
      </c>
      <c r="AA342" t="s">
        <v>6917</v>
      </c>
      <c r="AB342" t="s">
        <v>6918</v>
      </c>
      <c r="AC342" t="s">
        <v>6919</v>
      </c>
      <c r="AD342" t="s">
        <v>6920</v>
      </c>
      <c r="AE342" t="s">
        <v>6921</v>
      </c>
      <c r="AF342" t="s">
        <v>74</v>
      </c>
      <c r="AG342">
        <v>54</v>
      </c>
      <c r="AH342">
        <v>9</v>
      </c>
      <c r="AI342">
        <v>10</v>
      </c>
      <c r="AJ342">
        <v>2</v>
      </c>
      <c r="AK342">
        <v>26</v>
      </c>
      <c r="AL342" t="s">
        <v>6922</v>
      </c>
      <c r="AM342" t="s">
        <v>307</v>
      </c>
      <c r="AN342" t="s">
        <v>6923</v>
      </c>
      <c r="AO342" t="s">
        <v>6924</v>
      </c>
      <c r="AP342" t="s">
        <v>6925</v>
      </c>
      <c r="AQ342" t="s">
        <v>74</v>
      </c>
      <c r="AR342" t="s">
        <v>6926</v>
      </c>
      <c r="AS342" t="s">
        <v>6927</v>
      </c>
      <c r="AT342" t="s">
        <v>6261</v>
      </c>
      <c r="AU342">
        <v>2015</v>
      </c>
      <c r="AV342">
        <v>14</v>
      </c>
      <c r="AW342">
        <v>9</v>
      </c>
      <c r="AX342" t="s">
        <v>74</v>
      </c>
      <c r="AY342" t="s">
        <v>74</v>
      </c>
      <c r="AZ342" t="s">
        <v>74</v>
      </c>
      <c r="BA342" t="s">
        <v>74</v>
      </c>
      <c r="BB342">
        <v>3848</v>
      </c>
      <c r="BC342">
        <v>3858</v>
      </c>
      <c r="BD342" t="s">
        <v>74</v>
      </c>
      <c r="BE342" t="s">
        <v>6928</v>
      </c>
      <c r="BF342" t="str">
        <f>HYPERLINK("http://dx.doi.org/10.1021/acs.jproteome.5b00241","http://dx.doi.org/10.1021/acs.jproteome.5b00241")</f>
        <v>http://dx.doi.org/10.1021/acs.jproteome.5b00241</v>
      </c>
      <c r="BG342" t="s">
        <v>74</v>
      </c>
      <c r="BH342" t="s">
        <v>74</v>
      </c>
      <c r="BI342">
        <v>11</v>
      </c>
      <c r="BJ342" t="s">
        <v>6929</v>
      </c>
      <c r="BK342" t="s">
        <v>101</v>
      </c>
      <c r="BL342" t="s">
        <v>2921</v>
      </c>
      <c r="BM342" t="s">
        <v>6930</v>
      </c>
      <c r="BN342">
        <v>26179671</v>
      </c>
      <c r="BO342" t="s">
        <v>74</v>
      </c>
      <c r="BP342" t="s">
        <v>74</v>
      </c>
      <c r="BQ342" t="s">
        <v>74</v>
      </c>
      <c r="BR342" t="s">
        <v>103</v>
      </c>
      <c r="BS342" t="s">
        <v>6931</v>
      </c>
      <c r="BT342" t="str">
        <f>HYPERLINK("https%3A%2F%2Fwww.webofscience.com%2Fwos%2Fwoscc%2Ffull-record%2FWOS:000361087100038","View Full Record in Web of Science")</f>
        <v>View Full Record in Web of Science</v>
      </c>
    </row>
    <row r="343" spans="1:72" x14ac:dyDescent="0.15">
      <c r="A343" t="s">
        <v>72</v>
      </c>
      <c r="B343" t="s">
        <v>6932</v>
      </c>
      <c r="C343" t="s">
        <v>74</v>
      </c>
      <c r="D343" t="s">
        <v>74</v>
      </c>
      <c r="E343" t="s">
        <v>74</v>
      </c>
      <c r="F343" t="s">
        <v>6933</v>
      </c>
      <c r="G343" t="s">
        <v>74</v>
      </c>
      <c r="H343" t="s">
        <v>74</v>
      </c>
      <c r="I343" t="s">
        <v>6934</v>
      </c>
      <c r="J343" t="s">
        <v>6935</v>
      </c>
      <c r="K343" t="s">
        <v>74</v>
      </c>
      <c r="L343" t="s">
        <v>74</v>
      </c>
      <c r="M343" t="s">
        <v>78</v>
      </c>
      <c r="N343" t="s">
        <v>79</v>
      </c>
      <c r="O343" t="s">
        <v>74</v>
      </c>
      <c r="P343" t="s">
        <v>74</v>
      </c>
      <c r="Q343" t="s">
        <v>74</v>
      </c>
      <c r="R343" t="s">
        <v>74</v>
      </c>
      <c r="S343" t="s">
        <v>74</v>
      </c>
      <c r="T343" t="s">
        <v>6936</v>
      </c>
      <c r="U343" t="s">
        <v>6937</v>
      </c>
      <c r="V343" t="s">
        <v>6938</v>
      </c>
      <c r="W343" t="s">
        <v>6939</v>
      </c>
      <c r="X343" t="s">
        <v>5758</v>
      </c>
      <c r="Y343" t="s">
        <v>6940</v>
      </c>
      <c r="Z343" t="s">
        <v>6941</v>
      </c>
      <c r="AA343" t="s">
        <v>74</v>
      </c>
      <c r="AB343" t="s">
        <v>6942</v>
      </c>
      <c r="AC343" t="s">
        <v>6943</v>
      </c>
      <c r="AD343" t="s">
        <v>6944</v>
      </c>
      <c r="AE343" t="s">
        <v>6945</v>
      </c>
      <c r="AF343" t="s">
        <v>74</v>
      </c>
      <c r="AG343">
        <v>49</v>
      </c>
      <c r="AH343">
        <v>1</v>
      </c>
      <c r="AI343">
        <v>1</v>
      </c>
      <c r="AJ343">
        <v>0</v>
      </c>
      <c r="AK343">
        <v>11</v>
      </c>
      <c r="AL343" t="s">
        <v>883</v>
      </c>
      <c r="AM343" t="s">
        <v>884</v>
      </c>
      <c r="AN343" t="s">
        <v>885</v>
      </c>
      <c r="AO343" t="s">
        <v>6946</v>
      </c>
      <c r="AP343" t="s">
        <v>6947</v>
      </c>
      <c r="AQ343" t="s">
        <v>74</v>
      </c>
      <c r="AR343" t="s">
        <v>6948</v>
      </c>
      <c r="AS343" t="s">
        <v>6949</v>
      </c>
      <c r="AT343" t="s">
        <v>6261</v>
      </c>
      <c r="AU343">
        <v>2015</v>
      </c>
      <c r="AV343">
        <v>103</v>
      </c>
      <c r="AW343" t="s">
        <v>74</v>
      </c>
      <c r="AX343" t="s">
        <v>74</v>
      </c>
      <c r="AY343" t="s">
        <v>74</v>
      </c>
      <c r="AZ343" t="s">
        <v>74</v>
      </c>
      <c r="BA343" t="s">
        <v>74</v>
      </c>
      <c r="BB343">
        <v>103</v>
      </c>
      <c r="BC343">
        <v>112</v>
      </c>
      <c r="BD343" t="s">
        <v>74</v>
      </c>
      <c r="BE343" t="s">
        <v>6950</v>
      </c>
      <c r="BF343" t="str">
        <f>HYPERLINK("http://dx.doi.org/10.1016/j.seares.2015.06.018","http://dx.doi.org/10.1016/j.seares.2015.06.018")</f>
        <v>http://dx.doi.org/10.1016/j.seares.2015.06.018</v>
      </c>
      <c r="BG343" t="s">
        <v>74</v>
      </c>
      <c r="BH343" t="s">
        <v>74</v>
      </c>
      <c r="BI343">
        <v>10</v>
      </c>
      <c r="BJ343" t="s">
        <v>478</v>
      </c>
      <c r="BK343" t="s">
        <v>101</v>
      </c>
      <c r="BL343" t="s">
        <v>478</v>
      </c>
      <c r="BM343" t="s">
        <v>6951</v>
      </c>
      <c r="BN343" t="s">
        <v>74</v>
      </c>
      <c r="BO343" t="s">
        <v>1213</v>
      </c>
      <c r="BP343" t="s">
        <v>74</v>
      </c>
      <c r="BQ343" t="s">
        <v>74</v>
      </c>
      <c r="BR343" t="s">
        <v>103</v>
      </c>
      <c r="BS343" t="s">
        <v>6952</v>
      </c>
      <c r="BT343" t="str">
        <f>HYPERLINK("https%3A%2F%2Fwww.webofscience.com%2Fwos%2Fwoscc%2Ffull-record%2FWOS:000361160600011","View Full Record in Web of Science")</f>
        <v>View Full Record in Web of Science</v>
      </c>
    </row>
    <row r="344" spans="1:72" x14ac:dyDescent="0.15">
      <c r="A344" t="s">
        <v>72</v>
      </c>
      <c r="B344" t="s">
        <v>6953</v>
      </c>
      <c r="C344" t="s">
        <v>74</v>
      </c>
      <c r="D344" t="s">
        <v>74</v>
      </c>
      <c r="E344" t="s">
        <v>74</v>
      </c>
      <c r="F344" t="s">
        <v>6954</v>
      </c>
      <c r="G344" t="s">
        <v>74</v>
      </c>
      <c r="H344" t="s">
        <v>74</v>
      </c>
      <c r="I344" t="s">
        <v>6955</v>
      </c>
      <c r="J344" t="s">
        <v>6956</v>
      </c>
      <c r="K344" t="s">
        <v>74</v>
      </c>
      <c r="L344" t="s">
        <v>74</v>
      </c>
      <c r="M344" t="s">
        <v>78</v>
      </c>
      <c r="N344" t="s">
        <v>79</v>
      </c>
      <c r="O344" t="s">
        <v>74</v>
      </c>
      <c r="P344" t="s">
        <v>74</v>
      </c>
      <c r="Q344" t="s">
        <v>74</v>
      </c>
      <c r="R344" t="s">
        <v>74</v>
      </c>
      <c r="S344" t="s">
        <v>74</v>
      </c>
      <c r="T344" t="s">
        <v>6957</v>
      </c>
      <c r="U344" t="s">
        <v>6958</v>
      </c>
      <c r="V344" t="s">
        <v>6959</v>
      </c>
      <c r="W344" t="s">
        <v>6960</v>
      </c>
      <c r="X344" t="s">
        <v>6961</v>
      </c>
      <c r="Y344" t="s">
        <v>6962</v>
      </c>
      <c r="Z344" t="s">
        <v>6963</v>
      </c>
      <c r="AA344" t="s">
        <v>6964</v>
      </c>
      <c r="AB344" t="s">
        <v>6965</v>
      </c>
      <c r="AC344" t="s">
        <v>6966</v>
      </c>
      <c r="AD344" t="s">
        <v>6967</v>
      </c>
      <c r="AE344" t="s">
        <v>6968</v>
      </c>
      <c r="AF344" t="s">
        <v>74</v>
      </c>
      <c r="AG344">
        <v>81</v>
      </c>
      <c r="AH344">
        <v>15</v>
      </c>
      <c r="AI344">
        <v>17</v>
      </c>
      <c r="AJ344">
        <v>0</v>
      </c>
      <c r="AK344">
        <v>8</v>
      </c>
      <c r="AL344" t="s">
        <v>925</v>
      </c>
      <c r="AM344" t="s">
        <v>884</v>
      </c>
      <c r="AN344" t="s">
        <v>926</v>
      </c>
      <c r="AO344" t="s">
        <v>6969</v>
      </c>
      <c r="AP344" t="s">
        <v>6970</v>
      </c>
      <c r="AQ344" t="s">
        <v>74</v>
      </c>
      <c r="AR344" t="s">
        <v>6956</v>
      </c>
      <c r="AS344" t="s">
        <v>6971</v>
      </c>
      <c r="AT344" t="s">
        <v>6441</v>
      </c>
      <c r="AU344">
        <v>2015</v>
      </c>
      <c r="AV344">
        <v>232</v>
      </c>
      <c r="AW344" t="s">
        <v>74</v>
      </c>
      <c r="AX344" t="s">
        <v>74</v>
      </c>
      <c r="AY344" t="s">
        <v>74</v>
      </c>
      <c r="AZ344" t="s">
        <v>74</v>
      </c>
      <c r="BA344" t="s">
        <v>74</v>
      </c>
      <c r="BB344">
        <v>84</v>
      </c>
      <c r="BC344">
        <v>99</v>
      </c>
      <c r="BD344" t="s">
        <v>74</v>
      </c>
      <c r="BE344" t="s">
        <v>6972</v>
      </c>
      <c r="BF344" t="str">
        <f>HYPERLINK("http://dx.doi.org/10.1016/j.lithos.2015.06.006","http://dx.doi.org/10.1016/j.lithos.2015.06.006")</f>
        <v>http://dx.doi.org/10.1016/j.lithos.2015.06.006</v>
      </c>
      <c r="BG344" t="s">
        <v>74</v>
      </c>
      <c r="BH344" t="s">
        <v>74</v>
      </c>
      <c r="BI344">
        <v>16</v>
      </c>
      <c r="BJ344" t="s">
        <v>726</v>
      </c>
      <c r="BK344" t="s">
        <v>101</v>
      </c>
      <c r="BL344" t="s">
        <v>726</v>
      </c>
      <c r="BM344" t="s">
        <v>6973</v>
      </c>
      <c r="BN344" t="s">
        <v>74</v>
      </c>
      <c r="BO344" t="s">
        <v>74</v>
      </c>
      <c r="BP344" t="s">
        <v>74</v>
      </c>
      <c r="BQ344" t="s">
        <v>74</v>
      </c>
      <c r="BR344" t="s">
        <v>103</v>
      </c>
      <c r="BS344" t="s">
        <v>6974</v>
      </c>
      <c r="BT344" t="str">
        <f>HYPERLINK("https%3A%2F%2Fwww.webofscience.com%2Fwos%2Fwoscc%2Ffull-record%2FWOS:000361408400007","View Full Record in Web of Science")</f>
        <v>View Full Record in Web of Science</v>
      </c>
    </row>
    <row r="345" spans="1:72" x14ac:dyDescent="0.15">
      <c r="A345" t="s">
        <v>72</v>
      </c>
      <c r="B345" t="s">
        <v>6975</v>
      </c>
      <c r="C345" t="s">
        <v>74</v>
      </c>
      <c r="D345" t="s">
        <v>74</v>
      </c>
      <c r="E345" t="s">
        <v>74</v>
      </c>
      <c r="F345" t="s">
        <v>6976</v>
      </c>
      <c r="G345" t="s">
        <v>74</v>
      </c>
      <c r="H345" t="s">
        <v>74</v>
      </c>
      <c r="I345" t="s">
        <v>6977</v>
      </c>
      <c r="J345" t="s">
        <v>6956</v>
      </c>
      <c r="K345" t="s">
        <v>74</v>
      </c>
      <c r="L345" t="s">
        <v>74</v>
      </c>
      <c r="M345" t="s">
        <v>78</v>
      </c>
      <c r="N345" t="s">
        <v>79</v>
      </c>
      <c r="O345" t="s">
        <v>74</v>
      </c>
      <c r="P345" t="s">
        <v>74</v>
      </c>
      <c r="Q345" t="s">
        <v>74</v>
      </c>
      <c r="R345" t="s">
        <v>74</v>
      </c>
      <c r="S345" t="s">
        <v>74</v>
      </c>
      <c r="T345" t="s">
        <v>6978</v>
      </c>
      <c r="U345" t="s">
        <v>6979</v>
      </c>
      <c r="V345" t="s">
        <v>6980</v>
      </c>
      <c r="W345" t="s">
        <v>6981</v>
      </c>
      <c r="X345" t="s">
        <v>6982</v>
      </c>
      <c r="Y345" t="s">
        <v>6983</v>
      </c>
      <c r="Z345" t="s">
        <v>6984</v>
      </c>
      <c r="AA345" t="s">
        <v>6985</v>
      </c>
      <c r="AB345" t="s">
        <v>6986</v>
      </c>
      <c r="AC345" t="s">
        <v>6987</v>
      </c>
      <c r="AD345" t="s">
        <v>6988</v>
      </c>
      <c r="AE345" t="s">
        <v>6989</v>
      </c>
      <c r="AF345" t="s">
        <v>74</v>
      </c>
      <c r="AG345">
        <v>99</v>
      </c>
      <c r="AH345">
        <v>9</v>
      </c>
      <c r="AI345">
        <v>9</v>
      </c>
      <c r="AJ345">
        <v>1</v>
      </c>
      <c r="AK345">
        <v>24</v>
      </c>
      <c r="AL345" t="s">
        <v>883</v>
      </c>
      <c r="AM345" t="s">
        <v>884</v>
      </c>
      <c r="AN345" t="s">
        <v>885</v>
      </c>
      <c r="AO345" t="s">
        <v>6969</v>
      </c>
      <c r="AP345" t="s">
        <v>6970</v>
      </c>
      <c r="AQ345" t="s">
        <v>74</v>
      </c>
      <c r="AR345" t="s">
        <v>6956</v>
      </c>
      <c r="AS345" t="s">
        <v>6971</v>
      </c>
      <c r="AT345" t="s">
        <v>6441</v>
      </c>
      <c r="AU345">
        <v>2015</v>
      </c>
      <c r="AV345">
        <v>232</v>
      </c>
      <c r="AW345" t="s">
        <v>74</v>
      </c>
      <c r="AX345" t="s">
        <v>74</v>
      </c>
      <c r="AY345" t="s">
        <v>74</v>
      </c>
      <c r="AZ345" t="s">
        <v>74</v>
      </c>
      <c r="BA345" t="s">
        <v>74</v>
      </c>
      <c r="BB345">
        <v>306</v>
      </c>
      <c r="BC345">
        <v>318</v>
      </c>
      <c r="BD345" t="s">
        <v>74</v>
      </c>
      <c r="BE345" t="s">
        <v>6990</v>
      </c>
      <c r="BF345" t="str">
        <f>HYPERLINK("http://dx.doi.org/10.1016/j.lithos.2015.07.005","http://dx.doi.org/10.1016/j.lithos.2015.07.005")</f>
        <v>http://dx.doi.org/10.1016/j.lithos.2015.07.005</v>
      </c>
      <c r="BG345" t="s">
        <v>74</v>
      </c>
      <c r="BH345" t="s">
        <v>74</v>
      </c>
      <c r="BI345">
        <v>13</v>
      </c>
      <c r="BJ345" t="s">
        <v>726</v>
      </c>
      <c r="BK345" t="s">
        <v>101</v>
      </c>
      <c r="BL345" t="s">
        <v>726</v>
      </c>
      <c r="BM345" t="s">
        <v>6973</v>
      </c>
      <c r="BN345" t="s">
        <v>74</v>
      </c>
      <c r="BO345" t="s">
        <v>74</v>
      </c>
      <c r="BP345" t="s">
        <v>74</v>
      </c>
      <c r="BQ345" t="s">
        <v>74</v>
      </c>
      <c r="BR345" t="s">
        <v>103</v>
      </c>
      <c r="BS345" t="s">
        <v>6991</v>
      </c>
      <c r="BT345" t="str">
        <f>HYPERLINK("https%3A%2F%2Fwww.webofscience.com%2Fwos%2Fwoscc%2Ffull-record%2FWOS:000361408400022","View Full Record in Web of Science")</f>
        <v>View Full Record in Web of Science</v>
      </c>
    </row>
    <row r="346" spans="1:72" x14ac:dyDescent="0.15">
      <c r="A346" t="s">
        <v>72</v>
      </c>
      <c r="B346" t="s">
        <v>6992</v>
      </c>
      <c r="C346" t="s">
        <v>74</v>
      </c>
      <c r="D346" t="s">
        <v>74</v>
      </c>
      <c r="E346" t="s">
        <v>74</v>
      </c>
      <c r="F346" t="s">
        <v>6993</v>
      </c>
      <c r="G346" t="s">
        <v>74</v>
      </c>
      <c r="H346" t="s">
        <v>74</v>
      </c>
      <c r="I346" t="s">
        <v>6994</v>
      </c>
      <c r="J346" t="s">
        <v>6995</v>
      </c>
      <c r="K346" t="s">
        <v>74</v>
      </c>
      <c r="L346" t="s">
        <v>74</v>
      </c>
      <c r="M346" t="s">
        <v>78</v>
      </c>
      <c r="N346" t="s">
        <v>79</v>
      </c>
      <c r="O346" t="s">
        <v>74</v>
      </c>
      <c r="P346" t="s">
        <v>74</v>
      </c>
      <c r="Q346" t="s">
        <v>74</v>
      </c>
      <c r="R346" t="s">
        <v>74</v>
      </c>
      <c r="S346" t="s">
        <v>74</v>
      </c>
      <c r="T346" t="s">
        <v>6996</v>
      </c>
      <c r="U346" t="s">
        <v>6997</v>
      </c>
      <c r="V346" t="s">
        <v>6998</v>
      </c>
      <c r="W346" t="s">
        <v>6999</v>
      </c>
      <c r="X346" t="s">
        <v>7000</v>
      </c>
      <c r="Y346" t="s">
        <v>7001</v>
      </c>
      <c r="Z346" t="s">
        <v>7002</v>
      </c>
      <c r="AA346" t="s">
        <v>74</v>
      </c>
      <c r="AB346" t="s">
        <v>7003</v>
      </c>
      <c r="AC346" t="s">
        <v>74</v>
      </c>
      <c r="AD346" t="s">
        <v>74</v>
      </c>
      <c r="AE346" t="s">
        <v>74</v>
      </c>
      <c r="AF346" t="s">
        <v>74</v>
      </c>
      <c r="AG346">
        <v>15</v>
      </c>
      <c r="AH346">
        <v>11</v>
      </c>
      <c r="AI346">
        <v>12</v>
      </c>
      <c r="AJ346">
        <v>0</v>
      </c>
      <c r="AK346">
        <v>19</v>
      </c>
      <c r="AL346" t="s">
        <v>2279</v>
      </c>
      <c r="AM346" t="s">
        <v>398</v>
      </c>
      <c r="AN346" t="s">
        <v>2280</v>
      </c>
      <c r="AO346" t="s">
        <v>7004</v>
      </c>
      <c r="AP346" t="s">
        <v>7005</v>
      </c>
      <c r="AQ346" t="s">
        <v>74</v>
      </c>
      <c r="AR346" t="s">
        <v>7006</v>
      </c>
      <c r="AS346" t="s">
        <v>7007</v>
      </c>
      <c r="AT346" t="s">
        <v>6261</v>
      </c>
      <c r="AU346">
        <v>2015</v>
      </c>
      <c r="AV346">
        <v>53</v>
      </c>
      <c r="AW346">
        <v>7</v>
      </c>
      <c r="AX346" t="s">
        <v>74</v>
      </c>
      <c r="AY346" t="s">
        <v>74</v>
      </c>
      <c r="AZ346" t="s">
        <v>74</v>
      </c>
      <c r="BA346" t="s">
        <v>74</v>
      </c>
      <c r="BB346">
        <v>717</v>
      </c>
      <c r="BC346">
        <v>724</v>
      </c>
      <c r="BD346" t="s">
        <v>74</v>
      </c>
      <c r="BE346" t="s">
        <v>7008</v>
      </c>
      <c r="BF346" t="str">
        <f>HYPERLINK("http://dx.doi.org/10.1093/mmy/myv041","http://dx.doi.org/10.1093/mmy/myv041")</f>
        <v>http://dx.doi.org/10.1093/mmy/myv041</v>
      </c>
      <c r="BG346" t="s">
        <v>74</v>
      </c>
      <c r="BH346" t="s">
        <v>74</v>
      </c>
      <c r="BI346">
        <v>8</v>
      </c>
      <c r="BJ346" t="s">
        <v>7009</v>
      </c>
      <c r="BK346" t="s">
        <v>101</v>
      </c>
      <c r="BL346" t="s">
        <v>7009</v>
      </c>
      <c r="BM346" t="s">
        <v>7010</v>
      </c>
      <c r="BN346">
        <v>26129888</v>
      </c>
      <c r="BO346" t="s">
        <v>74</v>
      </c>
      <c r="BP346" t="s">
        <v>74</v>
      </c>
      <c r="BQ346" t="s">
        <v>74</v>
      </c>
      <c r="BR346" t="s">
        <v>103</v>
      </c>
      <c r="BS346" t="s">
        <v>7011</v>
      </c>
      <c r="BT346" t="str">
        <f>HYPERLINK("https%3A%2F%2Fwww.webofscience.com%2Fwos%2Fwoscc%2Ffull-record%2FWOS:000361299100009","View Full Record in Web of Science")</f>
        <v>View Full Record in Web of Science</v>
      </c>
    </row>
    <row r="347" spans="1:72" x14ac:dyDescent="0.15">
      <c r="A347" t="s">
        <v>72</v>
      </c>
      <c r="B347" t="s">
        <v>7012</v>
      </c>
      <c r="C347" t="s">
        <v>74</v>
      </c>
      <c r="D347" t="s">
        <v>74</v>
      </c>
      <c r="E347" t="s">
        <v>74</v>
      </c>
      <c r="F347" t="s">
        <v>7013</v>
      </c>
      <c r="G347" t="s">
        <v>74</v>
      </c>
      <c r="H347" t="s">
        <v>74</v>
      </c>
      <c r="I347" t="s">
        <v>7014</v>
      </c>
      <c r="J347" t="s">
        <v>7015</v>
      </c>
      <c r="K347" t="s">
        <v>74</v>
      </c>
      <c r="L347" t="s">
        <v>74</v>
      </c>
      <c r="M347" t="s">
        <v>78</v>
      </c>
      <c r="N347" t="s">
        <v>79</v>
      </c>
      <c r="O347" t="s">
        <v>74</v>
      </c>
      <c r="P347" t="s">
        <v>74</v>
      </c>
      <c r="Q347" t="s">
        <v>74</v>
      </c>
      <c r="R347" t="s">
        <v>74</v>
      </c>
      <c r="S347" t="s">
        <v>74</v>
      </c>
      <c r="T347" t="s">
        <v>7016</v>
      </c>
      <c r="U347" t="s">
        <v>7017</v>
      </c>
      <c r="V347" t="s">
        <v>7018</v>
      </c>
      <c r="W347" t="s">
        <v>7019</v>
      </c>
      <c r="X347" t="s">
        <v>7020</v>
      </c>
      <c r="Y347" t="s">
        <v>7021</v>
      </c>
      <c r="Z347" t="s">
        <v>7022</v>
      </c>
      <c r="AA347" t="s">
        <v>7023</v>
      </c>
      <c r="AB347" t="s">
        <v>7024</v>
      </c>
      <c r="AC347" t="s">
        <v>7025</v>
      </c>
      <c r="AD347" t="s">
        <v>7026</v>
      </c>
      <c r="AE347" t="s">
        <v>7027</v>
      </c>
      <c r="AF347" t="s">
        <v>74</v>
      </c>
      <c r="AG347">
        <v>71</v>
      </c>
      <c r="AH347">
        <v>1</v>
      </c>
      <c r="AI347">
        <v>1</v>
      </c>
      <c r="AJ347">
        <v>1</v>
      </c>
      <c r="AK347">
        <v>16</v>
      </c>
      <c r="AL347" t="s">
        <v>92</v>
      </c>
      <c r="AM347" t="s">
        <v>550</v>
      </c>
      <c r="AN347" t="s">
        <v>1398</v>
      </c>
      <c r="AO347" t="s">
        <v>7028</v>
      </c>
      <c r="AP347" t="s">
        <v>7029</v>
      </c>
      <c r="AQ347" t="s">
        <v>74</v>
      </c>
      <c r="AR347" t="s">
        <v>7030</v>
      </c>
      <c r="AS347" t="s">
        <v>7031</v>
      </c>
      <c r="AT347" t="s">
        <v>6261</v>
      </c>
      <c r="AU347">
        <v>2015</v>
      </c>
      <c r="AV347">
        <v>34</v>
      </c>
      <c r="AW347">
        <v>9</v>
      </c>
      <c r="AX347" t="s">
        <v>74</v>
      </c>
      <c r="AY347" t="s">
        <v>74</v>
      </c>
      <c r="AZ347" t="s">
        <v>74</v>
      </c>
      <c r="BA347" t="s">
        <v>74</v>
      </c>
      <c r="BB347">
        <v>12</v>
      </c>
      <c r="BC347">
        <v>22</v>
      </c>
      <c r="BD347" t="s">
        <v>74</v>
      </c>
      <c r="BE347" t="s">
        <v>7032</v>
      </c>
      <c r="BF347" t="str">
        <f>HYPERLINK("http://dx.doi.org/10.1007/s13131-015-0733-5","http://dx.doi.org/10.1007/s13131-015-0733-5")</f>
        <v>http://dx.doi.org/10.1007/s13131-015-0733-5</v>
      </c>
      <c r="BG347" t="s">
        <v>74</v>
      </c>
      <c r="BH347" t="s">
        <v>74</v>
      </c>
      <c r="BI347">
        <v>11</v>
      </c>
      <c r="BJ347" t="s">
        <v>339</v>
      </c>
      <c r="BK347" t="s">
        <v>101</v>
      </c>
      <c r="BL347" t="s">
        <v>339</v>
      </c>
      <c r="BM347" t="s">
        <v>7033</v>
      </c>
      <c r="BN347" t="s">
        <v>74</v>
      </c>
      <c r="BO347" t="s">
        <v>74</v>
      </c>
      <c r="BP347" t="s">
        <v>74</v>
      </c>
      <c r="BQ347" t="s">
        <v>74</v>
      </c>
      <c r="BR347" t="s">
        <v>103</v>
      </c>
      <c r="BS347" t="s">
        <v>7034</v>
      </c>
      <c r="BT347" t="str">
        <f>HYPERLINK("https%3A%2F%2Fwww.webofscience.com%2Fwos%2Fwoscc%2Ffull-record%2FWOS:000360819600002","View Full Record in Web of Science")</f>
        <v>View Full Record in Web of Science</v>
      </c>
    </row>
    <row r="348" spans="1:72" x14ac:dyDescent="0.15">
      <c r="A348" t="s">
        <v>72</v>
      </c>
      <c r="B348" t="s">
        <v>7035</v>
      </c>
      <c r="C348" t="s">
        <v>74</v>
      </c>
      <c r="D348" t="s">
        <v>74</v>
      </c>
      <c r="E348" t="s">
        <v>74</v>
      </c>
      <c r="F348" t="s">
        <v>7036</v>
      </c>
      <c r="G348" t="s">
        <v>74</v>
      </c>
      <c r="H348" t="s">
        <v>74</v>
      </c>
      <c r="I348" t="s">
        <v>7037</v>
      </c>
      <c r="J348" t="s">
        <v>7038</v>
      </c>
      <c r="K348" t="s">
        <v>74</v>
      </c>
      <c r="L348" t="s">
        <v>74</v>
      </c>
      <c r="M348" t="s">
        <v>78</v>
      </c>
      <c r="N348" t="s">
        <v>79</v>
      </c>
      <c r="O348" t="s">
        <v>74</v>
      </c>
      <c r="P348" t="s">
        <v>74</v>
      </c>
      <c r="Q348" t="s">
        <v>74</v>
      </c>
      <c r="R348" t="s">
        <v>74</v>
      </c>
      <c r="S348" t="s">
        <v>74</v>
      </c>
      <c r="T348" t="s">
        <v>7039</v>
      </c>
      <c r="U348" t="s">
        <v>7040</v>
      </c>
      <c r="V348" t="s">
        <v>7041</v>
      </c>
      <c r="W348" t="s">
        <v>7042</v>
      </c>
      <c r="X348" t="s">
        <v>7043</v>
      </c>
      <c r="Y348" t="s">
        <v>7044</v>
      </c>
      <c r="Z348" t="s">
        <v>7045</v>
      </c>
      <c r="AA348" t="s">
        <v>7046</v>
      </c>
      <c r="AB348" t="s">
        <v>74</v>
      </c>
      <c r="AC348" t="s">
        <v>74</v>
      </c>
      <c r="AD348" t="s">
        <v>74</v>
      </c>
      <c r="AE348" t="s">
        <v>74</v>
      </c>
      <c r="AF348" t="s">
        <v>74</v>
      </c>
      <c r="AG348">
        <v>9</v>
      </c>
      <c r="AH348">
        <v>2</v>
      </c>
      <c r="AI348">
        <v>2</v>
      </c>
      <c r="AJ348">
        <v>0</v>
      </c>
      <c r="AK348">
        <v>2</v>
      </c>
      <c r="AL348" t="s">
        <v>7047</v>
      </c>
      <c r="AM348" t="s">
        <v>7048</v>
      </c>
      <c r="AN348" t="s">
        <v>7049</v>
      </c>
      <c r="AO348" t="s">
        <v>7050</v>
      </c>
      <c r="AP348" t="s">
        <v>7051</v>
      </c>
      <c r="AQ348" t="s">
        <v>74</v>
      </c>
      <c r="AR348" t="s">
        <v>7052</v>
      </c>
      <c r="AS348" t="s">
        <v>7053</v>
      </c>
      <c r="AT348" t="s">
        <v>6261</v>
      </c>
      <c r="AU348">
        <v>2015</v>
      </c>
      <c r="AV348">
        <v>73</v>
      </c>
      <c r="AW348">
        <v>9</v>
      </c>
      <c r="AX348" t="s">
        <v>74</v>
      </c>
      <c r="AY348" t="s">
        <v>74</v>
      </c>
      <c r="AZ348" t="s">
        <v>74</v>
      </c>
      <c r="BA348" t="s">
        <v>74</v>
      </c>
      <c r="BB348">
        <v>809</v>
      </c>
      <c r="BC348">
        <v>811</v>
      </c>
      <c r="BD348" t="s">
        <v>74</v>
      </c>
      <c r="BE348" t="s">
        <v>7054</v>
      </c>
      <c r="BF348" t="str">
        <f>HYPERLINK("http://dx.doi.org/10.1590/0004-282X20150100","http://dx.doi.org/10.1590/0004-282X20150100")</f>
        <v>http://dx.doi.org/10.1590/0004-282X20150100</v>
      </c>
      <c r="BG348" t="s">
        <v>74</v>
      </c>
      <c r="BH348" t="s">
        <v>74</v>
      </c>
      <c r="BI348">
        <v>3</v>
      </c>
      <c r="BJ348" t="s">
        <v>7055</v>
      </c>
      <c r="BK348" t="s">
        <v>101</v>
      </c>
      <c r="BL348" t="s">
        <v>7056</v>
      </c>
      <c r="BM348" t="s">
        <v>7057</v>
      </c>
      <c r="BN348">
        <v>26352502</v>
      </c>
      <c r="BO348" t="s">
        <v>1097</v>
      </c>
      <c r="BP348" t="s">
        <v>74</v>
      </c>
      <c r="BQ348" t="s">
        <v>74</v>
      </c>
      <c r="BR348" t="s">
        <v>103</v>
      </c>
      <c r="BS348" t="s">
        <v>7058</v>
      </c>
      <c r="BT348" t="str">
        <f>HYPERLINK("https%3A%2F%2Fwww.webofscience.com%2Fwos%2Fwoscc%2Ffull-record%2FWOS:000361058200016","View Full Record in Web of Science")</f>
        <v>View Full Record in Web of Science</v>
      </c>
    </row>
    <row r="349" spans="1:72" x14ac:dyDescent="0.15">
      <c r="A349" t="s">
        <v>72</v>
      </c>
      <c r="B349" t="s">
        <v>7059</v>
      </c>
      <c r="C349" t="s">
        <v>74</v>
      </c>
      <c r="D349" t="s">
        <v>74</v>
      </c>
      <c r="E349" t="s">
        <v>74</v>
      </c>
      <c r="F349" t="s">
        <v>7060</v>
      </c>
      <c r="G349" t="s">
        <v>74</v>
      </c>
      <c r="H349" t="s">
        <v>74</v>
      </c>
      <c r="I349" t="s">
        <v>7061</v>
      </c>
      <c r="J349" t="s">
        <v>7062</v>
      </c>
      <c r="K349" t="s">
        <v>74</v>
      </c>
      <c r="L349" t="s">
        <v>74</v>
      </c>
      <c r="M349" t="s">
        <v>78</v>
      </c>
      <c r="N349" t="s">
        <v>79</v>
      </c>
      <c r="O349" t="s">
        <v>74</v>
      </c>
      <c r="P349" t="s">
        <v>74</v>
      </c>
      <c r="Q349" t="s">
        <v>74</v>
      </c>
      <c r="R349" t="s">
        <v>74</v>
      </c>
      <c r="S349" t="s">
        <v>74</v>
      </c>
      <c r="T349" t="s">
        <v>74</v>
      </c>
      <c r="U349" t="s">
        <v>74</v>
      </c>
      <c r="V349" t="s">
        <v>7063</v>
      </c>
      <c r="W349" t="s">
        <v>7064</v>
      </c>
      <c r="X349" t="s">
        <v>7065</v>
      </c>
      <c r="Y349" t="s">
        <v>7066</v>
      </c>
      <c r="Z349" t="s">
        <v>74</v>
      </c>
      <c r="AA349" t="s">
        <v>74</v>
      </c>
      <c r="AB349" t="s">
        <v>7067</v>
      </c>
      <c r="AC349" t="s">
        <v>74</v>
      </c>
      <c r="AD349" t="s">
        <v>74</v>
      </c>
      <c r="AE349" t="s">
        <v>74</v>
      </c>
      <c r="AF349" t="s">
        <v>74</v>
      </c>
      <c r="AG349">
        <v>86</v>
      </c>
      <c r="AH349">
        <v>6</v>
      </c>
      <c r="AI349">
        <v>7</v>
      </c>
      <c r="AJ349">
        <v>0</v>
      </c>
      <c r="AK349">
        <v>14</v>
      </c>
      <c r="AL349" t="s">
        <v>208</v>
      </c>
      <c r="AM349" t="s">
        <v>209</v>
      </c>
      <c r="AN349" t="s">
        <v>210</v>
      </c>
      <c r="AO349" t="s">
        <v>7068</v>
      </c>
      <c r="AP349" t="s">
        <v>7069</v>
      </c>
      <c r="AQ349" t="s">
        <v>74</v>
      </c>
      <c r="AR349" t="s">
        <v>7070</v>
      </c>
      <c r="AS349" t="s">
        <v>7071</v>
      </c>
      <c r="AT349" t="s">
        <v>6261</v>
      </c>
      <c r="AU349">
        <v>2015</v>
      </c>
      <c r="AV349">
        <v>61</v>
      </c>
      <c r="AW349">
        <v>3</v>
      </c>
      <c r="AX349" t="s">
        <v>74</v>
      </c>
      <c r="AY349" t="s">
        <v>74</v>
      </c>
      <c r="AZ349" t="s">
        <v>931</v>
      </c>
      <c r="BA349" t="s">
        <v>74</v>
      </c>
      <c r="BB349">
        <v>366</v>
      </c>
      <c r="BC349">
        <v>380</v>
      </c>
      <c r="BD349" t="s">
        <v>74</v>
      </c>
      <c r="BE349" t="s">
        <v>7072</v>
      </c>
      <c r="BF349" t="str">
        <f>HYPERLINK("http://dx.doi.org/10.1111/ajph.12108","http://dx.doi.org/10.1111/ajph.12108")</f>
        <v>http://dx.doi.org/10.1111/ajph.12108</v>
      </c>
      <c r="BG349" t="s">
        <v>74</v>
      </c>
      <c r="BH349" t="s">
        <v>74</v>
      </c>
      <c r="BI349">
        <v>15</v>
      </c>
      <c r="BJ349" t="s">
        <v>7073</v>
      </c>
      <c r="BK349" t="s">
        <v>2327</v>
      </c>
      <c r="BL349" t="s">
        <v>7074</v>
      </c>
      <c r="BM349" t="s">
        <v>7075</v>
      </c>
      <c r="BN349" t="s">
        <v>74</v>
      </c>
      <c r="BO349" t="s">
        <v>74</v>
      </c>
      <c r="BP349" t="s">
        <v>74</v>
      </c>
      <c r="BQ349" t="s">
        <v>74</v>
      </c>
      <c r="BR349" t="s">
        <v>103</v>
      </c>
      <c r="BS349" t="s">
        <v>7076</v>
      </c>
      <c r="BT349" t="str">
        <f>HYPERLINK("https%3A%2F%2Fwww.webofscience.com%2Fwos%2Fwoscc%2Ffull-record%2FWOS:000360759900004","View Full Record in Web of Science")</f>
        <v>View Full Record in Web of Science</v>
      </c>
    </row>
    <row r="350" spans="1:72" x14ac:dyDescent="0.15">
      <c r="A350" t="s">
        <v>72</v>
      </c>
      <c r="B350" t="s">
        <v>7077</v>
      </c>
      <c r="C350" t="s">
        <v>74</v>
      </c>
      <c r="D350" t="s">
        <v>74</v>
      </c>
      <c r="E350" t="s">
        <v>74</v>
      </c>
      <c r="F350" t="s">
        <v>7078</v>
      </c>
      <c r="G350" t="s">
        <v>74</v>
      </c>
      <c r="H350" t="s">
        <v>74</v>
      </c>
      <c r="I350" t="s">
        <v>7079</v>
      </c>
      <c r="J350" t="s">
        <v>7080</v>
      </c>
      <c r="K350" t="s">
        <v>74</v>
      </c>
      <c r="L350" t="s">
        <v>74</v>
      </c>
      <c r="M350" t="s">
        <v>78</v>
      </c>
      <c r="N350" t="s">
        <v>581</v>
      </c>
      <c r="O350" t="s">
        <v>74</v>
      </c>
      <c r="P350" t="s">
        <v>74</v>
      </c>
      <c r="Q350" t="s">
        <v>74</v>
      </c>
      <c r="R350" t="s">
        <v>74</v>
      </c>
      <c r="S350" t="s">
        <v>74</v>
      </c>
      <c r="T350" t="s">
        <v>7081</v>
      </c>
      <c r="U350" t="s">
        <v>7082</v>
      </c>
      <c r="V350" t="s">
        <v>7083</v>
      </c>
      <c r="W350" t="s">
        <v>7084</v>
      </c>
      <c r="X350" t="s">
        <v>7085</v>
      </c>
      <c r="Y350" t="s">
        <v>7086</v>
      </c>
      <c r="Z350" t="s">
        <v>7087</v>
      </c>
      <c r="AA350" t="s">
        <v>74</v>
      </c>
      <c r="AB350" t="s">
        <v>74</v>
      </c>
      <c r="AC350" t="s">
        <v>7088</v>
      </c>
      <c r="AD350" t="s">
        <v>7089</v>
      </c>
      <c r="AE350" t="s">
        <v>7090</v>
      </c>
      <c r="AF350" t="s">
        <v>74</v>
      </c>
      <c r="AG350">
        <v>73</v>
      </c>
      <c r="AH350">
        <v>14</v>
      </c>
      <c r="AI350">
        <v>17</v>
      </c>
      <c r="AJ350">
        <v>2</v>
      </c>
      <c r="AK350">
        <v>73</v>
      </c>
      <c r="AL350" t="s">
        <v>7091</v>
      </c>
      <c r="AM350" t="s">
        <v>7092</v>
      </c>
      <c r="AN350" t="s">
        <v>7093</v>
      </c>
      <c r="AO350" t="s">
        <v>7094</v>
      </c>
      <c r="AP350" t="s">
        <v>7095</v>
      </c>
      <c r="AQ350" t="s">
        <v>74</v>
      </c>
      <c r="AR350" t="s">
        <v>7096</v>
      </c>
      <c r="AS350" t="s">
        <v>7097</v>
      </c>
      <c r="AT350" t="s">
        <v>6261</v>
      </c>
      <c r="AU350">
        <v>2015</v>
      </c>
      <c r="AV350">
        <v>93</v>
      </c>
      <c r="AW350">
        <v>9</v>
      </c>
      <c r="AX350" t="s">
        <v>74</v>
      </c>
      <c r="AY350" t="s">
        <v>74</v>
      </c>
      <c r="AZ350" t="s">
        <v>931</v>
      </c>
      <c r="BA350" t="s">
        <v>74</v>
      </c>
      <c r="BB350">
        <v>679</v>
      </c>
      <c r="BC350">
        <v>686</v>
      </c>
      <c r="BD350" t="s">
        <v>74</v>
      </c>
      <c r="BE350" t="s">
        <v>7098</v>
      </c>
      <c r="BF350" t="str">
        <f>HYPERLINK("http://dx.doi.org/10.1139/cjz-2014-0147","http://dx.doi.org/10.1139/cjz-2014-0147")</f>
        <v>http://dx.doi.org/10.1139/cjz-2014-0147</v>
      </c>
      <c r="BG350" t="s">
        <v>74</v>
      </c>
      <c r="BH350" t="s">
        <v>74</v>
      </c>
      <c r="BI350">
        <v>8</v>
      </c>
      <c r="BJ350" t="s">
        <v>243</v>
      </c>
      <c r="BK350" t="s">
        <v>101</v>
      </c>
      <c r="BL350" t="s">
        <v>243</v>
      </c>
      <c r="BM350" t="s">
        <v>7099</v>
      </c>
      <c r="BN350" t="s">
        <v>74</v>
      </c>
      <c r="BO350" t="s">
        <v>74</v>
      </c>
      <c r="BP350" t="s">
        <v>74</v>
      </c>
      <c r="BQ350" t="s">
        <v>74</v>
      </c>
      <c r="BR350" t="s">
        <v>103</v>
      </c>
      <c r="BS350" t="s">
        <v>7100</v>
      </c>
      <c r="BT350" t="str">
        <f>HYPERLINK("https%3A%2F%2Fwww.webofscience.com%2Fwos%2Fwoscc%2Ffull-record%2FWOS:000360946900002","View Full Record in Web of Science")</f>
        <v>View Full Record in Web of Science</v>
      </c>
    </row>
    <row r="351" spans="1:72" x14ac:dyDescent="0.15">
      <c r="A351" t="s">
        <v>72</v>
      </c>
      <c r="B351" t="s">
        <v>7101</v>
      </c>
      <c r="C351" t="s">
        <v>74</v>
      </c>
      <c r="D351" t="s">
        <v>74</v>
      </c>
      <c r="E351" t="s">
        <v>74</v>
      </c>
      <c r="F351" t="s">
        <v>7102</v>
      </c>
      <c r="G351" t="s">
        <v>74</v>
      </c>
      <c r="H351" t="s">
        <v>74</v>
      </c>
      <c r="I351" t="s">
        <v>7103</v>
      </c>
      <c r="J351" t="s">
        <v>3096</v>
      </c>
      <c r="K351" t="s">
        <v>74</v>
      </c>
      <c r="L351" t="s">
        <v>74</v>
      </c>
      <c r="M351" t="s">
        <v>78</v>
      </c>
      <c r="N351" t="s">
        <v>79</v>
      </c>
      <c r="O351" t="s">
        <v>74</v>
      </c>
      <c r="P351" t="s">
        <v>74</v>
      </c>
      <c r="Q351" t="s">
        <v>74</v>
      </c>
      <c r="R351" t="s">
        <v>74</v>
      </c>
      <c r="S351" t="s">
        <v>74</v>
      </c>
      <c r="T351" t="s">
        <v>7104</v>
      </c>
      <c r="U351" t="s">
        <v>7105</v>
      </c>
      <c r="V351" t="s">
        <v>7106</v>
      </c>
      <c r="W351" t="s">
        <v>7107</v>
      </c>
      <c r="X351" t="s">
        <v>7108</v>
      </c>
      <c r="Y351" t="s">
        <v>7109</v>
      </c>
      <c r="Z351" t="s">
        <v>7110</v>
      </c>
      <c r="AA351" t="s">
        <v>7111</v>
      </c>
      <c r="AB351" t="s">
        <v>7112</v>
      </c>
      <c r="AC351" t="s">
        <v>7113</v>
      </c>
      <c r="AD351" t="s">
        <v>2432</v>
      </c>
      <c r="AE351" t="s">
        <v>7114</v>
      </c>
      <c r="AF351" t="s">
        <v>74</v>
      </c>
      <c r="AG351">
        <v>56</v>
      </c>
      <c r="AH351">
        <v>26</v>
      </c>
      <c r="AI351">
        <v>28</v>
      </c>
      <c r="AJ351">
        <v>5</v>
      </c>
      <c r="AK351">
        <v>64</v>
      </c>
      <c r="AL351" t="s">
        <v>208</v>
      </c>
      <c r="AM351" t="s">
        <v>209</v>
      </c>
      <c r="AN351" t="s">
        <v>210</v>
      </c>
      <c r="AO351" t="s">
        <v>3107</v>
      </c>
      <c r="AP351" t="s">
        <v>3108</v>
      </c>
      <c r="AQ351" t="s">
        <v>74</v>
      </c>
      <c r="AR351" t="s">
        <v>3109</v>
      </c>
      <c r="AS351" t="s">
        <v>3110</v>
      </c>
      <c r="AT351" t="s">
        <v>6261</v>
      </c>
      <c r="AU351">
        <v>2015</v>
      </c>
      <c r="AV351">
        <v>35</v>
      </c>
      <c r="AW351">
        <v>11</v>
      </c>
      <c r="AX351" t="s">
        <v>74</v>
      </c>
      <c r="AY351" t="s">
        <v>74</v>
      </c>
      <c r="AZ351" t="s">
        <v>74</v>
      </c>
      <c r="BA351" t="s">
        <v>74</v>
      </c>
      <c r="BB351">
        <v>3353</v>
      </c>
      <c r="BC351">
        <v>3361</v>
      </c>
      <c r="BD351" t="s">
        <v>74</v>
      </c>
      <c r="BE351" t="s">
        <v>7115</v>
      </c>
      <c r="BF351" t="str">
        <f>HYPERLINK("http://dx.doi.org/10.1002/joc.4213","http://dx.doi.org/10.1002/joc.4213")</f>
        <v>http://dx.doi.org/10.1002/joc.4213</v>
      </c>
      <c r="BG351" t="s">
        <v>74</v>
      </c>
      <c r="BH351" t="s">
        <v>74</v>
      </c>
      <c r="BI351">
        <v>9</v>
      </c>
      <c r="BJ351" t="s">
        <v>271</v>
      </c>
      <c r="BK351" t="s">
        <v>101</v>
      </c>
      <c r="BL351" t="s">
        <v>271</v>
      </c>
      <c r="BM351" t="s">
        <v>7116</v>
      </c>
      <c r="BN351" t="s">
        <v>74</v>
      </c>
      <c r="BO351" t="s">
        <v>74</v>
      </c>
      <c r="BP351" t="s">
        <v>74</v>
      </c>
      <c r="BQ351" t="s">
        <v>74</v>
      </c>
      <c r="BR351" t="s">
        <v>103</v>
      </c>
      <c r="BS351" t="s">
        <v>7117</v>
      </c>
      <c r="BT351" t="str">
        <f>HYPERLINK("https%3A%2F%2Fwww.webofscience.com%2Fwos%2Fwoscc%2Ffull-record%2FWOS:000360917500013","View Full Record in Web of Science")</f>
        <v>View Full Record in Web of Science</v>
      </c>
    </row>
    <row r="352" spans="1:72" x14ac:dyDescent="0.15">
      <c r="A352" t="s">
        <v>72</v>
      </c>
      <c r="B352" t="s">
        <v>7118</v>
      </c>
      <c r="C352" t="s">
        <v>74</v>
      </c>
      <c r="D352" t="s">
        <v>74</v>
      </c>
      <c r="E352" t="s">
        <v>74</v>
      </c>
      <c r="F352" t="s">
        <v>7119</v>
      </c>
      <c r="G352" t="s">
        <v>74</v>
      </c>
      <c r="H352" t="s">
        <v>74</v>
      </c>
      <c r="I352" t="s">
        <v>7120</v>
      </c>
      <c r="J352" t="s">
        <v>250</v>
      </c>
      <c r="K352" t="s">
        <v>74</v>
      </c>
      <c r="L352" t="s">
        <v>74</v>
      </c>
      <c r="M352" t="s">
        <v>78</v>
      </c>
      <c r="N352" t="s">
        <v>79</v>
      </c>
      <c r="O352" t="s">
        <v>74</v>
      </c>
      <c r="P352" t="s">
        <v>74</v>
      </c>
      <c r="Q352" t="s">
        <v>74</v>
      </c>
      <c r="R352" t="s">
        <v>74</v>
      </c>
      <c r="S352" t="s">
        <v>74</v>
      </c>
      <c r="T352" t="s">
        <v>74</v>
      </c>
      <c r="U352" t="s">
        <v>7121</v>
      </c>
      <c r="V352" t="s">
        <v>7122</v>
      </c>
      <c r="W352" t="s">
        <v>7123</v>
      </c>
      <c r="X352" t="s">
        <v>7124</v>
      </c>
      <c r="Y352" t="s">
        <v>7125</v>
      </c>
      <c r="Z352" t="s">
        <v>7126</v>
      </c>
      <c r="AA352" t="s">
        <v>7127</v>
      </c>
      <c r="AB352" t="s">
        <v>7128</v>
      </c>
      <c r="AC352" t="s">
        <v>7129</v>
      </c>
      <c r="AD352" t="s">
        <v>7129</v>
      </c>
      <c r="AE352" t="s">
        <v>7130</v>
      </c>
      <c r="AF352" t="s">
        <v>74</v>
      </c>
      <c r="AG352">
        <v>34</v>
      </c>
      <c r="AH352">
        <v>29</v>
      </c>
      <c r="AI352">
        <v>30</v>
      </c>
      <c r="AJ352">
        <v>0</v>
      </c>
      <c r="AK352">
        <v>15</v>
      </c>
      <c r="AL352" t="s">
        <v>263</v>
      </c>
      <c r="AM352" t="s">
        <v>264</v>
      </c>
      <c r="AN352" t="s">
        <v>265</v>
      </c>
      <c r="AO352" t="s">
        <v>266</v>
      </c>
      <c r="AP352" t="s">
        <v>267</v>
      </c>
      <c r="AQ352" t="s">
        <v>74</v>
      </c>
      <c r="AR352" t="s">
        <v>268</v>
      </c>
      <c r="AS352" t="s">
        <v>269</v>
      </c>
      <c r="AT352" t="s">
        <v>6261</v>
      </c>
      <c r="AU352">
        <v>2015</v>
      </c>
      <c r="AV352">
        <v>28</v>
      </c>
      <c r="AW352">
        <v>18</v>
      </c>
      <c r="AX352" t="s">
        <v>74</v>
      </c>
      <c r="AY352" t="s">
        <v>74</v>
      </c>
      <c r="AZ352" t="s">
        <v>74</v>
      </c>
      <c r="BA352" t="s">
        <v>74</v>
      </c>
      <c r="BB352">
        <v>7371</v>
      </c>
      <c r="BC352">
        <v>7384</v>
      </c>
      <c r="BD352" t="s">
        <v>74</v>
      </c>
      <c r="BE352" t="s">
        <v>7131</v>
      </c>
      <c r="BF352" t="str">
        <f>HYPERLINK("http://dx.doi.org/10.1175/JCLI-D-15-0125.1","http://dx.doi.org/10.1175/JCLI-D-15-0125.1")</f>
        <v>http://dx.doi.org/10.1175/JCLI-D-15-0125.1</v>
      </c>
      <c r="BG352" t="s">
        <v>74</v>
      </c>
      <c r="BH352" t="s">
        <v>74</v>
      </c>
      <c r="BI352">
        <v>14</v>
      </c>
      <c r="BJ352" t="s">
        <v>271</v>
      </c>
      <c r="BK352" t="s">
        <v>101</v>
      </c>
      <c r="BL352" t="s">
        <v>271</v>
      </c>
      <c r="BM352" t="s">
        <v>7132</v>
      </c>
      <c r="BN352" t="s">
        <v>74</v>
      </c>
      <c r="BO352" t="s">
        <v>1235</v>
      </c>
      <c r="BP352" t="s">
        <v>74</v>
      </c>
      <c r="BQ352" t="s">
        <v>74</v>
      </c>
      <c r="BR352" t="s">
        <v>103</v>
      </c>
      <c r="BS352" t="s">
        <v>7133</v>
      </c>
      <c r="BT352" t="str">
        <f>HYPERLINK("https%3A%2F%2Fwww.webofscience.com%2Fwos%2Fwoscc%2Ffull-record%2FWOS:000361036800022","View Full Record in Web of Science")</f>
        <v>View Full Record in Web of Science</v>
      </c>
    </row>
    <row r="353" spans="1:72" x14ac:dyDescent="0.15">
      <c r="A353" t="s">
        <v>72</v>
      </c>
      <c r="B353" t="s">
        <v>7134</v>
      </c>
      <c r="C353" t="s">
        <v>74</v>
      </c>
      <c r="D353" t="s">
        <v>74</v>
      </c>
      <c r="E353" t="s">
        <v>74</v>
      </c>
      <c r="F353" t="s">
        <v>7135</v>
      </c>
      <c r="G353" t="s">
        <v>74</v>
      </c>
      <c r="H353" t="s">
        <v>74</v>
      </c>
      <c r="I353" t="s">
        <v>7136</v>
      </c>
      <c r="J353" t="s">
        <v>4365</v>
      </c>
      <c r="K353" t="s">
        <v>74</v>
      </c>
      <c r="L353" t="s">
        <v>74</v>
      </c>
      <c r="M353" t="s">
        <v>78</v>
      </c>
      <c r="N353" t="s">
        <v>79</v>
      </c>
      <c r="O353" t="s">
        <v>74</v>
      </c>
      <c r="P353" t="s">
        <v>74</v>
      </c>
      <c r="Q353" t="s">
        <v>74</v>
      </c>
      <c r="R353" t="s">
        <v>74</v>
      </c>
      <c r="S353" t="s">
        <v>74</v>
      </c>
      <c r="T353" t="s">
        <v>74</v>
      </c>
      <c r="U353" t="s">
        <v>7137</v>
      </c>
      <c r="V353" t="s">
        <v>7138</v>
      </c>
      <c r="W353" t="s">
        <v>7139</v>
      </c>
      <c r="X353" t="s">
        <v>7140</v>
      </c>
      <c r="Y353" t="s">
        <v>7141</v>
      </c>
      <c r="Z353" t="s">
        <v>7142</v>
      </c>
      <c r="AA353" t="s">
        <v>74</v>
      </c>
      <c r="AB353" t="s">
        <v>74</v>
      </c>
      <c r="AC353" t="s">
        <v>7143</v>
      </c>
      <c r="AD353" t="s">
        <v>7144</v>
      </c>
      <c r="AE353" t="s">
        <v>7145</v>
      </c>
      <c r="AF353" t="s">
        <v>74</v>
      </c>
      <c r="AG353">
        <v>44</v>
      </c>
      <c r="AH353">
        <v>20</v>
      </c>
      <c r="AI353">
        <v>24</v>
      </c>
      <c r="AJ353">
        <v>0</v>
      </c>
      <c r="AK353">
        <v>13</v>
      </c>
      <c r="AL353" t="s">
        <v>263</v>
      </c>
      <c r="AM353" t="s">
        <v>264</v>
      </c>
      <c r="AN353" t="s">
        <v>265</v>
      </c>
      <c r="AO353" t="s">
        <v>4378</v>
      </c>
      <c r="AP353" t="s">
        <v>4379</v>
      </c>
      <c r="AQ353" t="s">
        <v>74</v>
      </c>
      <c r="AR353" t="s">
        <v>4380</v>
      </c>
      <c r="AS353" t="s">
        <v>4381</v>
      </c>
      <c r="AT353" t="s">
        <v>6261</v>
      </c>
      <c r="AU353">
        <v>2015</v>
      </c>
      <c r="AV353">
        <v>45</v>
      </c>
      <c r="AW353">
        <v>9</v>
      </c>
      <c r="AX353" t="s">
        <v>74</v>
      </c>
      <c r="AY353" t="s">
        <v>74</v>
      </c>
      <c r="AZ353" t="s">
        <v>74</v>
      </c>
      <c r="BA353" t="s">
        <v>74</v>
      </c>
      <c r="BB353">
        <v>2315</v>
      </c>
      <c r="BC353">
        <v>2338</v>
      </c>
      <c r="BD353" t="s">
        <v>74</v>
      </c>
      <c r="BE353" t="s">
        <v>7146</v>
      </c>
      <c r="BF353" t="str">
        <f>HYPERLINK("http://dx.doi.org/10.1175/JPO-D-14-0213.1","http://dx.doi.org/10.1175/JPO-D-14-0213.1")</f>
        <v>http://dx.doi.org/10.1175/JPO-D-14-0213.1</v>
      </c>
      <c r="BG353" t="s">
        <v>74</v>
      </c>
      <c r="BH353" t="s">
        <v>74</v>
      </c>
      <c r="BI353">
        <v>24</v>
      </c>
      <c r="BJ353" t="s">
        <v>339</v>
      </c>
      <c r="BK353" t="s">
        <v>101</v>
      </c>
      <c r="BL353" t="s">
        <v>339</v>
      </c>
      <c r="BM353" t="s">
        <v>7147</v>
      </c>
      <c r="BN353" t="s">
        <v>74</v>
      </c>
      <c r="BO353" t="s">
        <v>1509</v>
      </c>
      <c r="BP353" t="s">
        <v>74</v>
      </c>
      <c r="BQ353" t="s">
        <v>74</v>
      </c>
      <c r="BR353" t="s">
        <v>103</v>
      </c>
      <c r="BS353" t="s">
        <v>7148</v>
      </c>
      <c r="BT353" t="str">
        <f>HYPERLINK("https%3A%2F%2Fwww.webofscience.com%2Fwos%2Fwoscc%2Ffull-record%2FWOS:000361036500009","View Full Record in Web of Science")</f>
        <v>View Full Record in Web of Science</v>
      </c>
    </row>
    <row r="354" spans="1:72" x14ac:dyDescent="0.15">
      <c r="A354" t="s">
        <v>72</v>
      </c>
      <c r="B354" t="s">
        <v>7149</v>
      </c>
      <c r="C354" t="s">
        <v>74</v>
      </c>
      <c r="D354" t="s">
        <v>74</v>
      </c>
      <c r="E354" t="s">
        <v>74</v>
      </c>
      <c r="F354" t="s">
        <v>7150</v>
      </c>
      <c r="G354" t="s">
        <v>74</v>
      </c>
      <c r="H354" t="s">
        <v>74</v>
      </c>
      <c r="I354" t="s">
        <v>7151</v>
      </c>
      <c r="J354" t="s">
        <v>4365</v>
      </c>
      <c r="K354" t="s">
        <v>74</v>
      </c>
      <c r="L354" t="s">
        <v>74</v>
      </c>
      <c r="M354" t="s">
        <v>78</v>
      </c>
      <c r="N354" t="s">
        <v>79</v>
      </c>
      <c r="O354" t="s">
        <v>74</v>
      </c>
      <c r="P354" t="s">
        <v>74</v>
      </c>
      <c r="Q354" t="s">
        <v>74</v>
      </c>
      <c r="R354" t="s">
        <v>74</v>
      </c>
      <c r="S354" t="s">
        <v>74</v>
      </c>
      <c r="T354" t="s">
        <v>74</v>
      </c>
      <c r="U354" t="s">
        <v>7152</v>
      </c>
      <c r="V354" t="s">
        <v>7153</v>
      </c>
      <c r="W354" t="s">
        <v>7154</v>
      </c>
      <c r="X354" t="s">
        <v>7155</v>
      </c>
      <c r="Y354" t="s">
        <v>7156</v>
      </c>
      <c r="Z354" t="s">
        <v>7157</v>
      </c>
      <c r="AA354" t="s">
        <v>74</v>
      </c>
      <c r="AB354" t="s">
        <v>74</v>
      </c>
      <c r="AC354" t="s">
        <v>7158</v>
      </c>
      <c r="AD354" t="s">
        <v>7159</v>
      </c>
      <c r="AE354" t="s">
        <v>7160</v>
      </c>
      <c r="AF354" t="s">
        <v>74</v>
      </c>
      <c r="AG354">
        <v>70</v>
      </c>
      <c r="AH354">
        <v>4</v>
      </c>
      <c r="AI354">
        <v>4</v>
      </c>
      <c r="AJ354">
        <v>0</v>
      </c>
      <c r="AK354">
        <v>12</v>
      </c>
      <c r="AL354" t="s">
        <v>263</v>
      </c>
      <c r="AM354" t="s">
        <v>264</v>
      </c>
      <c r="AN354" t="s">
        <v>265</v>
      </c>
      <c r="AO354" t="s">
        <v>4378</v>
      </c>
      <c r="AP354" t="s">
        <v>4379</v>
      </c>
      <c r="AQ354" t="s">
        <v>74</v>
      </c>
      <c r="AR354" t="s">
        <v>4380</v>
      </c>
      <c r="AS354" t="s">
        <v>4381</v>
      </c>
      <c r="AT354" t="s">
        <v>6261</v>
      </c>
      <c r="AU354">
        <v>2015</v>
      </c>
      <c r="AV354">
        <v>45</v>
      </c>
      <c r="AW354">
        <v>9</v>
      </c>
      <c r="AX354" t="s">
        <v>74</v>
      </c>
      <c r="AY354" t="s">
        <v>74</v>
      </c>
      <c r="AZ354" t="s">
        <v>74</v>
      </c>
      <c r="BA354" t="s">
        <v>74</v>
      </c>
      <c r="BB354">
        <v>2356</v>
      </c>
      <c r="BC354">
        <v>2380</v>
      </c>
      <c r="BD354" t="s">
        <v>74</v>
      </c>
      <c r="BE354" t="s">
        <v>7161</v>
      </c>
      <c r="BF354" t="str">
        <f>HYPERLINK("http://dx.doi.org/10.1175/JPO-D-14-0251.1","http://dx.doi.org/10.1175/JPO-D-14-0251.1")</f>
        <v>http://dx.doi.org/10.1175/JPO-D-14-0251.1</v>
      </c>
      <c r="BG354" t="s">
        <v>74</v>
      </c>
      <c r="BH354" t="s">
        <v>74</v>
      </c>
      <c r="BI354">
        <v>25</v>
      </c>
      <c r="BJ354" t="s">
        <v>339</v>
      </c>
      <c r="BK354" t="s">
        <v>101</v>
      </c>
      <c r="BL354" t="s">
        <v>339</v>
      </c>
      <c r="BM354" t="s">
        <v>7147</v>
      </c>
      <c r="BN354" t="s">
        <v>74</v>
      </c>
      <c r="BO354" t="s">
        <v>1235</v>
      </c>
      <c r="BP354" t="s">
        <v>74</v>
      </c>
      <c r="BQ354" t="s">
        <v>74</v>
      </c>
      <c r="BR354" t="s">
        <v>103</v>
      </c>
      <c r="BS354" t="s">
        <v>7162</v>
      </c>
      <c r="BT354" t="str">
        <f>HYPERLINK("https%3A%2F%2Fwww.webofscience.com%2Fwos%2Fwoscc%2Ffull-record%2FWOS:000361036500011","View Full Record in Web of Science")</f>
        <v>View Full Record in Web of Science</v>
      </c>
    </row>
    <row r="355" spans="1:72" x14ac:dyDescent="0.15">
      <c r="A355" t="s">
        <v>72</v>
      </c>
      <c r="B355" t="s">
        <v>7163</v>
      </c>
      <c r="C355" t="s">
        <v>74</v>
      </c>
      <c r="D355" t="s">
        <v>74</v>
      </c>
      <c r="E355" t="s">
        <v>74</v>
      </c>
      <c r="F355" t="s">
        <v>7164</v>
      </c>
      <c r="G355" t="s">
        <v>74</v>
      </c>
      <c r="H355" t="s">
        <v>74</v>
      </c>
      <c r="I355" t="s">
        <v>7165</v>
      </c>
      <c r="J355" t="s">
        <v>7166</v>
      </c>
      <c r="K355" t="s">
        <v>74</v>
      </c>
      <c r="L355" t="s">
        <v>74</v>
      </c>
      <c r="M355" t="s">
        <v>78</v>
      </c>
      <c r="N355" t="s">
        <v>79</v>
      </c>
      <c r="O355" t="s">
        <v>74</v>
      </c>
      <c r="P355" t="s">
        <v>74</v>
      </c>
      <c r="Q355" t="s">
        <v>74</v>
      </c>
      <c r="R355" t="s">
        <v>74</v>
      </c>
      <c r="S355" t="s">
        <v>74</v>
      </c>
      <c r="T355" t="s">
        <v>74</v>
      </c>
      <c r="U355" t="s">
        <v>7167</v>
      </c>
      <c r="V355" t="s">
        <v>7168</v>
      </c>
      <c r="W355" t="s">
        <v>7169</v>
      </c>
      <c r="X355" t="s">
        <v>7170</v>
      </c>
      <c r="Y355" t="s">
        <v>7171</v>
      </c>
      <c r="Z355" t="s">
        <v>7172</v>
      </c>
      <c r="AA355" t="s">
        <v>7173</v>
      </c>
      <c r="AB355" t="s">
        <v>7174</v>
      </c>
      <c r="AC355" t="s">
        <v>7175</v>
      </c>
      <c r="AD355" t="s">
        <v>7176</v>
      </c>
      <c r="AE355" t="s">
        <v>7177</v>
      </c>
      <c r="AF355" t="s">
        <v>74</v>
      </c>
      <c r="AG355">
        <v>79</v>
      </c>
      <c r="AH355">
        <v>30</v>
      </c>
      <c r="AI355">
        <v>34</v>
      </c>
      <c r="AJ355">
        <v>1</v>
      </c>
      <c r="AK355">
        <v>35</v>
      </c>
      <c r="AL355" t="s">
        <v>7178</v>
      </c>
      <c r="AM355" t="s">
        <v>7179</v>
      </c>
      <c r="AN355" t="s">
        <v>7180</v>
      </c>
      <c r="AO355" t="s">
        <v>7181</v>
      </c>
      <c r="AP355" t="s">
        <v>7182</v>
      </c>
      <c r="AQ355" t="s">
        <v>74</v>
      </c>
      <c r="AR355" t="s">
        <v>7183</v>
      </c>
      <c r="AS355" t="s">
        <v>7184</v>
      </c>
      <c r="AT355" t="s">
        <v>6261</v>
      </c>
      <c r="AU355">
        <v>2015</v>
      </c>
      <c r="AV355">
        <v>85</v>
      </c>
      <c r="AW355">
        <v>9</v>
      </c>
      <c r="AX355" t="s">
        <v>74</v>
      </c>
      <c r="AY355" t="s">
        <v>74</v>
      </c>
      <c r="AZ355" t="s">
        <v>74</v>
      </c>
      <c r="BA355" t="s">
        <v>74</v>
      </c>
      <c r="BB355">
        <v>1019</v>
      </c>
      <c r="BC355">
        <v>1036</v>
      </c>
      <c r="BD355" t="s">
        <v>74</v>
      </c>
      <c r="BE355" t="s">
        <v>7185</v>
      </c>
      <c r="BF355" t="str">
        <f>HYPERLINK("http://dx.doi.org/10.2110/jsr.2015.58.1","http://dx.doi.org/10.2110/jsr.2015.58.1")</f>
        <v>http://dx.doi.org/10.2110/jsr.2015.58.1</v>
      </c>
      <c r="BG355" t="s">
        <v>74</v>
      </c>
      <c r="BH355" t="s">
        <v>74</v>
      </c>
      <c r="BI355">
        <v>18</v>
      </c>
      <c r="BJ355" t="s">
        <v>315</v>
      </c>
      <c r="BK355" t="s">
        <v>101</v>
      </c>
      <c r="BL355" t="s">
        <v>315</v>
      </c>
      <c r="BM355" t="s">
        <v>7186</v>
      </c>
      <c r="BN355" t="s">
        <v>74</v>
      </c>
      <c r="BO355" t="s">
        <v>290</v>
      </c>
      <c r="BP355" t="s">
        <v>74</v>
      </c>
      <c r="BQ355" t="s">
        <v>74</v>
      </c>
      <c r="BR355" t="s">
        <v>103</v>
      </c>
      <c r="BS355" t="s">
        <v>7187</v>
      </c>
      <c r="BT355" t="str">
        <f>HYPERLINK("https%3A%2F%2Fwww.webofscience.com%2Fwos%2Fwoscc%2Ffull-record%2FWOS:000361030700001","View Full Record in Web of Science")</f>
        <v>View Full Record in Web of Science</v>
      </c>
    </row>
    <row r="356" spans="1:72" x14ac:dyDescent="0.15">
      <c r="A356" t="s">
        <v>72</v>
      </c>
      <c r="B356" t="s">
        <v>7188</v>
      </c>
      <c r="C356" t="s">
        <v>74</v>
      </c>
      <c r="D356" t="s">
        <v>74</v>
      </c>
      <c r="E356" t="s">
        <v>74</v>
      </c>
      <c r="F356" t="s">
        <v>7189</v>
      </c>
      <c r="G356" t="s">
        <v>74</v>
      </c>
      <c r="H356" t="s">
        <v>74</v>
      </c>
      <c r="I356" t="s">
        <v>7190</v>
      </c>
      <c r="J356" t="s">
        <v>7191</v>
      </c>
      <c r="K356" t="s">
        <v>74</v>
      </c>
      <c r="L356" t="s">
        <v>74</v>
      </c>
      <c r="M356" t="s">
        <v>78</v>
      </c>
      <c r="N356" t="s">
        <v>79</v>
      </c>
      <c r="O356" t="s">
        <v>74</v>
      </c>
      <c r="P356" t="s">
        <v>74</v>
      </c>
      <c r="Q356" t="s">
        <v>74</v>
      </c>
      <c r="R356" t="s">
        <v>74</v>
      </c>
      <c r="S356" t="s">
        <v>74</v>
      </c>
      <c r="T356" t="s">
        <v>74</v>
      </c>
      <c r="U356" t="s">
        <v>7192</v>
      </c>
      <c r="V356" t="s">
        <v>7193</v>
      </c>
      <c r="W356" t="s">
        <v>7194</v>
      </c>
      <c r="X356" t="s">
        <v>7195</v>
      </c>
      <c r="Y356" t="s">
        <v>7196</v>
      </c>
      <c r="Z356" t="s">
        <v>7197</v>
      </c>
      <c r="AA356" t="s">
        <v>7198</v>
      </c>
      <c r="AB356" t="s">
        <v>7199</v>
      </c>
      <c r="AC356" t="s">
        <v>7200</v>
      </c>
      <c r="AD356" t="s">
        <v>7201</v>
      </c>
      <c r="AE356" t="s">
        <v>7202</v>
      </c>
      <c r="AF356" t="s">
        <v>74</v>
      </c>
      <c r="AG356">
        <v>41</v>
      </c>
      <c r="AH356">
        <v>67</v>
      </c>
      <c r="AI356">
        <v>69</v>
      </c>
      <c r="AJ356">
        <v>2</v>
      </c>
      <c r="AK356">
        <v>29</v>
      </c>
      <c r="AL356" t="s">
        <v>263</v>
      </c>
      <c r="AM356" t="s">
        <v>264</v>
      </c>
      <c r="AN356" t="s">
        <v>265</v>
      </c>
      <c r="AO356" t="s">
        <v>7203</v>
      </c>
      <c r="AP356" t="s">
        <v>7204</v>
      </c>
      <c r="AQ356" t="s">
        <v>74</v>
      </c>
      <c r="AR356" t="s">
        <v>7205</v>
      </c>
      <c r="AS356" t="s">
        <v>7206</v>
      </c>
      <c r="AT356" t="s">
        <v>6261</v>
      </c>
      <c r="AU356">
        <v>2015</v>
      </c>
      <c r="AV356">
        <v>72</v>
      </c>
      <c r="AW356">
        <v>9</v>
      </c>
      <c r="AX356" t="s">
        <v>74</v>
      </c>
      <c r="AY356" t="s">
        <v>74</v>
      </c>
      <c r="AZ356" t="s">
        <v>74</v>
      </c>
      <c r="BA356" t="s">
        <v>74</v>
      </c>
      <c r="BB356">
        <v>3449</v>
      </c>
      <c r="BC356">
        <v>3468</v>
      </c>
      <c r="BD356" t="s">
        <v>74</v>
      </c>
      <c r="BE356" t="s">
        <v>7207</v>
      </c>
      <c r="BF356" t="str">
        <f>HYPERLINK("http://dx.doi.org/10.1175/JAS-D-14-0324.1","http://dx.doi.org/10.1175/JAS-D-14-0324.1")</f>
        <v>http://dx.doi.org/10.1175/JAS-D-14-0324.1</v>
      </c>
      <c r="BG356" t="s">
        <v>74</v>
      </c>
      <c r="BH356" t="s">
        <v>74</v>
      </c>
      <c r="BI356">
        <v>20</v>
      </c>
      <c r="BJ356" t="s">
        <v>271</v>
      </c>
      <c r="BK356" t="s">
        <v>101</v>
      </c>
      <c r="BL356" t="s">
        <v>271</v>
      </c>
      <c r="BM356" t="s">
        <v>7208</v>
      </c>
      <c r="BN356" t="s">
        <v>74</v>
      </c>
      <c r="BO356" t="s">
        <v>1235</v>
      </c>
      <c r="BP356" t="s">
        <v>74</v>
      </c>
      <c r="BQ356" t="s">
        <v>74</v>
      </c>
      <c r="BR356" t="s">
        <v>103</v>
      </c>
      <c r="BS356" t="s">
        <v>7209</v>
      </c>
      <c r="BT356" t="str">
        <f>HYPERLINK("https%3A%2F%2Fwww.webofscience.com%2Fwos%2Fwoscc%2Ffull-record%2FWOS:000361037100010","View Full Record in Web of Science")</f>
        <v>View Full Record in Web of Science</v>
      </c>
    </row>
    <row r="357" spans="1:72" x14ac:dyDescent="0.15">
      <c r="A357" t="s">
        <v>72</v>
      </c>
      <c r="B357" t="s">
        <v>7210</v>
      </c>
      <c r="C357" t="s">
        <v>74</v>
      </c>
      <c r="D357" t="s">
        <v>74</v>
      </c>
      <c r="E357" t="s">
        <v>74</v>
      </c>
      <c r="F357" t="s">
        <v>7211</v>
      </c>
      <c r="G357" t="s">
        <v>74</v>
      </c>
      <c r="H357" t="s">
        <v>74</v>
      </c>
      <c r="I357" t="s">
        <v>7212</v>
      </c>
      <c r="J357" t="s">
        <v>3181</v>
      </c>
      <c r="K357" t="s">
        <v>74</v>
      </c>
      <c r="L357" t="s">
        <v>74</v>
      </c>
      <c r="M357" t="s">
        <v>78</v>
      </c>
      <c r="N357" t="s">
        <v>79</v>
      </c>
      <c r="O357" t="s">
        <v>74</v>
      </c>
      <c r="P357" t="s">
        <v>74</v>
      </c>
      <c r="Q357" t="s">
        <v>74</v>
      </c>
      <c r="R357" t="s">
        <v>74</v>
      </c>
      <c r="S357" t="s">
        <v>74</v>
      </c>
      <c r="T357" t="s">
        <v>74</v>
      </c>
      <c r="U357" t="s">
        <v>7213</v>
      </c>
      <c r="V357" t="s">
        <v>7214</v>
      </c>
      <c r="W357" t="s">
        <v>7215</v>
      </c>
      <c r="X357" t="s">
        <v>7216</v>
      </c>
      <c r="Y357" t="s">
        <v>7217</v>
      </c>
      <c r="Z357" t="s">
        <v>7218</v>
      </c>
      <c r="AA357" t="s">
        <v>74</v>
      </c>
      <c r="AB357" t="s">
        <v>74</v>
      </c>
      <c r="AC357" t="s">
        <v>7219</v>
      </c>
      <c r="AD357" t="s">
        <v>7220</v>
      </c>
      <c r="AE357" t="s">
        <v>7221</v>
      </c>
      <c r="AF357" t="s">
        <v>74</v>
      </c>
      <c r="AG357">
        <v>103</v>
      </c>
      <c r="AH357">
        <v>49</v>
      </c>
      <c r="AI357">
        <v>51</v>
      </c>
      <c r="AJ357">
        <v>0</v>
      </c>
      <c r="AK357">
        <v>15</v>
      </c>
      <c r="AL357" t="s">
        <v>236</v>
      </c>
      <c r="AM357" t="s">
        <v>209</v>
      </c>
      <c r="AN357" t="s">
        <v>210</v>
      </c>
      <c r="AO357" t="s">
        <v>3193</v>
      </c>
      <c r="AP357" t="s">
        <v>3194</v>
      </c>
      <c r="AQ357" t="s">
        <v>74</v>
      </c>
      <c r="AR357" t="s">
        <v>3195</v>
      </c>
      <c r="AS357" t="s">
        <v>3196</v>
      </c>
      <c r="AT357" t="s">
        <v>6261</v>
      </c>
      <c r="AU357">
        <v>2015</v>
      </c>
      <c r="AV357">
        <v>50</v>
      </c>
      <c r="AW357">
        <v>9</v>
      </c>
      <c r="AX357" t="s">
        <v>74</v>
      </c>
      <c r="AY357" t="s">
        <v>74</v>
      </c>
      <c r="AZ357" t="s">
        <v>74</v>
      </c>
      <c r="BA357" t="s">
        <v>74</v>
      </c>
      <c r="BB357">
        <v>1595</v>
      </c>
      <c r="BC357">
        <v>1612</v>
      </c>
      <c r="BD357" t="s">
        <v>74</v>
      </c>
      <c r="BE357" t="s">
        <v>7222</v>
      </c>
      <c r="BF357" t="str">
        <f>HYPERLINK("http://dx.doi.org/10.1111/maps.12482","http://dx.doi.org/10.1111/maps.12482")</f>
        <v>http://dx.doi.org/10.1111/maps.12482</v>
      </c>
      <c r="BG357" t="s">
        <v>74</v>
      </c>
      <c r="BH357" t="s">
        <v>74</v>
      </c>
      <c r="BI357">
        <v>18</v>
      </c>
      <c r="BJ357" t="s">
        <v>1707</v>
      </c>
      <c r="BK357" t="s">
        <v>101</v>
      </c>
      <c r="BL357" t="s">
        <v>1707</v>
      </c>
      <c r="BM357" t="s">
        <v>7223</v>
      </c>
      <c r="BN357" t="s">
        <v>74</v>
      </c>
      <c r="BO357" t="s">
        <v>162</v>
      </c>
      <c r="BP357" t="s">
        <v>74</v>
      </c>
      <c r="BQ357" t="s">
        <v>74</v>
      </c>
      <c r="BR357" t="s">
        <v>103</v>
      </c>
      <c r="BS357" t="s">
        <v>7224</v>
      </c>
      <c r="BT357" t="str">
        <f>HYPERLINK("https%3A%2F%2Fwww.webofscience.com%2Fwos%2Fwoscc%2Ffull-record%2FWOS:000360762300007","View Full Record in Web of Science")</f>
        <v>View Full Record in Web of Science</v>
      </c>
    </row>
    <row r="358" spans="1:72" x14ac:dyDescent="0.15">
      <c r="A358" t="s">
        <v>72</v>
      </c>
      <c r="B358" t="s">
        <v>7225</v>
      </c>
      <c r="C358" t="s">
        <v>74</v>
      </c>
      <c r="D358" t="s">
        <v>74</v>
      </c>
      <c r="E358" t="s">
        <v>74</v>
      </c>
      <c r="F358" t="s">
        <v>7226</v>
      </c>
      <c r="G358" t="s">
        <v>74</v>
      </c>
      <c r="H358" t="s">
        <v>74</v>
      </c>
      <c r="I358" t="s">
        <v>7227</v>
      </c>
      <c r="J358" t="s">
        <v>603</v>
      </c>
      <c r="K358" t="s">
        <v>74</v>
      </c>
      <c r="L358" t="s">
        <v>74</v>
      </c>
      <c r="M358" t="s">
        <v>78</v>
      </c>
      <c r="N358" t="s">
        <v>79</v>
      </c>
      <c r="O358" t="s">
        <v>74</v>
      </c>
      <c r="P358" t="s">
        <v>74</v>
      </c>
      <c r="Q358" t="s">
        <v>74</v>
      </c>
      <c r="R358" t="s">
        <v>74</v>
      </c>
      <c r="S358" t="s">
        <v>74</v>
      </c>
      <c r="T358" t="s">
        <v>7228</v>
      </c>
      <c r="U358" t="s">
        <v>7229</v>
      </c>
      <c r="V358" t="s">
        <v>7230</v>
      </c>
      <c r="W358" t="s">
        <v>7231</v>
      </c>
      <c r="X358" t="s">
        <v>7232</v>
      </c>
      <c r="Y358" t="s">
        <v>7233</v>
      </c>
      <c r="Z358" t="s">
        <v>7234</v>
      </c>
      <c r="AA358" t="s">
        <v>7235</v>
      </c>
      <c r="AB358" t="s">
        <v>7236</v>
      </c>
      <c r="AC358" t="s">
        <v>7237</v>
      </c>
      <c r="AD358" t="s">
        <v>7238</v>
      </c>
      <c r="AE358" t="s">
        <v>7239</v>
      </c>
      <c r="AF358" t="s">
        <v>74</v>
      </c>
      <c r="AG358">
        <v>87</v>
      </c>
      <c r="AH358">
        <v>18</v>
      </c>
      <c r="AI358">
        <v>20</v>
      </c>
      <c r="AJ358">
        <v>2</v>
      </c>
      <c r="AK358">
        <v>20</v>
      </c>
      <c r="AL358" t="s">
        <v>496</v>
      </c>
      <c r="AM358" t="s">
        <v>398</v>
      </c>
      <c r="AN358" t="s">
        <v>497</v>
      </c>
      <c r="AO358" t="s">
        <v>616</v>
      </c>
      <c r="AP358" t="s">
        <v>617</v>
      </c>
      <c r="AQ358" t="s">
        <v>74</v>
      </c>
      <c r="AR358" t="s">
        <v>618</v>
      </c>
      <c r="AS358" t="s">
        <v>619</v>
      </c>
      <c r="AT358" t="s">
        <v>6261</v>
      </c>
      <c r="AU358">
        <v>2015</v>
      </c>
      <c r="AV358">
        <v>93</v>
      </c>
      <c r="AW358" t="s">
        <v>74</v>
      </c>
      <c r="AX358" t="s">
        <v>74</v>
      </c>
      <c r="AY358" t="s">
        <v>74</v>
      </c>
      <c r="AZ358" t="s">
        <v>74</v>
      </c>
      <c r="BA358" t="s">
        <v>74</v>
      </c>
      <c r="BB358">
        <v>22</v>
      </c>
      <c r="BC358">
        <v>39</v>
      </c>
      <c r="BD358" t="s">
        <v>74</v>
      </c>
      <c r="BE358" t="s">
        <v>7240</v>
      </c>
      <c r="BF358" t="str">
        <f>HYPERLINK("http://dx.doi.org/10.1016/j.ocemod.2015.07.011","http://dx.doi.org/10.1016/j.ocemod.2015.07.011")</f>
        <v>http://dx.doi.org/10.1016/j.ocemod.2015.07.011</v>
      </c>
      <c r="BG358" t="s">
        <v>74</v>
      </c>
      <c r="BH358" t="s">
        <v>74</v>
      </c>
      <c r="BI358">
        <v>18</v>
      </c>
      <c r="BJ358" t="s">
        <v>621</v>
      </c>
      <c r="BK358" t="s">
        <v>101</v>
      </c>
      <c r="BL358" t="s">
        <v>621</v>
      </c>
      <c r="BM358" t="s">
        <v>7241</v>
      </c>
      <c r="BN358" t="s">
        <v>74</v>
      </c>
      <c r="BO358" t="s">
        <v>1801</v>
      </c>
      <c r="BP358" t="s">
        <v>74</v>
      </c>
      <c r="BQ358" t="s">
        <v>74</v>
      </c>
      <c r="BR358" t="s">
        <v>103</v>
      </c>
      <c r="BS358" t="s">
        <v>7242</v>
      </c>
      <c r="BT358" t="str">
        <f>HYPERLINK("https%3A%2F%2Fwww.webofscience.com%2Fwos%2Fwoscc%2Ffull-record%2FWOS:000360980600003","View Full Record in Web of Science")</f>
        <v>View Full Record in Web of Science</v>
      </c>
    </row>
    <row r="359" spans="1:72" x14ac:dyDescent="0.15">
      <c r="A359" t="s">
        <v>72</v>
      </c>
      <c r="B359" t="s">
        <v>7243</v>
      </c>
      <c r="C359" t="s">
        <v>74</v>
      </c>
      <c r="D359" t="s">
        <v>74</v>
      </c>
      <c r="E359" t="s">
        <v>74</v>
      </c>
      <c r="F359" t="s">
        <v>7244</v>
      </c>
      <c r="G359" t="s">
        <v>74</v>
      </c>
      <c r="H359" t="s">
        <v>74</v>
      </c>
      <c r="I359" t="s">
        <v>7245</v>
      </c>
      <c r="J359" t="s">
        <v>7246</v>
      </c>
      <c r="K359" t="s">
        <v>74</v>
      </c>
      <c r="L359" t="s">
        <v>74</v>
      </c>
      <c r="M359" t="s">
        <v>78</v>
      </c>
      <c r="N359" t="s">
        <v>79</v>
      </c>
      <c r="O359" t="s">
        <v>74</v>
      </c>
      <c r="P359" t="s">
        <v>74</v>
      </c>
      <c r="Q359" t="s">
        <v>74</v>
      </c>
      <c r="R359" t="s">
        <v>74</v>
      </c>
      <c r="S359" t="s">
        <v>74</v>
      </c>
      <c r="T359" t="s">
        <v>74</v>
      </c>
      <c r="U359" t="s">
        <v>7247</v>
      </c>
      <c r="V359" t="s">
        <v>7248</v>
      </c>
      <c r="W359" t="s">
        <v>7249</v>
      </c>
      <c r="X359" t="s">
        <v>7250</v>
      </c>
      <c r="Y359" t="s">
        <v>7251</v>
      </c>
      <c r="Z359" t="s">
        <v>7252</v>
      </c>
      <c r="AA359" t="s">
        <v>74</v>
      </c>
      <c r="AB359" t="s">
        <v>7253</v>
      </c>
      <c r="AC359" t="s">
        <v>7254</v>
      </c>
      <c r="AD359" t="s">
        <v>7255</v>
      </c>
      <c r="AE359" t="s">
        <v>7256</v>
      </c>
      <c r="AF359" t="s">
        <v>74</v>
      </c>
      <c r="AG359">
        <v>114</v>
      </c>
      <c r="AH359">
        <v>26</v>
      </c>
      <c r="AI359">
        <v>29</v>
      </c>
      <c r="AJ359">
        <v>0</v>
      </c>
      <c r="AK359">
        <v>28</v>
      </c>
      <c r="AL359" t="s">
        <v>7257</v>
      </c>
      <c r="AM359" t="s">
        <v>7258</v>
      </c>
      <c r="AN359" t="s">
        <v>7259</v>
      </c>
      <c r="AO359" t="s">
        <v>7260</v>
      </c>
      <c r="AP359" t="s">
        <v>7261</v>
      </c>
      <c r="AQ359" t="s">
        <v>74</v>
      </c>
      <c r="AR359" t="s">
        <v>7262</v>
      </c>
      <c r="AS359" t="s">
        <v>7263</v>
      </c>
      <c r="AT359" t="s">
        <v>6261</v>
      </c>
      <c r="AU359">
        <v>2015</v>
      </c>
      <c r="AV359">
        <v>169</v>
      </c>
      <c r="AW359">
        <v>1</v>
      </c>
      <c r="AX359" t="s">
        <v>74</v>
      </c>
      <c r="AY359" t="s">
        <v>74</v>
      </c>
      <c r="AZ359" t="s">
        <v>74</v>
      </c>
      <c r="BA359" t="s">
        <v>74</v>
      </c>
      <c r="BB359">
        <v>717</v>
      </c>
      <c r="BC359" t="s">
        <v>556</v>
      </c>
      <c r="BD359" t="s">
        <v>74</v>
      </c>
      <c r="BE359" t="s">
        <v>7264</v>
      </c>
      <c r="BF359" t="str">
        <f>HYPERLINK("http://dx.doi.org/10.1104/pp.15.00625","http://dx.doi.org/10.1104/pp.15.00625")</f>
        <v>http://dx.doi.org/10.1104/pp.15.00625</v>
      </c>
      <c r="BG359" t="s">
        <v>74</v>
      </c>
      <c r="BH359" t="s">
        <v>74</v>
      </c>
      <c r="BI359">
        <v>31</v>
      </c>
      <c r="BJ359" t="s">
        <v>429</v>
      </c>
      <c r="BK359" t="s">
        <v>101</v>
      </c>
      <c r="BL359" t="s">
        <v>429</v>
      </c>
      <c r="BM359" t="s">
        <v>7265</v>
      </c>
      <c r="BN359">
        <v>26169679</v>
      </c>
      <c r="BO359" t="s">
        <v>908</v>
      </c>
      <c r="BP359" t="s">
        <v>74</v>
      </c>
      <c r="BQ359" t="s">
        <v>74</v>
      </c>
      <c r="BR359" t="s">
        <v>103</v>
      </c>
      <c r="BS359" t="s">
        <v>7266</v>
      </c>
      <c r="BT359" t="str">
        <f>HYPERLINK("https%3A%2F%2Fwww.webofscience.com%2Fwos%2Fwoscc%2Ffull-record%2FWOS:000360930600054","View Full Record in Web of Science")</f>
        <v>View Full Record in Web of Science</v>
      </c>
    </row>
    <row r="360" spans="1:72" x14ac:dyDescent="0.15">
      <c r="A360" t="s">
        <v>72</v>
      </c>
      <c r="B360" t="s">
        <v>7267</v>
      </c>
      <c r="C360" t="s">
        <v>74</v>
      </c>
      <c r="D360" t="s">
        <v>74</v>
      </c>
      <c r="E360" t="s">
        <v>74</v>
      </c>
      <c r="F360" t="s">
        <v>7268</v>
      </c>
      <c r="G360" t="s">
        <v>74</v>
      </c>
      <c r="H360" t="s">
        <v>74</v>
      </c>
      <c r="I360" t="s">
        <v>7269</v>
      </c>
      <c r="J360" t="s">
        <v>7270</v>
      </c>
      <c r="K360" t="s">
        <v>74</v>
      </c>
      <c r="L360" t="s">
        <v>74</v>
      </c>
      <c r="M360" t="s">
        <v>78</v>
      </c>
      <c r="N360" t="s">
        <v>79</v>
      </c>
      <c r="O360" t="s">
        <v>74</v>
      </c>
      <c r="P360" t="s">
        <v>74</v>
      </c>
      <c r="Q360" t="s">
        <v>74</v>
      </c>
      <c r="R360" t="s">
        <v>74</v>
      </c>
      <c r="S360" t="s">
        <v>74</v>
      </c>
      <c r="T360" t="s">
        <v>7271</v>
      </c>
      <c r="U360" t="s">
        <v>7272</v>
      </c>
      <c r="V360" t="s">
        <v>7273</v>
      </c>
      <c r="W360" t="s">
        <v>7274</v>
      </c>
      <c r="X360" t="s">
        <v>7275</v>
      </c>
      <c r="Y360" t="s">
        <v>7276</v>
      </c>
      <c r="Z360" t="s">
        <v>7277</v>
      </c>
      <c r="AA360" t="s">
        <v>74</v>
      </c>
      <c r="AB360" t="s">
        <v>3227</v>
      </c>
      <c r="AC360" t="s">
        <v>7278</v>
      </c>
      <c r="AD360" t="s">
        <v>7279</v>
      </c>
      <c r="AE360" t="s">
        <v>7280</v>
      </c>
      <c r="AF360" t="s">
        <v>74</v>
      </c>
      <c r="AG360">
        <v>22</v>
      </c>
      <c r="AH360">
        <v>9</v>
      </c>
      <c r="AI360">
        <v>11</v>
      </c>
      <c r="AJ360">
        <v>2</v>
      </c>
      <c r="AK360">
        <v>14</v>
      </c>
      <c r="AL360" t="s">
        <v>92</v>
      </c>
      <c r="AM360" t="s">
        <v>93</v>
      </c>
      <c r="AN360" t="s">
        <v>94</v>
      </c>
      <c r="AO360" t="s">
        <v>7281</v>
      </c>
      <c r="AP360" t="s">
        <v>7282</v>
      </c>
      <c r="AQ360" t="s">
        <v>74</v>
      </c>
      <c r="AR360" t="s">
        <v>7283</v>
      </c>
      <c r="AS360" t="s">
        <v>7284</v>
      </c>
      <c r="AT360" t="s">
        <v>6261</v>
      </c>
      <c r="AU360">
        <v>2015</v>
      </c>
      <c r="AV360">
        <v>37</v>
      </c>
      <c r="AW360">
        <v>9</v>
      </c>
      <c r="AX360" t="s">
        <v>74</v>
      </c>
      <c r="AY360" t="s">
        <v>74</v>
      </c>
      <c r="AZ360" t="s">
        <v>74</v>
      </c>
      <c r="BA360" t="s">
        <v>74</v>
      </c>
      <c r="BB360">
        <v>1887</v>
      </c>
      <c r="BC360">
        <v>1893</v>
      </c>
      <c r="BD360" t="s">
        <v>74</v>
      </c>
      <c r="BE360" t="s">
        <v>7285</v>
      </c>
      <c r="BF360" t="str">
        <f>HYPERLINK("http://dx.doi.org/10.1007/s10529-015-1860-y","http://dx.doi.org/10.1007/s10529-015-1860-y")</f>
        <v>http://dx.doi.org/10.1007/s10529-015-1860-y</v>
      </c>
      <c r="BG360" t="s">
        <v>74</v>
      </c>
      <c r="BH360" t="s">
        <v>74</v>
      </c>
      <c r="BI360">
        <v>7</v>
      </c>
      <c r="BJ360" t="s">
        <v>7286</v>
      </c>
      <c r="BK360" t="s">
        <v>101</v>
      </c>
      <c r="BL360" t="s">
        <v>7286</v>
      </c>
      <c r="BM360" t="s">
        <v>7287</v>
      </c>
      <c r="BN360">
        <v>26003095</v>
      </c>
      <c r="BO360" t="s">
        <v>74</v>
      </c>
      <c r="BP360" t="s">
        <v>74</v>
      </c>
      <c r="BQ360" t="s">
        <v>74</v>
      </c>
      <c r="BR360" t="s">
        <v>103</v>
      </c>
      <c r="BS360" t="s">
        <v>7288</v>
      </c>
      <c r="BT360" t="str">
        <f>HYPERLINK("https%3A%2F%2Fwww.webofscience.com%2Fwos%2Fwoscc%2Ffull-record%2FWOS:000360432100020","View Full Record in Web of Science")</f>
        <v>View Full Record in Web of Science</v>
      </c>
    </row>
    <row r="361" spans="1:72" x14ac:dyDescent="0.15">
      <c r="A361" t="s">
        <v>72</v>
      </c>
      <c r="B361" t="s">
        <v>7289</v>
      </c>
      <c r="C361" t="s">
        <v>74</v>
      </c>
      <c r="D361" t="s">
        <v>74</v>
      </c>
      <c r="E361" t="s">
        <v>74</v>
      </c>
      <c r="F361" t="s">
        <v>7290</v>
      </c>
      <c r="G361" t="s">
        <v>74</v>
      </c>
      <c r="H361" t="s">
        <v>74</v>
      </c>
      <c r="I361" t="s">
        <v>7291</v>
      </c>
      <c r="J361" t="s">
        <v>7292</v>
      </c>
      <c r="K361" t="s">
        <v>74</v>
      </c>
      <c r="L361" t="s">
        <v>74</v>
      </c>
      <c r="M361" t="s">
        <v>78</v>
      </c>
      <c r="N361" t="s">
        <v>79</v>
      </c>
      <c r="O361" t="s">
        <v>74</v>
      </c>
      <c r="P361" t="s">
        <v>74</v>
      </c>
      <c r="Q361" t="s">
        <v>74</v>
      </c>
      <c r="R361" t="s">
        <v>74</v>
      </c>
      <c r="S361" t="s">
        <v>74</v>
      </c>
      <c r="T361" t="s">
        <v>7293</v>
      </c>
      <c r="U361" t="s">
        <v>7294</v>
      </c>
      <c r="V361" t="s">
        <v>7295</v>
      </c>
      <c r="W361" t="s">
        <v>7296</v>
      </c>
      <c r="X361" t="s">
        <v>7297</v>
      </c>
      <c r="Y361" t="s">
        <v>7298</v>
      </c>
      <c r="Z361" t="s">
        <v>7299</v>
      </c>
      <c r="AA361" t="s">
        <v>7300</v>
      </c>
      <c r="AB361" t="s">
        <v>7301</v>
      </c>
      <c r="AC361" t="s">
        <v>74</v>
      </c>
      <c r="AD361" t="s">
        <v>74</v>
      </c>
      <c r="AE361" t="s">
        <v>74</v>
      </c>
      <c r="AF361" t="s">
        <v>74</v>
      </c>
      <c r="AG361">
        <v>56</v>
      </c>
      <c r="AH361">
        <v>31</v>
      </c>
      <c r="AI361">
        <v>33</v>
      </c>
      <c r="AJ361">
        <v>0</v>
      </c>
      <c r="AK361">
        <v>10</v>
      </c>
      <c r="AL361" t="s">
        <v>92</v>
      </c>
      <c r="AM361" t="s">
        <v>550</v>
      </c>
      <c r="AN361" t="s">
        <v>4772</v>
      </c>
      <c r="AO361" t="s">
        <v>7302</v>
      </c>
      <c r="AP361" t="s">
        <v>7303</v>
      </c>
      <c r="AQ361" t="s">
        <v>74</v>
      </c>
      <c r="AR361" t="s">
        <v>7304</v>
      </c>
      <c r="AS361" t="s">
        <v>7305</v>
      </c>
      <c r="AT361" t="s">
        <v>6261</v>
      </c>
      <c r="AU361">
        <v>2015</v>
      </c>
      <c r="AV361">
        <v>89</v>
      </c>
      <c r="AW361">
        <v>9</v>
      </c>
      <c r="AX361" t="s">
        <v>74</v>
      </c>
      <c r="AY361" t="s">
        <v>74</v>
      </c>
      <c r="AZ361" t="s">
        <v>74</v>
      </c>
      <c r="BA361" t="s">
        <v>74</v>
      </c>
      <c r="BB361">
        <v>857</v>
      </c>
      <c r="BC361">
        <v>871</v>
      </c>
      <c r="BD361" t="s">
        <v>74</v>
      </c>
      <c r="BE361" t="s">
        <v>7306</v>
      </c>
      <c r="BF361" t="str">
        <f>HYPERLINK("http://dx.doi.org/10.1007/s00190-015-0819-z","http://dx.doi.org/10.1007/s00190-015-0819-z")</f>
        <v>http://dx.doi.org/10.1007/s00190-015-0819-z</v>
      </c>
      <c r="BG361" t="s">
        <v>74</v>
      </c>
      <c r="BH361" t="s">
        <v>74</v>
      </c>
      <c r="BI361">
        <v>15</v>
      </c>
      <c r="BJ361" t="s">
        <v>7307</v>
      </c>
      <c r="BK361" t="s">
        <v>101</v>
      </c>
      <c r="BL361" t="s">
        <v>7307</v>
      </c>
      <c r="BM361" t="s">
        <v>7308</v>
      </c>
      <c r="BN361" t="s">
        <v>74</v>
      </c>
      <c r="BO361" t="s">
        <v>74</v>
      </c>
      <c r="BP361" t="s">
        <v>74</v>
      </c>
      <c r="BQ361" t="s">
        <v>74</v>
      </c>
      <c r="BR361" t="s">
        <v>103</v>
      </c>
      <c r="BS361" t="s">
        <v>7309</v>
      </c>
      <c r="BT361" t="str">
        <f>HYPERLINK("https%3A%2F%2Fwww.webofscience.com%2Fwos%2Fwoscc%2Ffull-record%2FWOS:000360709400002","View Full Record in Web of Science")</f>
        <v>View Full Record in Web of Science</v>
      </c>
    </row>
    <row r="362" spans="1:72" x14ac:dyDescent="0.15">
      <c r="A362" t="s">
        <v>72</v>
      </c>
      <c r="B362" t="s">
        <v>7310</v>
      </c>
      <c r="C362" t="s">
        <v>74</v>
      </c>
      <c r="D362" t="s">
        <v>74</v>
      </c>
      <c r="E362" t="s">
        <v>74</v>
      </c>
      <c r="F362" t="s">
        <v>7311</v>
      </c>
      <c r="G362" t="s">
        <v>74</v>
      </c>
      <c r="H362" t="s">
        <v>74</v>
      </c>
      <c r="I362" t="s">
        <v>7312</v>
      </c>
      <c r="J362" t="s">
        <v>7292</v>
      </c>
      <c r="K362" t="s">
        <v>74</v>
      </c>
      <c r="L362" t="s">
        <v>74</v>
      </c>
      <c r="M362" t="s">
        <v>78</v>
      </c>
      <c r="N362" t="s">
        <v>79</v>
      </c>
      <c r="O362" t="s">
        <v>74</v>
      </c>
      <c r="P362" t="s">
        <v>74</v>
      </c>
      <c r="Q362" t="s">
        <v>74</v>
      </c>
      <c r="R362" t="s">
        <v>74</v>
      </c>
      <c r="S362" t="s">
        <v>74</v>
      </c>
      <c r="T362" t="s">
        <v>7313</v>
      </c>
      <c r="U362" t="s">
        <v>7314</v>
      </c>
      <c r="V362" t="s">
        <v>7315</v>
      </c>
      <c r="W362" t="s">
        <v>7316</v>
      </c>
      <c r="X362" t="s">
        <v>7317</v>
      </c>
      <c r="Y362" t="s">
        <v>7318</v>
      </c>
      <c r="Z362" t="s">
        <v>7319</v>
      </c>
      <c r="AA362" t="s">
        <v>7320</v>
      </c>
      <c r="AB362" t="s">
        <v>7321</v>
      </c>
      <c r="AC362" t="s">
        <v>7322</v>
      </c>
      <c r="AD362" t="s">
        <v>7323</v>
      </c>
      <c r="AE362" t="s">
        <v>7324</v>
      </c>
      <c r="AF362" t="s">
        <v>74</v>
      </c>
      <c r="AG362">
        <v>34</v>
      </c>
      <c r="AH362">
        <v>99</v>
      </c>
      <c r="AI362">
        <v>119</v>
      </c>
      <c r="AJ362">
        <v>7</v>
      </c>
      <c r="AK362">
        <v>74</v>
      </c>
      <c r="AL362" t="s">
        <v>92</v>
      </c>
      <c r="AM362" t="s">
        <v>550</v>
      </c>
      <c r="AN362" t="s">
        <v>4772</v>
      </c>
      <c r="AO362" t="s">
        <v>7302</v>
      </c>
      <c r="AP362" t="s">
        <v>7303</v>
      </c>
      <c r="AQ362" t="s">
        <v>74</v>
      </c>
      <c r="AR362" t="s">
        <v>7304</v>
      </c>
      <c r="AS362" t="s">
        <v>7305</v>
      </c>
      <c r="AT362" t="s">
        <v>6261</v>
      </c>
      <c r="AU362">
        <v>2015</v>
      </c>
      <c r="AV362">
        <v>89</v>
      </c>
      <c r="AW362">
        <v>9</v>
      </c>
      <c r="AX362" t="s">
        <v>74</v>
      </c>
      <c r="AY362" t="s">
        <v>74</v>
      </c>
      <c r="AZ362" t="s">
        <v>74</v>
      </c>
      <c r="BA362" t="s">
        <v>74</v>
      </c>
      <c r="BB362">
        <v>925</v>
      </c>
      <c r="BC362">
        <v>940</v>
      </c>
      <c r="BD362" t="s">
        <v>74</v>
      </c>
      <c r="BE362" t="s">
        <v>7325</v>
      </c>
      <c r="BF362" t="str">
        <f>HYPERLINK("http://dx.doi.org/10.1007/s00190-015-0824-2","http://dx.doi.org/10.1007/s00190-015-0824-2")</f>
        <v>http://dx.doi.org/10.1007/s00190-015-0824-2</v>
      </c>
      <c r="BG362" t="s">
        <v>74</v>
      </c>
      <c r="BH362" t="s">
        <v>74</v>
      </c>
      <c r="BI362">
        <v>16</v>
      </c>
      <c r="BJ362" t="s">
        <v>7307</v>
      </c>
      <c r="BK362" t="s">
        <v>101</v>
      </c>
      <c r="BL362" t="s">
        <v>7307</v>
      </c>
      <c r="BM362" t="s">
        <v>7308</v>
      </c>
      <c r="BN362" t="s">
        <v>74</v>
      </c>
      <c r="BO362" t="s">
        <v>74</v>
      </c>
      <c r="BP362" t="s">
        <v>74</v>
      </c>
      <c r="BQ362" t="s">
        <v>74</v>
      </c>
      <c r="BR362" t="s">
        <v>103</v>
      </c>
      <c r="BS362" t="s">
        <v>7326</v>
      </c>
      <c r="BT362" t="str">
        <f>HYPERLINK("https%3A%2F%2Fwww.webofscience.com%2Fwos%2Fwoscc%2Ffull-record%2FWOS:000360709400006","View Full Record in Web of Science")</f>
        <v>View Full Record in Web of Science</v>
      </c>
    </row>
    <row r="363" spans="1:72" x14ac:dyDescent="0.15">
      <c r="A363" t="s">
        <v>72</v>
      </c>
      <c r="B363" t="s">
        <v>7327</v>
      </c>
      <c r="C363" t="s">
        <v>74</v>
      </c>
      <c r="D363" t="s">
        <v>74</v>
      </c>
      <c r="E363" t="s">
        <v>74</v>
      </c>
      <c r="F363" t="s">
        <v>7328</v>
      </c>
      <c r="G363" t="s">
        <v>74</v>
      </c>
      <c r="H363" t="s">
        <v>74</v>
      </c>
      <c r="I363" t="s">
        <v>7329</v>
      </c>
      <c r="J363" t="s">
        <v>7330</v>
      </c>
      <c r="K363" t="s">
        <v>74</v>
      </c>
      <c r="L363" t="s">
        <v>74</v>
      </c>
      <c r="M363" t="s">
        <v>78</v>
      </c>
      <c r="N363" t="s">
        <v>79</v>
      </c>
      <c r="O363" t="s">
        <v>74</v>
      </c>
      <c r="P363" t="s">
        <v>74</v>
      </c>
      <c r="Q363" t="s">
        <v>74</v>
      </c>
      <c r="R363" t="s">
        <v>74</v>
      </c>
      <c r="S363" t="s">
        <v>74</v>
      </c>
      <c r="T363" t="s">
        <v>7331</v>
      </c>
      <c r="U363" t="s">
        <v>7332</v>
      </c>
      <c r="V363" t="s">
        <v>7333</v>
      </c>
      <c r="W363" t="s">
        <v>7334</v>
      </c>
      <c r="X363" t="s">
        <v>7335</v>
      </c>
      <c r="Y363" t="s">
        <v>7336</v>
      </c>
      <c r="Z363" t="s">
        <v>7337</v>
      </c>
      <c r="AA363" t="s">
        <v>74</v>
      </c>
      <c r="AB363" t="s">
        <v>74</v>
      </c>
      <c r="AC363" t="s">
        <v>7338</v>
      </c>
      <c r="AD363" t="s">
        <v>7339</v>
      </c>
      <c r="AE363" t="s">
        <v>7340</v>
      </c>
      <c r="AF363" t="s">
        <v>74</v>
      </c>
      <c r="AG363">
        <v>35</v>
      </c>
      <c r="AH363">
        <v>7</v>
      </c>
      <c r="AI363">
        <v>7</v>
      </c>
      <c r="AJ363">
        <v>1</v>
      </c>
      <c r="AK363">
        <v>34</v>
      </c>
      <c r="AL363" t="s">
        <v>925</v>
      </c>
      <c r="AM363" t="s">
        <v>884</v>
      </c>
      <c r="AN363" t="s">
        <v>926</v>
      </c>
      <c r="AO363" t="s">
        <v>7341</v>
      </c>
      <c r="AP363" t="s">
        <v>7342</v>
      </c>
      <c r="AQ363" t="s">
        <v>74</v>
      </c>
      <c r="AR363" t="s">
        <v>7343</v>
      </c>
      <c r="AS363" t="s">
        <v>7344</v>
      </c>
      <c r="AT363" t="s">
        <v>6261</v>
      </c>
      <c r="AU363">
        <v>2015</v>
      </c>
      <c r="AV363">
        <v>9</v>
      </c>
      <c r="AW363">
        <v>3</v>
      </c>
      <c r="AX363" t="s">
        <v>74</v>
      </c>
      <c r="AY363" t="s">
        <v>74</v>
      </c>
      <c r="AZ363" t="s">
        <v>74</v>
      </c>
      <c r="BA363" t="s">
        <v>74</v>
      </c>
      <c r="BB363">
        <v>319</v>
      </c>
      <c r="BC363">
        <v>326</v>
      </c>
      <c r="BD363" t="s">
        <v>74</v>
      </c>
      <c r="BE363" t="s">
        <v>7345</v>
      </c>
      <c r="BF363" t="str">
        <f>HYPERLINK("http://dx.doi.org/10.1016/j.polar.2015.05.002","http://dx.doi.org/10.1016/j.polar.2015.05.002")</f>
        <v>http://dx.doi.org/10.1016/j.polar.2015.05.002</v>
      </c>
      <c r="BG363" t="s">
        <v>74</v>
      </c>
      <c r="BH363" t="s">
        <v>74</v>
      </c>
      <c r="BI363">
        <v>8</v>
      </c>
      <c r="BJ363" t="s">
        <v>7346</v>
      </c>
      <c r="BK363" t="s">
        <v>101</v>
      </c>
      <c r="BL363" t="s">
        <v>7347</v>
      </c>
      <c r="BM363" t="s">
        <v>7348</v>
      </c>
      <c r="BN363" t="s">
        <v>74</v>
      </c>
      <c r="BO363" t="s">
        <v>1235</v>
      </c>
      <c r="BP363" t="s">
        <v>74</v>
      </c>
      <c r="BQ363" t="s">
        <v>74</v>
      </c>
      <c r="BR363" t="s">
        <v>103</v>
      </c>
      <c r="BS363" t="s">
        <v>7349</v>
      </c>
      <c r="BT363" t="str">
        <f>HYPERLINK("https%3A%2F%2Fwww.webofscience.com%2Fwos%2Fwoscc%2Ffull-record%2FWOS:000360565200004","View Full Record in Web of Science")</f>
        <v>View Full Record in Web of Science</v>
      </c>
    </row>
    <row r="364" spans="1:72" x14ac:dyDescent="0.15">
      <c r="A364" t="s">
        <v>72</v>
      </c>
      <c r="B364" t="s">
        <v>7350</v>
      </c>
      <c r="C364" t="s">
        <v>74</v>
      </c>
      <c r="D364" t="s">
        <v>74</v>
      </c>
      <c r="E364" t="s">
        <v>74</v>
      </c>
      <c r="F364" t="s">
        <v>7351</v>
      </c>
      <c r="G364" t="s">
        <v>74</v>
      </c>
      <c r="H364" t="s">
        <v>74</v>
      </c>
      <c r="I364" t="s">
        <v>7352</v>
      </c>
      <c r="J364" t="s">
        <v>7353</v>
      </c>
      <c r="K364" t="s">
        <v>74</v>
      </c>
      <c r="L364" t="s">
        <v>74</v>
      </c>
      <c r="M364" t="s">
        <v>78</v>
      </c>
      <c r="N364" t="s">
        <v>79</v>
      </c>
      <c r="O364" t="s">
        <v>74</v>
      </c>
      <c r="P364" t="s">
        <v>74</v>
      </c>
      <c r="Q364" t="s">
        <v>74</v>
      </c>
      <c r="R364" t="s">
        <v>74</v>
      </c>
      <c r="S364" t="s">
        <v>74</v>
      </c>
      <c r="T364" t="s">
        <v>74</v>
      </c>
      <c r="U364" t="s">
        <v>7354</v>
      </c>
      <c r="V364" t="s">
        <v>7355</v>
      </c>
      <c r="W364" t="s">
        <v>7356</v>
      </c>
      <c r="X364" t="s">
        <v>7357</v>
      </c>
      <c r="Y364" t="s">
        <v>7358</v>
      </c>
      <c r="Z364" t="s">
        <v>7359</v>
      </c>
      <c r="AA364" t="s">
        <v>7360</v>
      </c>
      <c r="AB364" t="s">
        <v>7361</v>
      </c>
      <c r="AC364" t="s">
        <v>7362</v>
      </c>
      <c r="AD364" t="s">
        <v>7363</v>
      </c>
      <c r="AE364" t="s">
        <v>7364</v>
      </c>
      <c r="AF364" t="s">
        <v>74</v>
      </c>
      <c r="AG364">
        <v>33</v>
      </c>
      <c r="AH364">
        <v>16</v>
      </c>
      <c r="AI364">
        <v>17</v>
      </c>
      <c r="AJ364">
        <v>0</v>
      </c>
      <c r="AK364">
        <v>15</v>
      </c>
      <c r="AL364" t="s">
        <v>7365</v>
      </c>
      <c r="AM364" t="s">
        <v>7092</v>
      </c>
      <c r="AN364" t="s">
        <v>7093</v>
      </c>
      <c r="AO364" t="s">
        <v>7366</v>
      </c>
      <c r="AP364" t="s">
        <v>7367</v>
      </c>
      <c r="AQ364" t="s">
        <v>74</v>
      </c>
      <c r="AR364" t="s">
        <v>7368</v>
      </c>
      <c r="AS364" t="s">
        <v>7369</v>
      </c>
      <c r="AT364" t="s">
        <v>6261</v>
      </c>
      <c r="AU364">
        <v>2015</v>
      </c>
      <c r="AV364">
        <v>72</v>
      </c>
      <c r="AW364">
        <v>9</v>
      </c>
      <c r="AX364" t="s">
        <v>74</v>
      </c>
      <c r="AY364" t="s">
        <v>74</v>
      </c>
      <c r="AZ364" t="s">
        <v>74</v>
      </c>
      <c r="BA364" t="s">
        <v>74</v>
      </c>
      <c r="BB364">
        <v>1292</v>
      </c>
      <c r="BC364">
        <v>1305</v>
      </c>
      <c r="BD364" t="s">
        <v>74</v>
      </c>
      <c r="BE364" t="s">
        <v>7370</v>
      </c>
      <c r="BF364" t="str">
        <f>HYPERLINK("http://dx.doi.org/10.1139/cjfas-2014-0405","http://dx.doi.org/10.1139/cjfas-2014-0405")</f>
        <v>http://dx.doi.org/10.1139/cjfas-2014-0405</v>
      </c>
      <c r="BG364" t="s">
        <v>74</v>
      </c>
      <c r="BH364" t="s">
        <v>74</v>
      </c>
      <c r="BI364">
        <v>14</v>
      </c>
      <c r="BJ364" t="s">
        <v>4273</v>
      </c>
      <c r="BK364" t="s">
        <v>101</v>
      </c>
      <c r="BL364" t="s">
        <v>4273</v>
      </c>
      <c r="BM364" t="s">
        <v>7371</v>
      </c>
      <c r="BN364" t="s">
        <v>74</v>
      </c>
      <c r="BO364" t="s">
        <v>74</v>
      </c>
      <c r="BP364" t="s">
        <v>74</v>
      </c>
      <c r="BQ364" t="s">
        <v>74</v>
      </c>
      <c r="BR364" t="s">
        <v>103</v>
      </c>
      <c r="BS364" t="s">
        <v>7372</v>
      </c>
      <c r="BT364" t="str">
        <f>HYPERLINK("https%3A%2F%2Fwww.webofscience.com%2Fwos%2Fwoscc%2Ffull-record%2FWOS:000360297500002","View Full Record in Web of Science")</f>
        <v>View Full Record in Web of Science</v>
      </c>
    </row>
    <row r="365" spans="1:72" x14ac:dyDescent="0.15">
      <c r="A365" t="s">
        <v>72</v>
      </c>
      <c r="B365" t="s">
        <v>7373</v>
      </c>
      <c r="C365" t="s">
        <v>74</v>
      </c>
      <c r="D365" t="s">
        <v>74</v>
      </c>
      <c r="E365" t="s">
        <v>74</v>
      </c>
      <c r="F365" t="s">
        <v>7374</v>
      </c>
      <c r="G365" t="s">
        <v>74</v>
      </c>
      <c r="H365" t="s">
        <v>74</v>
      </c>
      <c r="I365" t="s">
        <v>7375</v>
      </c>
      <c r="J365" t="s">
        <v>7353</v>
      </c>
      <c r="K365" t="s">
        <v>74</v>
      </c>
      <c r="L365" t="s">
        <v>74</v>
      </c>
      <c r="M365" t="s">
        <v>78</v>
      </c>
      <c r="N365" t="s">
        <v>79</v>
      </c>
      <c r="O365" t="s">
        <v>74</v>
      </c>
      <c r="P365" t="s">
        <v>74</v>
      </c>
      <c r="Q365" t="s">
        <v>74</v>
      </c>
      <c r="R365" t="s">
        <v>74</v>
      </c>
      <c r="S365" t="s">
        <v>74</v>
      </c>
      <c r="T365" t="s">
        <v>74</v>
      </c>
      <c r="U365" t="s">
        <v>7376</v>
      </c>
      <c r="V365" t="s">
        <v>7377</v>
      </c>
      <c r="W365" t="s">
        <v>7378</v>
      </c>
      <c r="X365" t="s">
        <v>7379</v>
      </c>
      <c r="Y365" t="s">
        <v>7380</v>
      </c>
      <c r="Z365" t="s">
        <v>7381</v>
      </c>
      <c r="AA365" t="s">
        <v>7382</v>
      </c>
      <c r="AB365" t="s">
        <v>7383</v>
      </c>
      <c r="AC365" t="s">
        <v>7384</v>
      </c>
      <c r="AD365" t="s">
        <v>7385</v>
      </c>
      <c r="AE365" t="s">
        <v>7386</v>
      </c>
      <c r="AF365" t="s">
        <v>74</v>
      </c>
      <c r="AG365">
        <v>104</v>
      </c>
      <c r="AH365">
        <v>89</v>
      </c>
      <c r="AI365">
        <v>99</v>
      </c>
      <c r="AJ365">
        <v>1</v>
      </c>
      <c r="AK365">
        <v>88</v>
      </c>
      <c r="AL365" t="s">
        <v>7365</v>
      </c>
      <c r="AM365" t="s">
        <v>7092</v>
      </c>
      <c r="AN365" t="s">
        <v>7093</v>
      </c>
      <c r="AO365" t="s">
        <v>7366</v>
      </c>
      <c r="AP365" t="s">
        <v>7367</v>
      </c>
      <c r="AQ365" t="s">
        <v>74</v>
      </c>
      <c r="AR365" t="s">
        <v>7368</v>
      </c>
      <c r="AS365" t="s">
        <v>7369</v>
      </c>
      <c r="AT365" t="s">
        <v>6261</v>
      </c>
      <c r="AU365">
        <v>2015</v>
      </c>
      <c r="AV365">
        <v>72</v>
      </c>
      <c r="AW365">
        <v>9</v>
      </c>
      <c r="AX365" t="s">
        <v>74</v>
      </c>
      <c r="AY365" t="s">
        <v>74</v>
      </c>
      <c r="AZ365" t="s">
        <v>74</v>
      </c>
      <c r="BA365" t="s">
        <v>74</v>
      </c>
      <c r="BB365">
        <v>1433</v>
      </c>
      <c r="BC365">
        <v>1441</v>
      </c>
      <c r="BD365" t="s">
        <v>74</v>
      </c>
      <c r="BE365" t="s">
        <v>7387</v>
      </c>
      <c r="BF365" t="str">
        <f>HYPERLINK("http://dx.doi.org/10.1139/cjfas-2015-0062","http://dx.doi.org/10.1139/cjfas-2015-0062")</f>
        <v>http://dx.doi.org/10.1139/cjfas-2015-0062</v>
      </c>
      <c r="BG365" t="s">
        <v>74</v>
      </c>
      <c r="BH365" t="s">
        <v>74</v>
      </c>
      <c r="BI365">
        <v>9</v>
      </c>
      <c r="BJ365" t="s">
        <v>4273</v>
      </c>
      <c r="BK365" t="s">
        <v>101</v>
      </c>
      <c r="BL365" t="s">
        <v>4273</v>
      </c>
      <c r="BM365" t="s">
        <v>7371</v>
      </c>
      <c r="BN365" t="s">
        <v>74</v>
      </c>
      <c r="BO365" t="s">
        <v>162</v>
      </c>
      <c r="BP365" t="s">
        <v>74</v>
      </c>
      <c r="BQ365" t="s">
        <v>74</v>
      </c>
      <c r="BR365" t="s">
        <v>103</v>
      </c>
      <c r="BS365" t="s">
        <v>7388</v>
      </c>
      <c r="BT365" t="str">
        <f>HYPERLINK("https%3A%2F%2Fwww.webofscience.com%2Fwos%2Fwoscc%2Ffull-record%2FWOS:000360297500014","View Full Record in Web of Science")</f>
        <v>View Full Record in Web of Science</v>
      </c>
    </row>
    <row r="366" spans="1:72" x14ac:dyDescent="0.15">
      <c r="A366" t="s">
        <v>72</v>
      </c>
      <c r="B366" t="s">
        <v>7389</v>
      </c>
      <c r="C366" t="s">
        <v>74</v>
      </c>
      <c r="D366" t="s">
        <v>74</v>
      </c>
      <c r="E366" t="s">
        <v>74</v>
      </c>
      <c r="F366" t="s">
        <v>7390</v>
      </c>
      <c r="G366" t="s">
        <v>74</v>
      </c>
      <c r="H366" t="s">
        <v>74</v>
      </c>
      <c r="I366" t="s">
        <v>7391</v>
      </c>
      <c r="J366" t="s">
        <v>7392</v>
      </c>
      <c r="K366" t="s">
        <v>74</v>
      </c>
      <c r="L366" t="s">
        <v>74</v>
      </c>
      <c r="M366" t="s">
        <v>78</v>
      </c>
      <c r="N366" t="s">
        <v>79</v>
      </c>
      <c r="O366" t="s">
        <v>74</v>
      </c>
      <c r="P366" t="s">
        <v>74</v>
      </c>
      <c r="Q366" t="s">
        <v>74</v>
      </c>
      <c r="R366" t="s">
        <v>74</v>
      </c>
      <c r="S366" t="s">
        <v>74</v>
      </c>
      <c r="T366" t="s">
        <v>7393</v>
      </c>
      <c r="U366" t="s">
        <v>7394</v>
      </c>
      <c r="V366" t="s">
        <v>7395</v>
      </c>
      <c r="W366" t="s">
        <v>7396</v>
      </c>
      <c r="X366" t="s">
        <v>7397</v>
      </c>
      <c r="Y366" t="s">
        <v>7398</v>
      </c>
      <c r="Z366" t="s">
        <v>7399</v>
      </c>
      <c r="AA366" t="s">
        <v>7400</v>
      </c>
      <c r="AB366" t="s">
        <v>7401</v>
      </c>
      <c r="AC366" t="s">
        <v>7402</v>
      </c>
      <c r="AD366" t="s">
        <v>7403</v>
      </c>
      <c r="AE366" t="s">
        <v>7404</v>
      </c>
      <c r="AF366" t="s">
        <v>74</v>
      </c>
      <c r="AG366">
        <v>79</v>
      </c>
      <c r="AH366">
        <v>30</v>
      </c>
      <c r="AI366">
        <v>34</v>
      </c>
      <c r="AJ366">
        <v>0</v>
      </c>
      <c r="AK366">
        <v>33</v>
      </c>
      <c r="AL366" t="s">
        <v>397</v>
      </c>
      <c r="AM366" t="s">
        <v>398</v>
      </c>
      <c r="AN366" t="s">
        <v>399</v>
      </c>
      <c r="AO366" t="s">
        <v>7405</v>
      </c>
      <c r="AP366" t="s">
        <v>7406</v>
      </c>
      <c r="AQ366" t="s">
        <v>74</v>
      </c>
      <c r="AR366" t="s">
        <v>7407</v>
      </c>
      <c r="AS366" t="s">
        <v>7408</v>
      </c>
      <c r="AT366" t="s">
        <v>6441</v>
      </c>
      <c r="AU366">
        <v>2015</v>
      </c>
      <c r="AV366">
        <v>106</v>
      </c>
      <c r="AW366" t="s">
        <v>74</v>
      </c>
      <c r="AX366" t="s">
        <v>74</v>
      </c>
      <c r="AY366" t="s">
        <v>74</v>
      </c>
      <c r="AZ366" t="s">
        <v>74</v>
      </c>
      <c r="BA366" t="s">
        <v>74</v>
      </c>
      <c r="BB366">
        <v>70</v>
      </c>
      <c r="BC366">
        <v>84</v>
      </c>
      <c r="BD366" t="s">
        <v>74</v>
      </c>
      <c r="BE366" t="s">
        <v>7409</v>
      </c>
      <c r="BF366" t="str">
        <f>HYPERLINK("http://dx.doi.org/10.1016/j.csr.2015.07.008","http://dx.doi.org/10.1016/j.csr.2015.07.008")</f>
        <v>http://dx.doi.org/10.1016/j.csr.2015.07.008</v>
      </c>
      <c r="BG366" t="s">
        <v>74</v>
      </c>
      <c r="BH366" t="s">
        <v>74</v>
      </c>
      <c r="BI366">
        <v>15</v>
      </c>
      <c r="BJ366" t="s">
        <v>339</v>
      </c>
      <c r="BK366" t="s">
        <v>101</v>
      </c>
      <c r="BL366" t="s">
        <v>339</v>
      </c>
      <c r="BM366" t="s">
        <v>7410</v>
      </c>
      <c r="BN366" t="s">
        <v>74</v>
      </c>
      <c r="BO366" t="s">
        <v>74</v>
      </c>
      <c r="BP366" t="s">
        <v>74</v>
      </c>
      <c r="BQ366" t="s">
        <v>74</v>
      </c>
      <c r="BR366" t="s">
        <v>103</v>
      </c>
      <c r="BS366" t="s">
        <v>7411</v>
      </c>
      <c r="BT366" t="str">
        <f>HYPERLINK("https%3A%2F%2Fwww.webofscience.com%2Fwos%2Fwoscc%2Ffull-record%2FWOS:000360252800007","View Full Record in Web of Science")</f>
        <v>View Full Record in Web of Science</v>
      </c>
    </row>
    <row r="367" spans="1:72" x14ac:dyDescent="0.15">
      <c r="A367" t="s">
        <v>72</v>
      </c>
      <c r="B367" t="s">
        <v>7412</v>
      </c>
      <c r="C367" t="s">
        <v>74</v>
      </c>
      <c r="D367" t="s">
        <v>74</v>
      </c>
      <c r="E367" t="s">
        <v>74</v>
      </c>
      <c r="F367" t="s">
        <v>7413</v>
      </c>
      <c r="G367" t="s">
        <v>74</v>
      </c>
      <c r="H367" t="s">
        <v>74</v>
      </c>
      <c r="I367" t="s">
        <v>7414</v>
      </c>
      <c r="J367" t="s">
        <v>7415</v>
      </c>
      <c r="K367" t="s">
        <v>74</v>
      </c>
      <c r="L367" t="s">
        <v>74</v>
      </c>
      <c r="M367" t="s">
        <v>78</v>
      </c>
      <c r="N367" t="s">
        <v>581</v>
      </c>
      <c r="O367" t="s">
        <v>74</v>
      </c>
      <c r="P367" t="s">
        <v>74</v>
      </c>
      <c r="Q367" t="s">
        <v>74</v>
      </c>
      <c r="R367" t="s">
        <v>74</v>
      </c>
      <c r="S367" t="s">
        <v>74</v>
      </c>
      <c r="T367" t="s">
        <v>7416</v>
      </c>
      <c r="U367" t="s">
        <v>7417</v>
      </c>
      <c r="V367" t="s">
        <v>7418</v>
      </c>
      <c r="W367" t="s">
        <v>7419</v>
      </c>
      <c r="X367" t="s">
        <v>7420</v>
      </c>
      <c r="Y367" t="s">
        <v>7421</v>
      </c>
      <c r="Z367" t="s">
        <v>7422</v>
      </c>
      <c r="AA367" t="s">
        <v>7423</v>
      </c>
      <c r="AB367" t="s">
        <v>7424</v>
      </c>
      <c r="AC367" t="s">
        <v>74</v>
      </c>
      <c r="AD367" t="s">
        <v>74</v>
      </c>
      <c r="AE367" t="s">
        <v>74</v>
      </c>
      <c r="AF367" t="s">
        <v>74</v>
      </c>
      <c r="AG367">
        <v>115</v>
      </c>
      <c r="AH367">
        <v>12</v>
      </c>
      <c r="AI367">
        <v>14</v>
      </c>
      <c r="AJ367">
        <v>6</v>
      </c>
      <c r="AK367">
        <v>132</v>
      </c>
      <c r="AL367" t="s">
        <v>208</v>
      </c>
      <c r="AM367" t="s">
        <v>209</v>
      </c>
      <c r="AN367" t="s">
        <v>210</v>
      </c>
      <c r="AO367" t="s">
        <v>7425</v>
      </c>
      <c r="AP367" t="s">
        <v>7426</v>
      </c>
      <c r="AQ367" t="s">
        <v>74</v>
      </c>
      <c r="AR367" t="s">
        <v>7427</v>
      </c>
      <c r="AS367" t="s">
        <v>7428</v>
      </c>
      <c r="AT367" t="s">
        <v>6261</v>
      </c>
      <c r="AU367">
        <v>2015</v>
      </c>
      <c r="AV367">
        <v>40</v>
      </c>
      <c r="AW367" t="s">
        <v>74</v>
      </c>
      <c r="AX367" t="s">
        <v>74</v>
      </c>
      <c r="AY367">
        <v>1</v>
      </c>
      <c r="AZ367" t="s">
        <v>74</v>
      </c>
      <c r="BA367" t="s">
        <v>74</v>
      </c>
      <c r="BB367">
        <v>36</v>
      </c>
      <c r="BC367">
        <v>44</v>
      </c>
      <c r="BD367" t="s">
        <v>74</v>
      </c>
      <c r="BE367" t="s">
        <v>7429</v>
      </c>
      <c r="BF367" t="str">
        <f>HYPERLINK("http://dx.doi.org/10.1111/een.12207","http://dx.doi.org/10.1111/een.12207")</f>
        <v>http://dx.doi.org/10.1111/een.12207</v>
      </c>
      <c r="BG367" t="s">
        <v>74</v>
      </c>
      <c r="BH367" t="s">
        <v>74</v>
      </c>
      <c r="BI367">
        <v>9</v>
      </c>
      <c r="BJ367" t="s">
        <v>2065</v>
      </c>
      <c r="BK367" t="s">
        <v>101</v>
      </c>
      <c r="BL367" t="s">
        <v>2065</v>
      </c>
      <c r="BM367" t="s">
        <v>7430</v>
      </c>
      <c r="BN367" t="s">
        <v>74</v>
      </c>
      <c r="BO367" t="s">
        <v>162</v>
      </c>
      <c r="BP367" t="s">
        <v>74</v>
      </c>
      <c r="BQ367" t="s">
        <v>74</v>
      </c>
      <c r="BR367" t="s">
        <v>103</v>
      </c>
      <c r="BS367" t="s">
        <v>7431</v>
      </c>
      <c r="BT367" t="str">
        <f>HYPERLINK("https%3A%2F%2Fwww.webofscience.com%2Fwos%2Fwoscc%2Ffull-record%2FWOS:000360220600005","View Full Record in Web of Science")</f>
        <v>View Full Record in Web of Science</v>
      </c>
    </row>
    <row r="368" spans="1:72" x14ac:dyDescent="0.15">
      <c r="A368" t="s">
        <v>72</v>
      </c>
      <c r="B368" t="s">
        <v>7432</v>
      </c>
      <c r="C368" t="s">
        <v>74</v>
      </c>
      <c r="D368" t="s">
        <v>74</v>
      </c>
      <c r="E368" t="s">
        <v>74</v>
      </c>
      <c r="F368" t="s">
        <v>7433</v>
      </c>
      <c r="G368" t="s">
        <v>74</v>
      </c>
      <c r="H368" t="s">
        <v>74</v>
      </c>
      <c r="I368" t="s">
        <v>7434</v>
      </c>
      <c r="J368" t="s">
        <v>7435</v>
      </c>
      <c r="K368" t="s">
        <v>74</v>
      </c>
      <c r="L368" t="s">
        <v>74</v>
      </c>
      <c r="M368" t="s">
        <v>78</v>
      </c>
      <c r="N368" t="s">
        <v>79</v>
      </c>
      <c r="O368" t="s">
        <v>74</v>
      </c>
      <c r="P368" t="s">
        <v>74</v>
      </c>
      <c r="Q368" t="s">
        <v>74</v>
      </c>
      <c r="R368" t="s">
        <v>74</v>
      </c>
      <c r="S368" t="s">
        <v>74</v>
      </c>
      <c r="T368" t="s">
        <v>7436</v>
      </c>
      <c r="U368" t="s">
        <v>7437</v>
      </c>
      <c r="V368" t="s">
        <v>7438</v>
      </c>
      <c r="W368" t="s">
        <v>7439</v>
      </c>
      <c r="X368" t="s">
        <v>7440</v>
      </c>
      <c r="Y368" t="s">
        <v>7441</v>
      </c>
      <c r="Z368" t="s">
        <v>7442</v>
      </c>
      <c r="AA368" t="s">
        <v>7443</v>
      </c>
      <c r="AB368" t="s">
        <v>7444</v>
      </c>
      <c r="AC368" t="s">
        <v>7445</v>
      </c>
      <c r="AD368" t="s">
        <v>7446</v>
      </c>
      <c r="AE368" t="s">
        <v>7447</v>
      </c>
      <c r="AF368" t="s">
        <v>74</v>
      </c>
      <c r="AG368">
        <v>40</v>
      </c>
      <c r="AH368">
        <v>20</v>
      </c>
      <c r="AI368">
        <v>20</v>
      </c>
      <c r="AJ368">
        <v>2</v>
      </c>
      <c r="AK368">
        <v>34</v>
      </c>
      <c r="AL368" t="s">
        <v>208</v>
      </c>
      <c r="AM368" t="s">
        <v>209</v>
      </c>
      <c r="AN368" t="s">
        <v>210</v>
      </c>
      <c r="AO368" t="s">
        <v>7448</v>
      </c>
      <c r="AP368" t="s">
        <v>7449</v>
      </c>
      <c r="AQ368" t="s">
        <v>74</v>
      </c>
      <c r="AR368" t="s">
        <v>7450</v>
      </c>
      <c r="AS368" t="s">
        <v>7451</v>
      </c>
      <c r="AT368" t="s">
        <v>6261</v>
      </c>
      <c r="AU368">
        <v>2015</v>
      </c>
      <c r="AV368">
        <v>34</v>
      </c>
      <c r="AW368">
        <v>9</v>
      </c>
      <c r="AX368" t="s">
        <v>74</v>
      </c>
      <c r="AY368" t="s">
        <v>74</v>
      </c>
      <c r="AZ368" t="s">
        <v>74</v>
      </c>
      <c r="BA368" t="s">
        <v>74</v>
      </c>
      <c r="BB368">
        <v>2004</v>
      </c>
      <c r="BC368">
        <v>2012</v>
      </c>
      <c r="BD368" t="s">
        <v>74</v>
      </c>
      <c r="BE368" t="s">
        <v>7452</v>
      </c>
      <c r="BF368" t="str">
        <f>HYPERLINK("http://dx.doi.org/10.1002/etc.3021","http://dx.doi.org/10.1002/etc.3021")</f>
        <v>http://dx.doi.org/10.1002/etc.3021</v>
      </c>
      <c r="BG368" t="s">
        <v>74</v>
      </c>
      <c r="BH368" t="s">
        <v>74</v>
      </c>
      <c r="BI368">
        <v>9</v>
      </c>
      <c r="BJ368" t="s">
        <v>7453</v>
      </c>
      <c r="BK368" t="s">
        <v>101</v>
      </c>
      <c r="BL368" t="s">
        <v>7454</v>
      </c>
      <c r="BM368" t="s">
        <v>7455</v>
      </c>
      <c r="BN368">
        <v>25891024</v>
      </c>
      <c r="BO368" t="s">
        <v>559</v>
      </c>
      <c r="BP368" t="s">
        <v>74</v>
      </c>
      <c r="BQ368" t="s">
        <v>74</v>
      </c>
      <c r="BR368" t="s">
        <v>103</v>
      </c>
      <c r="BS368" t="s">
        <v>7456</v>
      </c>
      <c r="BT368" t="str">
        <f>HYPERLINK("https%3A%2F%2Fwww.webofscience.com%2Fwos%2Fwoscc%2Ffull-record%2FWOS:000360500600014","View Full Record in Web of Science")</f>
        <v>View Full Record in Web of Science</v>
      </c>
    </row>
    <row r="369" spans="1:72" x14ac:dyDescent="0.15">
      <c r="A369" t="s">
        <v>72</v>
      </c>
      <c r="B369" t="s">
        <v>7457</v>
      </c>
      <c r="C369" t="s">
        <v>74</v>
      </c>
      <c r="D369" t="s">
        <v>74</v>
      </c>
      <c r="E369" t="s">
        <v>74</v>
      </c>
      <c r="F369" t="s">
        <v>7458</v>
      </c>
      <c r="G369" t="s">
        <v>74</v>
      </c>
      <c r="H369" t="s">
        <v>74</v>
      </c>
      <c r="I369" t="s">
        <v>7459</v>
      </c>
      <c r="J369" t="s">
        <v>7460</v>
      </c>
      <c r="K369" t="s">
        <v>74</v>
      </c>
      <c r="L369" t="s">
        <v>74</v>
      </c>
      <c r="M369" t="s">
        <v>78</v>
      </c>
      <c r="N369" t="s">
        <v>79</v>
      </c>
      <c r="O369" t="s">
        <v>74</v>
      </c>
      <c r="P369" t="s">
        <v>74</v>
      </c>
      <c r="Q369" t="s">
        <v>74</v>
      </c>
      <c r="R369" t="s">
        <v>74</v>
      </c>
      <c r="S369" t="s">
        <v>74</v>
      </c>
      <c r="T369" t="s">
        <v>7461</v>
      </c>
      <c r="U369" t="s">
        <v>7462</v>
      </c>
      <c r="V369" t="s">
        <v>7463</v>
      </c>
      <c r="W369" t="s">
        <v>7464</v>
      </c>
      <c r="X369" t="s">
        <v>7465</v>
      </c>
      <c r="Y369" t="s">
        <v>7466</v>
      </c>
      <c r="Z369" t="s">
        <v>7467</v>
      </c>
      <c r="AA369" t="s">
        <v>7468</v>
      </c>
      <c r="AB369" t="s">
        <v>7469</v>
      </c>
      <c r="AC369" t="s">
        <v>7470</v>
      </c>
      <c r="AD369" t="s">
        <v>7471</v>
      </c>
      <c r="AE369" t="s">
        <v>7472</v>
      </c>
      <c r="AF369" t="s">
        <v>74</v>
      </c>
      <c r="AG369">
        <v>64</v>
      </c>
      <c r="AH369">
        <v>40</v>
      </c>
      <c r="AI369">
        <v>43</v>
      </c>
      <c r="AJ369">
        <v>2</v>
      </c>
      <c r="AK369">
        <v>51</v>
      </c>
      <c r="AL369" t="s">
        <v>7473</v>
      </c>
      <c r="AM369" t="s">
        <v>7474</v>
      </c>
      <c r="AN369" t="s">
        <v>7475</v>
      </c>
      <c r="AO369" t="s">
        <v>7476</v>
      </c>
      <c r="AP369" t="s">
        <v>7477</v>
      </c>
      <c r="AQ369" t="s">
        <v>74</v>
      </c>
      <c r="AR369" t="s">
        <v>7460</v>
      </c>
      <c r="AS369" t="s">
        <v>7478</v>
      </c>
      <c r="AT369" t="s">
        <v>6261</v>
      </c>
      <c r="AU369">
        <v>2015</v>
      </c>
      <c r="AV369">
        <v>19</v>
      </c>
      <c r="AW369">
        <v>5</v>
      </c>
      <c r="AX369" t="s">
        <v>74</v>
      </c>
      <c r="AY369" t="s">
        <v>74</v>
      </c>
      <c r="AZ369" t="s">
        <v>74</v>
      </c>
      <c r="BA369" t="s">
        <v>74</v>
      </c>
      <c r="BB369">
        <v>885</v>
      </c>
      <c r="BC369">
        <v>897</v>
      </c>
      <c r="BD369" t="s">
        <v>74</v>
      </c>
      <c r="BE369" t="s">
        <v>7479</v>
      </c>
      <c r="BF369" t="str">
        <f>HYPERLINK("http://dx.doi.org/10.1007/s00792-015-0764-z","http://dx.doi.org/10.1007/s00792-015-0764-z")</f>
        <v>http://dx.doi.org/10.1007/s00792-015-0764-z</v>
      </c>
      <c r="BG369" t="s">
        <v>74</v>
      </c>
      <c r="BH369" t="s">
        <v>74</v>
      </c>
      <c r="BI369">
        <v>13</v>
      </c>
      <c r="BJ369" t="s">
        <v>7480</v>
      </c>
      <c r="BK369" t="s">
        <v>101</v>
      </c>
      <c r="BL369" t="s">
        <v>7480</v>
      </c>
      <c r="BM369" t="s">
        <v>7481</v>
      </c>
      <c r="BN369">
        <v>26104673</v>
      </c>
      <c r="BO369" t="s">
        <v>5066</v>
      </c>
      <c r="BP369" t="s">
        <v>74</v>
      </c>
      <c r="BQ369" t="s">
        <v>74</v>
      </c>
      <c r="BR369" t="s">
        <v>103</v>
      </c>
      <c r="BS369" t="s">
        <v>7482</v>
      </c>
      <c r="BT369" t="str">
        <f>HYPERLINK("https%3A%2F%2Fwww.webofscience.com%2Fwos%2Fwoscc%2Ffull-record%2FWOS:000360192600001","View Full Record in Web of Science")</f>
        <v>View Full Record in Web of Science</v>
      </c>
    </row>
    <row r="370" spans="1:72" x14ac:dyDescent="0.15">
      <c r="A370" t="s">
        <v>72</v>
      </c>
      <c r="B370" t="s">
        <v>7483</v>
      </c>
      <c r="C370" t="s">
        <v>74</v>
      </c>
      <c r="D370" t="s">
        <v>74</v>
      </c>
      <c r="E370" t="s">
        <v>74</v>
      </c>
      <c r="F370" t="s">
        <v>7484</v>
      </c>
      <c r="G370" t="s">
        <v>74</v>
      </c>
      <c r="H370" t="s">
        <v>74</v>
      </c>
      <c r="I370" t="s">
        <v>7485</v>
      </c>
      <c r="J370" t="s">
        <v>7460</v>
      </c>
      <c r="K370" t="s">
        <v>74</v>
      </c>
      <c r="L370" t="s">
        <v>74</v>
      </c>
      <c r="M370" t="s">
        <v>78</v>
      </c>
      <c r="N370" t="s">
        <v>79</v>
      </c>
      <c r="O370" t="s">
        <v>74</v>
      </c>
      <c r="P370" t="s">
        <v>74</v>
      </c>
      <c r="Q370" t="s">
        <v>74</v>
      </c>
      <c r="R370" t="s">
        <v>74</v>
      </c>
      <c r="S370" t="s">
        <v>74</v>
      </c>
      <c r="T370" t="s">
        <v>7486</v>
      </c>
      <c r="U370" t="s">
        <v>7487</v>
      </c>
      <c r="V370" t="s">
        <v>7488</v>
      </c>
      <c r="W370" t="s">
        <v>7489</v>
      </c>
      <c r="X370" t="s">
        <v>7490</v>
      </c>
      <c r="Y370" t="s">
        <v>7491</v>
      </c>
      <c r="Z370" t="s">
        <v>7492</v>
      </c>
      <c r="AA370" t="s">
        <v>7493</v>
      </c>
      <c r="AB370" t="s">
        <v>74</v>
      </c>
      <c r="AC370" t="s">
        <v>7494</v>
      </c>
      <c r="AD370" t="s">
        <v>7495</v>
      </c>
      <c r="AE370" t="s">
        <v>7496</v>
      </c>
      <c r="AF370" t="s">
        <v>74</v>
      </c>
      <c r="AG370">
        <v>37</v>
      </c>
      <c r="AH370">
        <v>4</v>
      </c>
      <c r="AI370">
        <v>7</v>
      </c>
      <c r="AJ370">
        <v>0</v>
      </c>
      <c r="AK370">
        <v>32</v>
      </c>
      <c r="AL370" t="s">
        <v>7473</v>
      </c>
      <c r="AM370" t="s">
        <v>7474</v>
      </c>
      <c r="AN370" t="s">
        <v>7475</v>
      </c>
      <c r="AO370" t="s">
        <v>7476</v>
      </c>
      <c r="AP370" t="s">
        <v>7477</v>
      </c>
      <c r="AQ370" t="s">
        <v>74</v>
      </c>
      <c r="AR370" t="s">
        <v>7460</v>
      </c>
      <c r="AS370" t="s">
        <v>7478</v>
      </c>
      <c r="AT370" t="s">
        <v>6261</v>
      </c>
      <c r="AU370">
        <v>2015</v>
      </c>
      <c r="AV370">
        <v>19</v>
      </c>
      <c r="AW370">
        <v>5</v>
      </c>
      <c r="AX370" t="s">
        <v>74</v>
      </c>
      <c r="AY370" t="s">
        <v>74</v>
      </c>
      <c r="AZ370" t="s">
        <v>74</v>
      </c>
      <c r="BA370" t="s">
        <v>74</v>
      </c>
      <c r="BB370">
        <v>921</v>
      </c>
      <c r="BC370">
        <v>931</v>
      </c>
      <c r="BD370" t="s">
        <v>74</v>
      </c>
      <c r="BE370" t="s">
        <v>7497</v>
      </c>
      <c r="BF370" t="str">
        <f>HYPERLINK("http://dx.doi.org/10.1007/s00792-015-0768-8","http://dx.doi.org/10.1007/s00792-015-0768-8")</f>
        <v>http://dx.doi.org/10.1007/s00792-015-0768-8</v>
      </c>
      <c r="BG370" t="s">
        <v>74</v>
      </c>
      <c r="BH370" t="s">
        <v>74</v>
      </c>
      <c r="BI370">
        <v>11</v>
      </c>
      <c r="BJ370" t="s">
        <v>7480</v>
      </c>
      <c r="BK370" t="s">
        <v>101</v>
      </c>
      <c r="BL370" t="s">
        <v>7480</v>
      </c>
      <c r="BM370" t="s">
        <v>7481</v>
      </c>
      <c r="BN370">
        <v>26174530</v>
      </c>
      <c r="BO370" t="s">
        <v>74</v>
      </c>
      <c r="BP370" t="s">
        <v>74</v>
      </c>
      <c r="BQ370" t="s">
        <v>74</v>
      </c>
      <c r="BR370" t="s">
        <v>103</v>
      </c>
      <c r="BS370" t="s">
        <v>7498</v>
      </c>
      <c r="BT370" t="str">
        <f>HYPERLINK("https%3A%2F%2Fwww.webofscience.com%2Fwos%2Fwoscc%2Ffull-record%2FWOS:000360192600004","View Full Record in Web of Science")</f>
        <v>View Full Record in Web of Science</v>
      </c>
    </row>
    <row r="371" spans="1:72" x14ac:dyDescent="0.15">
      <c r="A371" t="s">
        <v>72</v>
      </c>
      <c r="B371" t="s">
        <v>7499</v>
      </c>
      <c r="C371" t="s">
        <v>74</v>
      </c>
      <c r="D371" t="s">
        <v>74</v>
      </c>
      <c r="E371" t="s">
        <v>74</v>
      </c>
      <c r="F371" t="s">
        <v>7500</v>
      </c>
      <c r="G371" t="s">
        <v>74</v>
      </c>
      <c r="H371" t="s">
        <v>74</v>
      </c>
      <c r="I371" t="s">
        <v>7501</v>
      </c>
      <c r="J371" t="s">
        <v>7502</v>
      </c>
      <c r="K371" t="s">
        <v>74</v>
      </c>
      <c r="L371" t="s">
        <v>74</v>
      </c>
      <c r="M371" t="s">
        <v>78</v>
      </c>
      <c r="N371" t="s">
        <v>79</v>
      </c>
      <c r="O371" t="s">
        <v>74</v>
      </c>
      <c r="P371" t="s">
        <v>74</v>
      </c>
      <c r="Q371" t="s">
        <v>74</v>
      </c>
      <c r="R371" t="s">
        <v>74</v>
      </c>
      <c r="S371" t="s">
        <v>74</v>
      </c>
      <c r="T371" t="s">
        <v>74</v>
      </c>
      <c r="U371" t="s">
        <v>7503</v>
      </c>
      <c r="V371" t="s">
        <v>7504</v>
      </c>
      <c r="W371" t="s">
        <v>7505</v>
      </c>
      <c r="X371" t="s">
        <v>7506</v>
      </c>
      <c r="Y371" t="s">
        <v>7507</v>
      </c>
      <c r="Z371" t="s">
        <v>7508</v>
      </c>
      <c r="AA371" t="s">
        <v>6985</v>
      </c>
      <c r="AB371" t="s">
        <v>6986</v>
      </c>
      <c r="AC371" t="s">
        <v>7509</v>
      </c>
      <c r="AD371" t="s">
        <v>7510</v>
      </c>
      <c r="AE371" t="s">
        <v>7511</v>
      </c>
      <c r="AF371" t="s">
        <v>74</v>
      </c>
      <c r="AG371">
        <v>101</v>
      </c>
      <c r="AH371">
        <v>43</v>
      </c>
      <c r="AI371">
        <v>45</v>
      </c>
      <c r="AJ371">
        <v>0</v>
      </c>
      <c r="AK371">
        <v>15</v>
      </c>
      <c r="AL371" t="s">
        <v>3418</v>
      </c>
      <c r="AM371" t="s">
        <v>3419</v>
      </c>
      <c r="AN371" t="s">
        <v>3420</v>
      </c>
      <c r="AO371" t="s">
        <v>7512</v>
      </c>
      <c r="AP371" t="s">
        <v>7513</v>
      </c>
      <c r="AQ371" t="s">
        <v>74</v>
      </c>
      <c r="AR371" t="s">
        <v>7514</v>
      </c>
      <c r="AS371" t="s">
        <v>7515</v>
      </c>
      <c r="AT371" t="s">
        <v>6261</v>
      </c>
      <c r="AU371">
        <v>2015</v>
      </c>
      <c r="AV371">
        <v>127</v>
      </c>
      <c r="AW371" t="s">
        <v>7516</v>
      </c>
      <c r="AX371" t="s">
        <v>74</v>
      </c>
      <c r="AY371" t="s">
        <v>74</v>
      </c>
      <c r="AZ371" t="s">
        <v>74</v>
      </c>
      <c r="BA371" t="s">
        <v>74</v>
      </c>
      <c r="BB371">
        <v>1464</v>
      </c>
      <c r="BC371">
        <v>1484</v>
      </c>
      <c r="BD371" t="s">
        <v>74</v>
      </c>
      <c r="BE371" t="s">
        <v>7517</v>
      </c>
      <c r="BF371" t="str">
        <f>HYPERLINK("http://dx.doi.org/10.1130/B31136.1","http://dx.doi.org/10.1130/B31136.1")</f>
        <v>http://dx.doi.org/10.1130/B31136.1</v>
      </c>
      <c r="BG371" t="s">
        <v>74</v>
      </c>
      <c r="BH371" t="s">
        <v>74</v>
      </c>
      <c r="BI371">
        <v>21</v>
      </c>
      <c r="BJ371" t="s">
        <v>314</v>
      </c>
      <c r="BK371" t="s">
        <v>101</v>
      </c>
      <c r="BL371" t="s">
        <v>315</v>
      </c>
      <c r="BM371" t="s">
        <v>7518</v>
      </c>
      <c r="BN371" t="s">
        <v>74</v>
      </c>
      <c r="BO371" t="s">
        <v>559</v>
      </c>
      <c r="BP371" t="s">
        <v>74</v>
      </c>
      <c r="BQ371" t="s">
        <v>74</v>
      </c>
      <c r="BR371" t="s">
        <v>103</v>
      </c>
      <c r="BS371" t="s">
        <v>7519</v>
      </c>
      <c r="BT371" t="str">
        <f>HYPERLINK("https%3A%2F%2Fwww.webofscience.com%2Fwos%2Fwoscc%2Ffull-record%2FWOS:000360559100018","View Full Record in Web of Science")</f>
        <v>View Full Record in Web of Science</v>
      </c>
    </row>
    <row r="372" spans="1:72" x14ac:dyDescent="0.15">
      <c r="A372" t="s">
        <v>72</v>
      </c>
      <c r="B372" t="s">
        <v>7520</v>
      </c>
      <c r="C372" t="s">
        <v>74</v>
      </c>
      <c r="D372" t="s">
        <v>74</v>
      </c>
      <c r="E372" t="s">
        <v>74</v>
      </c>
      <c r="F372" t="s">
        <v>7521</v>
      </c>
      <c r="G372" t="s">
        <v>74</v>
      </c>
      <c r="H372" t="s">
        <v>74</v>
      </c>
      <c r="I372" t="s">
        <v>7522</v>
      </c>
      <c r="J372" t="s">
        <v>7523</v>
      </c>
      <c r="K372" t="s">
        <v>74</v>
      </c>
      <c r="L372" t="s">
        <v>74</v>
      </c>
      <c r="M372" t="s">
        <v>78</v>
      </c>
      <c r="N372" t="s">
        <v>79</v>
      </c>
      <c r="O372" t="s">
        <v>74</v>
      </c>
      <c r="P372" t="s">
        <v>74</v>
      </c>
      <c r="Q372" t="s">
        <v>74</v>
      </c>
      <c r="R372" t="s">
        <v>74</v>
      </c>
      <c r="S372" t="s">
        <v>74</v>
      </c>
      <c r="T372" t="s">
        <v>7524</v>
      </c>
      <c r="U372" t="s">
        <v>7525</v>
      </c>
      <c r="V372" t="s">
        <v>7526</v>
      </c>
      <c r="W372" t="s">
        <v>7527</v>
      </c>
      <c r="X372" t="s">
        <v>7528</v>
      </c>
      <c r="Y372" t="s">
        <v>7529</v>
      </c>
      <c r="Z372" t="s">
        <v>7530</v>
      </c>
      <c r="AA372" t="s">
        <v>7531</v>
      </c>
      <c r="AB372" t="s">
        <v>7532</v>
      </c>
      <c r="AC372" t="s">
        <v>7533</v>
      </c>
      <c r="AD372" t="s">
        <v>7534</v>
      </c>
      <c r="AE372" t="s">
        <v>7535</v>
      </c>
      <c r="AF372" t="s">
        <v>74</v>
      </c>
      <c r="AG372">
        <v>41</v>
      </c>
      <c r="AH372">
        <v>4</v>
      </c>
      <c r="AI372">
        <v>4</v>
      </c>
      <c r="AJ372">
        <v>1</v>
      </c>
      <c r="AK372">
        <v>23</v>
      </c>
      <c r="AL372" t="s">
        <v>92</v>
      </c>
      <c r="AM372" t="s">
        <v>93</v>
      </c>
      <c r="AN372" t="s">
        <v>94</v>
      </c>
      <c r="AO372" t="s">
        <v>7536</v>
      </c>
      <c r="AP372" t="s">
        <v>7537</v>
      </c>
      <c r="AQ372" t="s">
        <v>74</v>
      </c>
      <c r="AR372" t="s">
        <v>7538</v>
      </c>
      <c r="AS372" t="s">
        <v>7539</v>
      </c>
      <c r="AT372" t="s">
        <v>6261</v>
      </c>
      <c r="AU372">
        <v>2015</v>
      </c>
      <c r="AV372">
        <v>22</v>
      </c>
      <c r="AW372">
        <v>3</v>
      </c>
      <c r="AX372" t="s">
        <v>74</v>
      </c>
      <c r="AY372" t="s">
        <v>74</v>
      </c>
      <c r="AZ372" t="s">
        <v>74</v>
      </c>
      <c r="BA372" t="s">
        <v>74</v>
      </c>
      <c r="BB372">
        <v>465</v>
      </c>
      <c r="BC372">
        <v>491</v>
      </c>
      <c r="BD372" t="s">
        <v>74</v>
      </c>
      <c r="BE372" t="s">
        <v>7540</v>
      </c>
      <c r="BF372" t="str">
        <f>HYPERLINK("http://dx.doi.org/10.1007/s10651-014-0306-3","http://dx.doi.org/10.1007/s10651-014-0306-3")</f>
        <v>http://dx.doi.org/10.1007/s10651-014-0306-3</v>
      </c>
      <c r="BG372" t="s">
        <v>74</v>
      </c>
      <c r="BH372" t="s">
        <v>74</v>
      </c>
      <c r="BI372">
        <v>27</v>
      </c>
      <c r="BJ372" t="s">
        <v>7541</v>
      </c>
      <c r="BK372" t="s">
        <v>101</v>
      </c>
      <c r="BL372" t="s">
        <v>7542</v>
      </c>
      <c r="BM372" t="s">
        <v>7543</v>
      </c>
      <c r="BN372" t="s">
        <v>74</v>
      </c>
      <c r="BO372" t="s">
        <v>74</v>
      </c>
      <c r="BP372" t="s">
        <v>74</v>
      </c>
      <c r="BQ372" t="s">
        <v>74</v>
      </c>
      <c r="BR372" t="s">
        <v>103</v>
      </c>
      <c r="BS372" t="s">
        <v>7544</v>
      </c>
      <c r="BT372" t="str">
        <f>HYPERLINK("https%3A%2F%2Fwww.webofscience.com%2Fwos%2Fwoscc%2Ffull-record%2FWOS:000359821000002","View Full Record in Web of Science")</f>
        <v>View Full Record in Web of Science</v>
      </c>
    </row>
    <row r="373" spans="1:72" x14ac:dyDescent="0.15">
      <c r="A373" t="s">
        <v>72</v>
      </c>
      <c r="B373" t="s">
        <v>7545</v>
      </c>
      <c r="C373" t="s">
        <v>74</v>
      </c>
      <c r="D373" t="s">
        <v>74</v>
      </c>
      <c r="E373" t="s">
        <v>74</v>
      </c>
      <c r="F373" t="s">
        <v>7546</v>
      </c>
      <c r="G373" t="s">
        <v>74</v>
      </c>
      <c r="H373" t="s">
        <v>74</v>
      </c>
      <c r="I373" t="s">
        <v>7547</v>
      </c>
      <c r="J373" t="s">
        <v>7548</v>
      </c>
      <c r="K373" t="s">
        <v>74</v>
      </c>
      <c r="L373" t="s">
        <v>74</v>
      </c>
      <c r="M373" t="s">
        <v>78</v>
      </c>
      <c r="N373" t="s">
        <v>79</v>
      </c>
      <c r="O373" t="s">
        <v>74</v>
      </c>
      <c r="P373" t="s">
        <v>74</v>
      </c>
      <c r="Q373" t="s">
        <v>74</v>
      </c>
      <c r="R373" t="s">
        <v>74</v>
      </c>
      <c r="S373" t="s">
        <v>74</v>
      </c>
      <c r="T373" t="s">
        <v>7549</v>
      </c>
      <c r="U373" t="s">
        <v>7550</v>
      </c>
      <c r="V373" t="s">
        <v>7551</v>
      </c>
      <c r="W373" t="s">
        <v>7552</v>
      </c>
      <c r="X373" t="s">
        <v>7553</v>
      </c>
      <c r="Y373" t="s">
        <v>7554</v>
      </c>
      <c r="Z373" t="s">
        <v>7555</v>
      </c>
      <c r="AA373" t="s">
        <v>7556</v>
      </c>
      <c r="AB373" t="s">
        <v>7557</v>
      </c>
      <c r="AC373" t="s">
        <v>7558</v>
      </c>
      <c r="AD373" t="s">
        <v>7558</v>
      </c>
      <c r="AE373" t="s">
        <v>7559</v>
      </c>
      <c r="AF373" t="s">
        <v>74</v>
      </c>
      <c r="AG373">
        <v>71</v>
      </c>
      <c r="AH373">
        <v>32</v>
      </c>
      <c r="AI373">
        <v>36</v>
      </c>
      <c r="AJ373">
        <v>1</v>
      </c>
      <c r="AK373">
        <v>49</v>
      </c>
      <c r="AL373" t="s">
        <v>7560</v>
      </c>
      <c r="AM373" t="s">
        <v>180</v>
      </c>
      <c r="AN373" t="s">
        <v>7561</v>
      </c>
      <c r="AO373" t="s">
        <v>7562</v>
      </c>
      <c r="AP373" t="s">
        <v>7563</v>
      </c>
      <c r="AQ373" t="s">
        <v>74</v>
      </c>
      <c r="AR373" t="s">
        <v>7548</v>
      </c>
      <c r="AS373" t="s">
        <v>7564</v>
      </c>
      <c r="AT373" t="s">
        <v>6261</v>
      </c>
      <c r="AU373">
        <v>2015</v>
      </c>
      <c r="AV373">
        <v>25</v>
      </c>
      <c r="AW373">
        <v>9</v>
      </c>
      <c r="AX373" t="s">
        <v>74</v>
      </c>
      <c r="AY373" t="s">
        <v>74</v>
      </c>
      <c r="AZ373" t="s">
        <v>74</v>
      </c>
      <c r="BA373" t="s">
        <v>74</v>
      </c>
      <c r="BB373">
        <v>1415</v>
      </c>
      <c r="BC373">
        <v>1424</v>
      </c>
      <c r="BD373" t="s">
        <v>74</v>
      </c>
      <c r="BE373" t="s">
        <v>7565</v>
      </c>
      <c r="BF373" t="str">
        <f>HYPERLINK("http://dx.doi.org/10.1177/0959683615585840","http://dx.doi.org/10.1177/0959683615585840")</f>
        <v>http://dx.doi.org/10.1177/0959683615585840</v>
      </c>
      <c r="BG373" t="s">
        <v>74</v>
      </c>
      <c r="BH373" t="s">
        <v>74</v>
      </c>
      <c r="BI373">
        <v>10</v>
      </c>
      <c r="BJ373" t="s">
        <v>1778</v>
      </c>
      <c r="BK373" t="s">
        <v>101</v>
      </c>
      <c r="BL373" t="s">
        <v>1779</v>
      </c>
      <c r="BM373" t="s">
        <v>7566</v>
      </c>
      <c r="BN373" t="s">
        <v>74</v>
      </c>
      <c r="BO373" t="s">
        <v>74</v>
      </c>
      <c r="BP373" t="s">
        <v>74</v>
      </c>
      <c r="BQ373" t="s">
        <v>74</v>
      </c>
      <c r="BR373" t="s">
        <v>103</v>
      </c>
      <c r="BS373" t="s">
        <v>7567</v>
      </c>
      <c r="BT373" t="str">
        <f>HYPERLINK("https%3A%2F%2Fwww.webofscience.com%2Fwos%2Fwoscc%2Ffull-record%2FWOS:000360004500005","View Full Record in Web of Science")</f>
        <v>View Full Record in Web of Science</v>
      </c>
    </row>
    <row r="374" spans="1:72" x14ac:dyDescent="0.15">
      <c r="A374" t="s">
        <v>72</v>
      </c>
      <c r="B374" t="s">
        <v>7568</v>
      </c>
      <c r="C374" t="s">
        <v>74</v>
      </c>
      <c r="D374" t="s">
        <v>74</v>
      </c>
      <c r="E374" t="s">
        <v>74</v>
      </c>
      <c r="F374" t="s">
        <v>7569</v>
      </c>
      <c r="G374" t="s">
        <v>74</v>
      </c>
      <c r="H374" t="s">
        <v>74</v>
      </c>
      <c r="I374" t="s">
        <v>7570</v>
      </c>
      <c r="J374" t="s">
        <v>1761</v>
      </c>
      <c r="K374" t="s">
        <v>74</v>
      </c>
      <c r="L374" t="s">
        <v>74</v>
      </c>
      <c r="M374" t="s">
        <v>78</v>
      </c>
      <c r="N374" t="s">
        <v>79</v>
      </c>
      <c r="O374" t="s">
        <v>74</v>
      </c>
      <c r="P374" t="s">
        <v>74</v>
      </c>
      <c r="Q374" t="s">
        <v>74</v>
      </c>
      <c r="R374" t="s">
        <v>74</v>
      </c>
      <c r="S374" t="s">
        <v>74</v>
      </c>
      <c r="T374" t="s">
        <v>7571</v>
      </c>
      <c r="U374" t="s">
        <v>7572</v>
      </c>
      <c r="V374" t="s">
        <v>7573</v>
      </c>
      <c r="W374" t="s">
        <v>7574</v>
      </c>
      <c r="X374" t="s">
        <v>7575</v>
      </c>
      <c r="Y374" t="s">
        <v>7576</v>
      </c>
      <c r="Z374" t="s">
        <v>7577</v>
      </c>
      <c r="AA374" t="s">
        <v>7578</v>
      </c>
      <c r="AB374" t="s">
        <v>7579</v>
      </c>
      <c r="AC374" t="s">
        <v>7580</v>
      </c>
      <c r="AD374" t="s">
        <v>7581</v>
      </c>
      <c r="AE374" t="s">
        <v>7582</v>
      </c>
      <c r="AF374" t="s">
        <v>74</v>
      </c>
      <c r="AG374">
        <v>87</v>
      </c>
      <c r="AH374">
        <v>7</v>
      </c>
      <c r="AI374">
        <v>7</v>
      </c>
      <c r="AJ374">
        <v>0</v>
      </c>
      <c r="AK374">
        <v>28</v>
      </c>
      <c r="AL374" t="s">
        <v>397</v>
      </c>
      <c r="AM374" t="s">
        <v>398</v>
      </c>
      <c r="AN374" t="s">
        <v>399</v>
      </c>
      <c r="AO374" t="s">
        <v>1774</v>
      </c>
      <c r="AP374" t="s">
        <v>7583</v>
      </c>
      <c r="AQ374" t="s">
        <v>74</v>
      </c>
      <c r="AR374" t="s">
        <v>1775</v>
      </c>
      <c r="AS374" t="s">
        <v>1776</v>
      </c>
      <c r="AT374" t="s">
        <v>6441</v>
      </c>
      <c r="AU374">
        <v>2015</v>
      </c>
      <c r="AV374">
        <v>123</v>
      </c>
      <c r="AW374" t="s">
        <v>74</v>
      </c>
      <c r="AX374" t="s">
        <v>74</v>
      </c>
      <c r="AY374" t="s">
        <v>74</v>
      </c>
      <c r="AZ374" t="s">
        <v>74</v>
      </c>
      <c r="BA374" t="s">
        <v>74</v>
      </c>
      <c r="BB374">
        <v>193</v>
      </c>
      <c r="BC374">
        <v>214</v>
      </c>
      <c r="BD374" t="s">
        <v>74</v>
      </c>
      <c r="BE374" t="s">
        <v>7584</v>
      </c>
      <c r="BF374" t="str">
        <f>HYPERLINK("http://dx.doi.org/10.1016/j.quascirev.2015.07.003","http://dx.doi.org/10.1016/j.quascirev.2015.07.003")</f>
        <v>http://dx.doi.org/10.1016/j.quascirev.2015.07.003</v>
      </c>
      <c r="BG374" t="s">
        <v>74</v>
      </c>
      <c r="BH374" t="s">
        <v>74</v>
      </c>
      <c r="BI374">
        <v>22</v>
      </c>
      <c r="BJ374" t="s">
        <v>1778</v>
      </c>
      <c r="BK374" t="s">
        <v>101</v>
      </c>
      <c r="BL374" t="s">
        <v>1779</v>
      </c>
      <c r="BM374" t="s">
        <v>7585</v>
      </c>
      <c r="BN374" t="s">
        <v>74</v>
      </c>
      <c r="BO374" t="s">
        <v>74</v>
      </c>
      <c r="BP374" t="s">
        <v>74</v>
      </c>
      <c r="BQ374" t="s">
        <v>74</v>
      </c>
      <c r="BR374" t="s">
        <v>103</v>
      </c>
      <c r="BS374" t="s">
        <v>7586</v>
      </c>
      <c r="BT374" t="str">
        <f>HYPERLINK("https%3A%2F%2Fwww.webofscience.com%2Fwos%2Fwoscc%2Ffull-record%2FWOS:000359889700013","View Full Record in Web of Science")</f>
        <v>View Full Record in Web of Science</v>
      </c>
    </row>
    <row r="375" spans="1:72" x14ac:dyDescent="0.15">
      <c r="A375" t="s">
        <v>72</v>
      </c>
      <c r="B375" t="s">
        <v>7587</v>
      </c>
      <c r="C375" t="s">
        <v>74</v>
      </c>
      <c r="D375" t="s">
        <v>74</v>
      </c>
      <c r="E375" t="s">
        <v>74</v>
      </c>
      <c r="F375" t="s">
        <v>7588</v>
      </c>
      <c r="G375" t="s">
        <v>74</v>
      </c>
      <c r="H375" t="s">
        <v>74</v>
      </c>
      <c r="I375" t="s">
        <v>7589</v>
      </c>
      <c r="J375" t="s">
        <v>7590</v>
      </c>
      <c r="K375" t="s">
        <v>74</v>
      </c>
      <c r="L375" t="s">
        <v>74</v>
      </c>
      <c r="M375" t="s">
        <v>78</v>
      </c>
      <c r="N375" t="s">
        <v>79</v>
      </c>
      <c r="O375" t="s">
        <v>74</v>
      </c>
      <c r="P375" t="s">
        <v>74</v>
      </c>
      <c r="Q375" t="s">
        <v>74</v>
      </c>
      <c r="R375" t="s">
        <v>74</v>
      </c>
      <c r="S375" t="s">
        <v>74</v>
      </c>
      <c r="T375" t="s">
        <v>7591</v>
      </c>
      <c r="U375" t="s">
        <v>7592</v>
      </c>
      <c r="V375" t="s">
        <v>7593</v>
      </c>
      <c r="W375" t="s">
        <v>7594</v>
      </c>
      <c r="X375" t="s">
        <v>7595</v>
      </c>
      <c r="Y375" t="s">
        <v>7596</v>
      </c>
      <c r="Z375" t="s">
        <v>7597</v>
      </c>
      <c r="AA375" t="s">
        <v>7598</v>
      </c>
      <c r="AB375" t="s">
        <v>7599</v>
      </c>
      <c r="AC375" t="s">
        <v>7600</v>
      </c>
      <c r="AD375" t="s">
        <v>7601</v>
      </c>
      <c r="AE375" t="s">
        <v>7602</v>
      </c>
      <c r="AF375" t="s">
        <v>74</v>
      </c>
      <c r="AG375">
        <v>62</v>
      </c>
      <c r="AH375">
        <v>24</v>
      </c>
      <c r="AI375">
        <v>25</v>
      </c>
      <c r="AJ375">
        <v>0</v>
      </c>
      <c r="AK375">
        <v>22</v>
      </c>
      <c r="AL375" t="s">
        <v>397</v>
      </c>
      <c r="AM375" t="s">
        <v>398</v>
      </c>
      <c r="AN375" t="s">
        <v>399</v>
      </c>
      <c r="AO375" t="s">
        <v>7603</v>
      </c>
      <c r="AP375" t="s">
        <v>7604</v>
      </c>
      <c r="AQ375" t="s">
        <v>74</v>
      </c>
      <c r="AR375" t="s">
        <v>7605</v>
      </c>
      <c r="AS375" t="s">
        <v>7606</v>
      </c>
      <c r="AT375" t="s">
        <v>6441</v>
      </c>
      <c r="AU375">
        <v>2015</v>
      </c>
      <c r="AV375">
        <v>25</v>
      </c>
      <c r="AW375">
        <v>17</v>
      </c>
      <c r="AX375" t="s">
        <v>74</v>
      </c>
      <c r="AY375" t="s">
        <v>74</v>
      </c>
      <c r="AZ375" t="s">
        <v>74</v>
      </c>
      <c r="BA375" t="s">
        <v>74</v>
      </c>
      <c r="BB375">
        <v>3550</v>
      </c>
      <c r="BC375">
        <v>3555</v>
      </c>
      <c r="BD375" t="s">
        <v>74</v>
      </c>
      <c r="BE375" t="s">
        <v>7607</v>
      </c>
      <c r="BF375" t="str">
        <f>HYPERLINK("http://dx.doi.org/10.1016/j.bmcl.2015.06.079","http://dx.doi.org/10.1016/j.bmcl.2015.06.079")</f>
        <v>http://dx.doi.org/10.1016/j.bmcl.2015.06.079</v>
      </c>
      <c r="BG375" t="s">
        <v>74</v>
      </c>
      <c r="BH375" t="s">
        <v>74</v>
      </c>
      <c r="BI375">
        <v>6</v>
      </c>
      <c r="BJ375" t="s">
        <v>7608</v>
      </c>
      <c r="BK375" t="s">
        <v>101</v>
      </c>
      <c r="BL375" t="s">
        <v>7609</v>
      </c>
      <c r="BM375" t="s">
        <v>7610</v>
      </c>
      <c r="BN375">
        <v>26174556</v>
      </c>
      <c r="BO375" t="s">
        <v>1213</v>
      </c>
      <c r="BP375" t="s">
        <v>74</v>
      </c>
      <c r="BQ375" t="s">
        <v>74</v>
      </c>
      <c r="BR375" t="s">
        <v>103</v>
      </c>
      <c r="BS375" t="s">
        <v>7611</v>
      </c>
      <c r="BT375" t="str">
        <f>HYPERLINK("https%3A%2F%2Fwww.webofscience.com%2Fwos%2Fwoscc%2Ffull-record%2FWOS:000358802900026","View Full Record in Web of Science")</f>
        <v>View Full Record in Web of Science</v>
      </c>
    </row>
    <row r="376" spans="1:72" x14ac:dyDescent="0.15">
      <c r="A376" t="s">
        <v>72</v>
      </c>
      <c r="B376" t="s">
        <v>7612</v>
      </c>
      <c r="C376" t="s">
        <v>74</v>
      </c>
      <c r="D376" t="s">
        <v>74</v>
      </c>
      <c r="E376" t="s">
        <v>74</v>
      </c>
      <c r="F376" t="s">
        <v>7613</v>
      </c>
      <c r="G376" t="s">
        <v>74</v>
      </c>
      <c r="H376" t="s">
        <v>74</v>
      </c>
      <c r="I376" t="s">
        <v>7614</v>
      </c>
      <c r="J376" t="s">
        <v>4097</v>
      </c>
      <c r="K376" t="s">
        <v>74</v>
      </c>
      <c r="L376" t="s">
        <v>74</v>
      </c>
      <c r="M376" t="s">
        <v>78</v>
      </c>
      <c r="N376" t="s">
        <v>581</v>
      </c>
      <c r="O376" t="s">
        <v>74</v>
      </c>
      <c r="P376" t="s">
        <v>74</v>
      </c>
      <c r="Q376" t="s">
        <v>74</v>
      </c>
      <c r="R376" t="s">
        <v>74</v>
      </c>
      <c r="S376" t="s">
        <v>74</v>
      </c>
      <c r="T376" t="s">
        <v>7615</v>
      </c>
      <c r="U376" t="s">
        <v>7616</v>
      </c>
      <c r="V376" t="s">
        <v>7617</v>
      </c>
      <c r="W376" t="s">
        <v>7618</v>
      </c>
      <c r="X376" t="s">
        <v>7619</v>
      </c>
      <c r="Y376" t="s">
        <v>7620</v>
      </c>
      <c r="Z376" t="s">
        <v>7621</v>
      </c>
      <c r="AA376" t="s">
        <v>7622</v>
      </c>
      <c r="AB376" t="s">
        <v>7623</v>
      </c>
      <c r="AC376" t="s">
        <v>7624</v>
      </c>
      <c r="AD376" t="s">
        <v>7625</v>
      </c>
      <c r="AE376" t="s">
        <v>7626</v>
      </c>
      <c r="AF376" t="s">
        <v>74</v>
      </c>
      <c r="AG376">
        <v>389</v>
      </c>
      <c r="AH376">
        <v>159</v>
      </c>
      <c r="AI376">
        <v>175</v>
      </c>
      <c r="AJ376">
        <v>5</v>
      </c>
      <c r="AK376">
        <v>112</v>
      </c>
      <c r="AL376" t="s">
        <v>883</v>
      </c>
      <c r="AM376" t="s">
        <v>884</v>
      </c>
      <c r="AN376" t="s">
        <v>885</v>
      </c>
      <c r="AO376" t="s">
        <v>4107</v>
      </c>
      <c r="AP376" t="s">
        <v>4108</v>
      </c>
      <c r="AQ376" t="s">
        <v>74</v>
      </c>
      <c r="AR376" t="s">
        <v>4109</v>
      </c>
      <c r="AS376" t="s">
        <v>4110</v>
      </c>
      <c r="AT376" t="s">
        <v>6261</v>
      </c>
      <c r="AU376">
        <v>2015</v>
      </c>
      <c r="AV376">
        <v>28</v>
      </c>
      <c r="AW376">
        <v>2</v>
      </c>
      <c r="AX376" t="s">
        <v>74</v>
      </c>
      <c r="AY376" t="s">
        <v>74</v>
      </c>
      <c r="AZ376" t="s">
        <v>74</v>
      </c>
      <c r="BA376" t="s">
        <v>74</v>
      </c>
      <c r="BB376">
        <v>451</v>
      </c>
      <c r="BC376">
        <v>492</v>
      </c>
      <c r="BD376" t="s">
        <v>74</v>
      </c>
      <c r="BE376" t="s">
        <v>7627</v>
      </c>
      <c r="BF376" t="str">
        <f>HYPERLINK("http://dx.doi.org/10.1016/j.gr.2015.01.001","http://dx.doi.org/10.1016/j.gr.2015.01.001")</f>
        <v>http://dx.doi.org/10.1016/j.gr.2015.01.001</v>
      </c>
      <c r="BG376" t="s">
        <v>74</v>
      </c>
      <c r="BH376" t="s">
        <v>74</v>
      </c>
      <c r="BI376">
        <v>42</v>
      </c>
      <c r="BJ376" t="s">
        <v>314</v>
      </c>
      <c r="BK376" t="s">
        <v>101</v>
      </c>
      <c r="BL376" t="s">
        <v>315</v>
      </c>
      <c r="BM376" t="s">
        <v>7628</v>
      </c>
      <c r="BN376" t="s">
        <v>74</v>
      </c>
      <c r="BO376" t="s">
        <v>74</v>
      </c>
      <c r="BP376" t="s">
        <v>74</v>
      </c>
      <c r="BQ376" t="s">
        <v>74</v>
      </c>
      <c r="BR376" t="s">
        <v>103</v>
      </c>
      <c r="BS376" t="s">
        <v>7629</v>
      </c>
      <c r="BT376" t="str">
        <f>HYPERLINK("https%3A%2F%2Fwww.webofscience.com%2Fwos%2Fwoscc%2Ffull-record%2FWOS:000359169600001","View Full Record in Web of Science")</f>
        <v>View Full Record in Web of Science</v>
      </c>
    </row>
    <row r="377" spans="1:72" x14ac:dyDescent="0.15">
      <c r="A377" t="s">
        <v>72</v>
      </c>
      <c r="B377" t="s">
        <v>7630</v>
      </c>
      <c r="C377" t="s">
        <v>74</v>
      </c>
      <c r="D377" t="s">
        <v>74</v>
      </c>
      <c r="E377" t="s">
        <v>74</v>
      </c>
      <c r="F377" t="s">
        <v>7631</v>
      </c>
      <c r="G377" t="s">
        <v>74</v>
      </c>
      <c r="H377" t="s">
        <v>74</v>
      </c>
      <c r="I377" t="s">
        <v>7632</v>
      </c>
      <c r="J377" t="s">
        <v>7633</v>
      </c>
      <c r="K377" t="s">
        <v>74</v>
      </c>
      <c r="L377" t="s">
        <v>74</v>
      </c>
      <c r="M377" t="s">
        <v>78</v>
      </c>
      <c r="N377" t="s">
        <v>79</v>
      </c>
      <c r="O377" t="s">
        <v>74</v>
      </c>
      <c r="P377" t="s">
        <v>74</v>
      </c>
      <c r="Q377" t="s">
        <v>74</v>
      </c>
      <c r="R377" t="s">
        <v>74</v>
      </c>
      <c r="S377" t="s">
        <v>74</v>
      </c>
      <c r="T377" t="s">
        <v>7634</v>
      </c>
      <c r="U377" t="s">
        <v>7635</v>
      </c>
      <c r="V377" t="s">
        <v>7636</v>
      </c>
      <c r="W377" t="s">
        <v>7637</v>
      </c>
      <c r="X377" t="s">
        <v>7638</v>
      </c>
      <c r="Y377" t="s">
        <v>7639</v>
      </c>
      <c r="Z377" t="s">
        <v>7640</v>
      </c>
      <c r="AA377" t="s">
        <v>7641</v>
      </c>
      <c r="AB377" t="s">
        <v>7642</v>
      </c>
      <c r="AC377" t="s">
        <v>7643</v>
      </c>
      <c r="AD377" t="s">
        <v>7643</v>
      </c>
      <c r="AE377" t="s">
        <v>7644</v>
      </c>
      <c r="AF377" t="s">
        <v>74</v>
      </c>
      <c r="AG377">
        <v>58</v>
      </c>
      <c r="AH377">
        <v>11</v>
      </c>
      <c r="AI377">
        <v>11</v>
      </c>
      <c r="AJ377">
        <v>2</v>
      </c>
      <c r="AK377">
        <v>42</v>
      </c>
      <c r="AL377" t="s">
        <v>208</v>
      </c>
      <c r="AM377" t="s">
        <v>209</v>
      </c>
      <c r="AN377" t="s">
        <v>210</v>
      </c>
      <c r="AO377" t="s">
        <v>7645</v>
      </c>
      <c r="AP377" t="s">
        <v>7646</v>
      </c>
      <c r="AQ377" t="s">
        <v>74</v>
      </c>
      <c r="AR377" t="s">
        <v>7647</v>
      </c>
      <c r="AS377" t="s">
        <v>7648</v>
      </c>
      <c r="AT377" t="s">
        <v>6261</v>
      </c>
      <c r="AU377">
        <v>2015</v>
      </c>
      <c r="AV377">
        <v>42</v>
      </c>
      <c r="AW377">
        <v>9</v>
      </c>
      <c r="AX377" t="s">
        <v>74</v>
      </c>
      <c r="AY377" t="s">
        <v>74</v>
      </c>
      <c r="AZ377" t="s">
        <v>74</v>
      </c>
      <c r="BA377" t="s">
        <v>74</v>
      </c>
      <c r="BB377">
        <v>1639</v>
      </c>
      <c r="BC377">
        <v>1650</v>
      </c>
      <c r="BD377" t="s">
        <v>74</v>
      </c>
      <c r="BE377" t="s">
        <v>7649</v>
      </c>
      <c r="BF377" t="str">
        <f>HYPERLINK("http://dx.doi.org/10.1111/jbi.12536","http://dx.doi.org/10.1111/jbi.12536")</f>
        <v>http://dx.doi.org/10.1111/jbi.12536</v>
      </c>
      <c r="BG377" t="s">
        <v>74</v>
      </c>
      <c r="BH377" t="s">
        <v>74</v>
      </c>
      <c r="BI377">
        <v>12</v>
      </c>
      <c r="BJ377" t="s">
        <v>7650</v>
      </c>
      <c r="BK377" t="s">
        <v>101</v>
      </c>
      <c r="BL377" t="s">
        <v>7651</v>
      </c>
      <c r="BM377" t="s">
        <v>7652</v>
      </c>
      <c r="BN377" t="s">
        <v>74</v>
      </c>
      <c r="BO377" t="s">
        <v>74</v>
      </c>
      <c r="BP377" t="s">
        <v>74</v>
      </c>
      <c r="BQ377" t="s">
        <v>74</v>
      </c>
      <c r="BR377" t="s">
        <v>103</v>
      </c>
      <c r="BS377" t="s">
        <v>7653</v>
      </c>
      <c r="BT377" t="str">
        <f>HYPERLINK("https%3A%2F%2Fwww.webofscience.com%2Fwos%2Fwoscc%2Ffull-record%2FWOS:000359376600006","View Full Record in Web of Science")</f>
        <v>View Full Record in Web of Science</v>
      </c>
    </row>
    <row r="378" spans="1:72" x14ac:dyDescent="0.15">
      <c r="A378" t="s">
        <v>72</v>
      </c>
      <c r="B378" t="s">
        <v>7654</v>
      </c>
      <c r="C378" t="s">
        <v>74</v>
      </c>
      <c r="D378" t="s">
        <v>74</v>
      </c>
      <c r="E378" t="s">
        <v>74</v>
      </c>
      <c r="F378" t="s">
        <v>7655</v>
      </c>
      <c r="G378" t="s">
        <v>74</v>
      </c>
      <c r="H378" t="s">
        <v>74</v>
      </c>
      <c r="I378" t="s">
        <v>7656</v>
      </c>
      <c r="J378" t="s">
        <v>7657</v>
      </c>
      <c r="K378" t="s">
        <v>74</v>
      </c>
      <c r="L378" t="s">
        <v>74</v>
      </c>
      <c r="M378" t="s">
        <v>78</v>
      </c>
      <c r="N378" t="s">
        <v>79</v>
      </c>
      <c r="O378" t="s">
        <v>74</v>
      </c>
      <c r="P378" t="s">
        <v>74</v>
      </c>
      <c r="Q378" t="s">
        <v>74</v>
      </c>
      <c r="R378" t="s">
        <v>74</v>
      </c>
      <c r="S378" t="s">
        <v>74</v>
      </c>
      <c r="T378" t="s">
        <v>7658</v>
      </c>
      <c r="U378" t="s">
        <v>7659</v>
      </c>
      <c r="V378" t="s">
        <v>7660</v>
      </c>
      <c r="W378" t="s">
        <v>7661</v>
      </c>
      <c r="X378" t="s">
        <v>7662</v>
      </c>
      <c r="Y378" t="s">
        <v>7663</v>
      </c>
      <c r="Z378" t="s">
        <v>7664</v>
      </c>
      <c r="AA378" t="s">
        <v>7665</v>
      </c>
      <c r="AB378" t="s">
        <v>7666</v>
      </c>
      <c r="AC378" t="s">
        <v>7667</v>
      </c>
      <c r="AD378" t="s">
        <v>7668</v>
      </c>
      <c r="AE378" t="s">
        <v>7669</v>
      </c>
      <c r="AF378" t="s">
        <v>74</v>
      </c>
      <c r="AG378">
        <v>92</v>
      </c>
      <c r="AH378">
        <v>52</v>
      </c>
      <c r="AI378">
        <v>56</v>
      </c>
      <c r="AJ378">
        <v>1</v>
      </c>
      <c r="AK378">
        <v>62</v>
      </c>
      <c r="AL378" t="s">
        <v>883</v>
      </c>
      <c r="AM378" t="s">
        <v>884</v>
      </c>
      <c r="AN378" t="s">
        <v>885</v>
      </c>
      <c r="AO378" t="s">
        <v>7670</v>
      </c>
      <c r="AP378" t="s">
        <v>7671</v>
      </c>
      <c r="AQ378" t="s">
        <v>74</v>
      </c>
      <c r="AR378" t="s">
        <v>7672</v>
      </c>
      <c r="AS378" t="s">
        <v>7673</v>
      </c>
      <c r="AT378" t="s">
        <v>6261</v>
      </c>
      <c r="AU378">
        <v>2015</v>
      </c>
      <c r="AV378">
        <v>166</v>
      </c>
      <c r="AW378" t="s">
        <v>74</v>
      </c>
      <c r="AX378" t="s">
        <v>74</v>
      </c>
      <c r="AY378" t="s">
        <v>74</v>
      </c>
      <c r="AZ378" t="s">
        <v>74</v>
      </c>
      <c r="BA378" t="s">
        <v>74</v>
      </c>
      <c r="BB378">
        <v>10</v>
      </c>
      <c r="BC378">
        <v>20</v>
      </c>
      <c r="BD378" t="s">
        <v>74</v>
      </c>
      <c r="BE378" t="s">
        <v>7674</v>
      </c>
      <c r="BF378" t="str">
        <f>HYPERLINK("http://dx.doi.org/10.1016/j.aquatox.2015.06.012","http://dx.doi.org/10.1016/j.aquatox.2015.06.012")</f>
        <v>http://dx.doi.org/10.1016/j.aquatox.2015.06.012</v>
      </c>
      <c r="BG378" t="s">
        <v>74</v>
      </c>
      <c r="BH378" t="s">
        <v>74</v>
      </c>
      <c r="BI378">
        <v>11</v>
      </c>
      <c r="BJ378" t="s">
        <v>7675</v>
      </c>
      <c r="BK378" t="s">
        <v>101</v>
      </c>
      <c r="BL378" t="s">
        <v>7675</v>
      </c>
      <c r="BM378" t="s">
        <v>7676</v>
      </c>
      <c r="BN378">
        <v>26186662</v>
      </c>
      <c r="BO378" t="s">
        <v>1801</v>
      </c>
      <c r="BP378" t="s">
        <v>74</v>
      </c>
      <c r="BQ378" t="s">
        <v>74</v>
      </c>
      <c r="BR378" t="s">
        <v>103</v>
      </c>
      <c r="BS378" t="s">
        <v>7677</v>
      </c>
      <c r="BT378" t="str">
        <f>HYPERLINK("https%3A%2F%2Fwww.webofscience.com%2Fwos%2Fwoscc%2Ffull-record%2FWOS:000361256600002","View Full Record in Web of Science")</f>
        <v>View Full Record in Web of Science</v>
      </c>
    </row>
    <row r="379" spans="1:72" x14ac:dyDescent="0.15">
      <c r="A379" t="s">
        <v>72</v>
      </c>
      <c r="B379" t="s">
        <v>7678</v>
      </c>
      <c r="C379" t="s">
        <v>74</v>
      </c>
      <c r="D379" t="s">
        <v>74</v>
      </c>
      <c r="E379" t="s">
        <v>74</v>
      </c>
      <c r="F379" t="s">
        <v>7679</v>
      </c>
      <c r="G379" t="s">
        <v>74</v>
      </c>
      <c r="H379" t="s">
        <v>74</v>
      </c>
      <c r="I379" t="s">
        <v>7680</v>
      </c>
      <c r="J379" t="s">
        <v>3679</v>
      </c>
      <c r="K379" t="s">
        <v>74</v>
      </c>
      <c r="L379" t="s">
        <v>74</v>
      </c>
      <c r="M379" t="s">
        <v>78</v>
      </c>
      <c r="N379" t="s">
        <v>79</v>
      </c>
      <c r="O379" t="s">
        <v>74</v>
      </c>
      <c r="P379" t="s">
        <v>74</v>
      </c>
      <c r="Q379" t="s">
        <v>74</v>
      </c>
      <c r="R379" t="s">
        <v>74</v>
      </c>
      <c r="S379" t="s">
        <v>74</v>
      </c>
      <c r="T379" t="s">
        <v>7681</v>
      </c>
      <c r="U379" t="s">
        <v>7682</v>
      </c>
      <c r="V379" t="s">
        <v>7683</v>
      </c>
      <c r="W379" t="s">
        <v>7684</v>
      </c>
      <c r="X379" t="s">
        <v>7685</v>
      </c>
      <c r="Y379" t="s">
        <v>7686</v>
      </c>
      <c r="Z379" t="s">
        <v>7687</v>
      </c>
      <c r="AA379" t="s">
        <v>7688</v>
      </c>
      <c r="AB379" t="s">
        <v>7689</v>
      </c>
      <c r="AC379" t="s">
        <v>7690</v>
      </c>
      <c r="AD379" t="s">
        <v>7691</v>
      </c>
      <c r="AE379" t="s">
        <v>7692</v>
      </c>
      <c r="AF379" t="s">
        <v>74</v>
      </c>
      <c r="AG379">
        <v>59</v>
      </c>
      <c r="AH379">
        <v>14</v>
      </c>
      <c r="AI379">
        <v>14</v>
      </c>
      <c r="AJ379">
        <v>0</v>
      </c>
      <c r="AK379">
        <v>25</v>
      </c>
      <c r="AL379" t="s">
        <v>397</v>
      </c>
      <c r="AM379" t="s">
        <v>398</v>
      </c>
      <c r="AN379" t="s">
        <v>399</v>
      </c>
      <c r="AO379" t="s">
        <v>3692</v>
      </c>
      <c r="AP379" t="s">
        <v>3693</v>
      </c>
      <c r="AQ379" t="s">
        <v>74</v>
      </c>
      <c r="AR379" t="s">
        <v>3694</v>
      </c>
      <c r="AS379" t="s">
        <v>3695</v>
      </c>
      <c r="AT379" t="s">
        <v>6261</v>
      </c>
      <c r="AU379">
        <v>2015</v>
      </c>
      <c r="AV379">
        <v>117</v>
      </c>
      <c r="AW379" t="s">
        <v>74</v>
      </c>
      <c r="AX379" t="s">
        <v>74</v>
      </c>
      <c r="AY379" t="s">
        <v>74</v>
      </c>
      <c r="AZ379" t="s">
        <v>74</v>
      </c>
      <c r="BA379" t="s">
        <v>74</v>
      </c>
      <c r="BB379">
        <v>162</v>
      </c>
      <c r="BC379">
        <v>168</v>
      </c>
      <c r="BD379" t="s">
        <v>74</v>
      </c>
      <c r="BE379" t="s">
        <v>7693</v>
      </c>
      <c r="BF379" t="str">
        <f>HYPERLINK("http://dx.doi.org/10.1016/j.atmosenv.2015.07.015","http://dx.doi.org/10.1016/j.atmosenv.2015.07.015")</f>
        <v>http://dx.doi.org/10.1016/j.atmosenv.2015.07.015</v>
      </c>
      <c r="BG379" t="s">
        <v>74</v>
      </c>
      <c r="BH379" t="s">
        <v>74</v>
      </c>
      <c r="BI379">
        <v>7</v>
      </c>
      <c r="BJ379" t="s">
        <v>1837</v>
      </c>
      <c r="BK379" t="s">
        <v>101</v>
      </c>
      <c r="BL379" t="s">
        <v>1838</v>
      </c>
      <c r="BM379" t="s">
        <v>7694</v>
      </c>
      <c r="BN379" t="s">
        <v>74</v>
      </c>
      <c r="BO379" t="s">
        <v>290</v>
      </c>
      <c r="BP379" t="s">
        <v>74</v>
      </c>
      <c r="BQ379" t="s">
        <v>74</v>
      </c>
      <c r="BR379" t="s">
        <v>103</v>
      </c>
      <c r="BS379" t="s">
        <v>7695</v>
      </c>
      <c r="BT379" t="str">
        <f>HYPERLINK("https%3A%2F%2Fwww.webofscience.com%2Fwos%2Fwoscc%2Ffull-record%2FWOS:000365360300016","View Full Record in Web of Science")</f>
        <v>View Full Record in Web of Science</v>
      </c>
    </row>
    <row r="380" spans="1:72" x14ac:dyDescent="0.15">
      <c r="A380" t="s">
        <v>72</v>
      </c>
      <c r="B380" t="s">
        <v>7696</v>
      </c>
      <c r="C380" t="s">
        <v>74</v>
      </c>
      <c r="D380" t="s">
        <v>74</v>
      </c>
      <c r="E380" t="s">
        <v>74</v>
      </c>
      <c r="F380" t="s">
        <v>7697</v>
      </c>
      <c r="G380" t="s">
        <v>74</v>
      </c>
      <c r="H380" t="s">
        <v>74</v>
      </c>
      <c r="I380" t="s">
        <v>7698</v>
      </c>
      <c r="J380" t="s">
        <v>7699</v>
      </c>
      <c r="K380" t="s">
        <v>74</v>
      </c>
      <c r="L380" t="s">
        <v>74</v>
      </c>
      <c r="M380" t="s">
        <v>78</v>
      </c>
      <c r="N380" t="s">
        <v>79</v>
      </c>
      <c r="O380" t="s">
        <v>74</v>
      </c>
      <c r="P380" t="s">
        <v>74</v>
      </c>
      <c r="Q380" t="s">
        <v>74</v>
      </c>
      <c r="R380" t="s">
        <v>74</v>
      </c>
      <c r="S380" t="s">
        <v>74</v>
      </c>
      <c r="T380" t="s">
        <v>7700</v>
      </c>
      <c r="U380" t="s">
        <v>7701</v>
      </c>
      <c r="V380" t="s">
        <v>7702</v>
      </c>
      <c r="W380" t="s">
        <v>7703</v>
      </c>
      <c r="X380" t="s">
        <v>7704</v>
      </c>
      <c r="Y380" t="s">
        <v>7705</v>
      </c>
      <c r="Z380" t="s">
        <v>7706</v>
      </c>
      <c r="AA380" t="s">
        <v>7707</v>
      </c>
      <c r="AB380" t="s">
        <v>7708</v>
      </c>
      <c r="AC380" t="s">
        <v>7709</v>
      </c>
      <c r="AD380" t="s">
        <v>7710</v>
      </c>
      <c r="AE380" t="s">
        <v>7711</v>
      </c>
      <c r="AF380" t="s">
        <v>74</v>
      </c>
      <c r="AG380">
        <v>69</v>
      </c>
      <c r="AH380">
        <v>71</v>
      </c>
      <c r="AI380">
        <v>73</v>
      </c>
      <c r="AJ380">
        <v>0</v>
      </c>
      <c r="AK380">
        <v>11</v>
      </c>
      <c r="AL380" t="s">
        <v>92</v>
      </c>
      <c r="AM380" t="s">
        <v>550</v>
      </c>
      <c r="AN380" t="s">
        <v>1398</v>
      </c>
      <c r="AO380" t="s">
        <v>7712</v>
      </c>
      <c r="AP380" t="s">
        <v>7713</v>
      </c>
      <c r="AQ380" t="s">
        <v>74</v>
      </c>
      <c r="AR380" t="s">
        <v>7714</v>
      </c>
      <c r="AS380" t="s">
        <v>7715</v>
      </c>
      <c r="AT380" t="s">
        <v>6261</v>
      </c>
      <c r="AU380">
        <v>2015</v>
      </c>
      <c r="AV380">
        <v>45</v>
      </c>
      <c r="AW380" t="s">
        <v>7716</v>
      </c>
      <c r="AX380" t="s">
        <v>74</v>
      </c>
      <c r="AY380" t="s">
        <v>74</v>
      </c>
      <c r="AZ380" t="s">
        <v>74</v>
      </c>
      <c r="BA380" t="s">
        <v>74</v>
      </c>
      <c r="BB380">
        <v>1299</v>
      </c>
      <c r="BC380">
        <v>1324</v>
      </c>
      <c r="BD380" t="s">
        <v>74</v>
      </c>
      <c r="BE380" t="s">
        <v>7717</v>
      </c>
      <c r="BF380" t="str">
        <f>HYPERLINK("http://dx.doi.org/10.1007/s00382-014-2378-z","http://dx.doi.org/10.1007/s00382-014-2378-z")</f>
        <v>http://dx.doi.org/10.1007/s00382-014-2378-z</v>
      </c>
      <c r="BG380" t="s">
        <v>74</v>
      </c>
      <c r="BH380" t="s">
        <v>74</v>
      </c>
      <c r="BI380">
        <v>26</v>
      </c>
      <c r="BJ380" t="s">
        <v>271</v>
      </c>
      <c r="BK380" t="s">
        <v>101</v>
      </c>
      <c r="BL380" t="s">
        <v>271</v>
      </c>
      <c r="BM380" t="s">
        <v>7718</v>
      </c>
      <c r="BN380" t="s">
        <v>74</v>
      </c>
      <c r="BO380" t="s">
        <v>4836</v>
      </c>
      <c r="BP380" t="s">
        <v>74</v>
      </c>
      <c r="BQ380" t="s">
        <v>74</v>
      </c>
      <c r="BR380" t="s">
        <v>103</v>
      </c>
      <c r="BS380" t="s">
        <v>7719</v>
      </c>
      <c r="BT380" t="str">
        <f>HYPERLINK("https%3A%2F%2Fwww.webofscience.com%2Fwos%2Fwoscc%2Ffull-record%2FWOS:000360507700010","View Full Record in Web of Science")</f>
        <v>View Full Record in Web of Science</v>
      </c>
    </row>
    <row r="381" spans="1:72" x14ac:dyDescent="0.15">
      <c r="A381" t="s">
        <v>72</v>
      </c>
      <c r="B381" t="s">
        <v>7720</v>
      </c>
      <c r="C381" t="s">
        <v>74</v>
      </c>
      <c r="D381" t="s">
        <v>74</v>
      </c>
      <c r="E381" t="s">
        <v>74</v>
      </c>
      <c r="F381" t="s">
        <v>7721</v>
      </c>
      <c r="G381" t="s">
        <v>74</v>
      </c>
      <c r="H381" t="s">
        <v>74</v>
      </c>
      <c r="I381" t="s">
        <v>7722</v>
      </c>
      <c r="J381" t="s">
        <v>7699</v>
      </c>
      <c r="K381" t="s">
        <v>74</v>
      </c>
      <c r="L381" t="s">
        <v>74</v>
      </c>
      <c r="M381" t="s">
        <v>78</v>
      </c>
      <c r="N381" t="s">
        <v>79</v>
      </c>
      <c r="O381" t="s">
        <v>74</v>
      </c>
      <c r="P381" t="s">
        <v>74</v>
      </c>
      <c r="Q381" t="s">
        <v>74</v>
      </c>
      <c r="R381" t="s">
        <v>74</v>
      </c>
      <c r="S381" t="s">
        <v>74</v>
      </c>
      <c r="T381" t="s">
        <v>7723</v>
      </c>
      <c r="U381" t="s">
        <v>7724</v>
      </c>
      <c r="V381" t="s">
        <v>7725</v>
      </c>
      <c r="W381" t="s">
        <v>7726</v>
      </c>
      <c r="X381" t="s">
        <v>439</v>
      </c>
      <c r="Y381" t="s">
        <v>7727</v>
      </c>
      <c r="Z381" t="s">
        <v>7728</v>
      </c>
      <c r="AA381" t="s">
        <v>7729</v>
      </c>
      <c r="AB381" t="s">
        <v>7730</v>
      </c>
      <c r="AC381" t="s">
        <v>7731</v>
      </c>
      <c r="AD381" t="s">
        <v>7732</v>
      </c>
      <c r="AE381" t="s">
        <v>7733</v>
      </c>
      <c r="AF381" t="s">
        <v>74</v>
      </c>
      <c r="AG381">
        <v>47</v>
      </c>
      <c r="AH381">
        <v>25</v>
      </c>
      <c r="AI381">
        <v>26</v>
      </c>
      <c r="AJ381">
        <v>0</v>
      </c>
      <c r="AK381">
        <v>41</v>
      </c>
      <c r="AL381" t="s">
        <v>92</v>
      </c>
      <c r="AM381" t="s">
        <v>550</v>
      </c>
      <c r="AN381" t="s">
        <v>1398</v>
      </c>
      <c r="AO381" t="s">
        <v>7712</v>
      </c>
      <c r="AP381" t="s">
        <v>7713</v>
      </c>
      <c r="AQ381" t="s">
        <v>74</v>
      </c>
      <c r="AR381" t="s">
        <v>7714</v>
      </c>
      <c r="AS381" t="s">
        <v>7715</v>
      </c>
      <c r="AT381" t="s">
        <v>6261</v>
      </c>
      <c r="AU381">
        <v>2015</v>
      </c>
      <c r="AV381">
        <v>45</v>
      </c>
      <c r="AW381" t="s">
        <v>7716</v>
      </c>
      <c r="AX381" t="s">
        <v>74</v>
      </c>
      <c r="AY381" t="s">
        <v>74</v>
      </c>
      <c r="AZ381" t="s">
        <v>74</v>
      </c>
      <c r="BA381" t="s">
        <v>74</v>
      </c>
      <c r="BB381">
        <v>1513</v>
      </c>
      <c r="BC381">
        <v>1535</v>
      </c>
      <c r="BD381" t="s">
        <v>74</v>
      </c>
      <c r="BE381" t="s">
        <v>7734</v>
      </c>
      <c r="BF381" t="str">
        <f>HYPERLINK("http://dx.doi.org/10.1007/s00382-014-2406-z","http://dx.doi.org/10.1007/s00382-014-2406-z")</f>
        <v>http://dx.doi.org/10.1007/s00382-014-2406-z</v>
      </c>
      <c r="BG381" t="s">
        <v>74</v>
      </c>
      <c r="BH381" t="s">
        <v>74</v>
      </c>
      <c r="BI381">
        <v>23</v>
      </c>
      <c r="BJ381" t="s">
        <v>271</v>
      </c>
      <c r="BK381" t="s">
        <v>101</v>
      </c>
      <c r="BL381" t="s">
        <v>271</v>
      </c>
      <c r="BM381" t="s">
        <v>7718</v>
      </c>
      <c r="BN381" t="s">
        <v>74</v>
      </c>
      <c r="BO381" t="s">
        <v>290</v>
      </c>
      <c r="BP381" t="s">
        <v>74</v>
      </c>
      <c r="BQ381" t="s">
        <v>74</v>
      </c>
      <c r="BR381" t="s">
        <v>103</v>
      </c>
      <c r="BS381" t="s">
        <v>7735</v>
      </c>
      <c r="BT381" t="str">
        <f>HYPERLINK("https%3A%2F%2Fwww.webofscience.com%2Fwos%2Fwoscc%2Ffull-record%2FWOS:000360507700021","View Full Record in Web of Science")</f>
        <v>View Full Record in Web of Science</v>
      </c>
    </row>
    <row r="382" spans="1:72" x14ac:dyDescent="0.15">
      <c r="A382" t="s">
        <v>72</v>
      </c>
      <c r="B382" t="s">
        <v>7736</v>
      </c>
      <c r="C382" t="s">
        <v>74</v>
      </c>
      <c r="D382" t="s">
        <v>74</v>
      </c>
      <c r="E382" t="s">
        <v>74</v>
      </c>
      <c r="F382" t="s">
        <v>7737</v>
      </c>
      <c r="G382" t="s">
        <v>74</v>
      </c>
      <c r="H382" t="s">
        <v>74</v>
      </c>
      <c r="I382" t="s">
        <v>7738</v>
      </c>
      <c r="J382" t="s">
        <v>7739</v>
      </c>
      <c r="K382" t="s">
        <v>74</v>
      </c>
      <c r="L382" t="s">
        <v>74</v>
      </c>
      <c r="M382" t="s">
        <v>78</v>
      </c>
      <c r="N382" t="s">
        <v>79</v>
      </c>
      <c r="O382" t="s">
        <v>74</v>
      </c>
      <c r="P382" t="s">
        <v>74</v>
      </c>
      <c r="Q382" t="s">
        <v>74</v>
      </c>
      <c r="R382" t="s">
        <v>74</v>
      </c>
      <c r="S382" t="s">
        <v>74</v>
      </c>
      <c r="T382" t="s">
        <v>7740</v>
      </c>
      <c r="U382" t="s">
        <v>7741</v>
      </c>
      <c r="V382" t="s">
        <v>7742</v>
      </c>
      <c r="W382" t="s">
        <v>7743</v>
      </c>
      <c r="X382" t="s">
        <v>7744</v>
      </c>
      <c r="Y382" t="s">
        <v>7745</v>
      </c>
      <c r="Z382" t="s">
        <v>7746</v>
      </c>
      <c r="AA382" t="s">
        <v>7747</v>
      </c>
      <c r="AB382" t="s">
        <v>7748</v>
      </c>
      <c r="AC382" t="s">
        <v>7749</v>
      </c>
      <c r="AD382" t="s">
        <v>7750</v>
      </c>
      <c r="AE382" t="s">
        <v>7751</v>
      </c>
      <c r="AF382" t="s">
        <v>74</v>
      </c>
      <c r="AG382">
        <v>109</v>
      </c>
      <c r="AH382">
        <v>19</v>
      </c>
      <c r="AI382">
        <v>25</v>
      </c>
      <c r="AJ382">
        <v>1</v>
      </c>
      <c r="AK382">
        <v>5</v>
      </c>
      <c r="AL382" t="s">
        <v>3146</v>
      </c>
      <c r="AM382" t="s">
        <v>3147</v>
      </c>
      <c r="AN382" t="s">
        <v>3148</v>
      </c>
      <c r="AO382" t="s">
        <v>7752</v>
      </c>
      <c r="AP382" t="s">
        <v>74</v>
      </c>
      <c r="AQ382" t="s">
        <v>74</v>
      </c>
      <c r="AR382" t="s">
        <v>7753</v>
      </c>
      <c r="AS382" t="s">
        <v>7754</v>
      </c>
      <c r="AT382" t="s">
        <v>6261</v>
      </c>
      <c r="AU382">
        <v>2015</v>
      </c>
      <c r="AV382">
        <v>1</v>
      </c>
      <c r="AW382">
        <v>3</v>
      </c>
      <c r="AX382" t="s">
        <v>74</v>
      </c>
      <c r="AY382" t="s">
        <v>74</v>
      </c>
      <c r="AZ382" t="s">
        <v>74</v>
      </c>
      <c r="BA382" t="s">
        <v>74</v>
      </c>
      <c r="BB382">
        <v>205</v>
      </c>
      <c r="BC382">
        <v>215</v>
      </c>
      <c r="BD382" t="s">
        <v>74</v>
      </c>
      <c r="BE382" t="s">
        <v>7755</v>
      </c>
      <c r="BF382" t="str">
        <f>HYPERLINK("http://dx.doi.org/10.1007/s40641-015-0014-6","http://dx.doi.org/10.1007/s40641-015-0014-6")</f>
        <v>http://dx.doi.org/10.1007/s40641-015-0014-6</v>
      </c>
      <c r="BG382" t="s">
        <v>74</v>
      </c>
      <c r="BH382" t="s">
        <v>74</v>
      </c>
      <c r="BI382">
        <v>11</v>
      </c>
      <c r="BJ382" t="s">
        <v>271</v>
      </c>
      <c r="BK382" t="s">
        <v>101</v>
      </c>
      <c r="BL382" t="s">
        <v>271</v>
      </c>
      <c r="BM382" t="s">
        <v>7756</v>
      </c>
      <c r="BN382" t="s">
        <v>74</v>
      </c>
      <c r="BO382" t="s">
        <v>162</v>
      </c>
      <c r="BP382" t="s">
        <v>74</v>
      </c>
      <c r="BQ382" t="s">
        <v>74</v>
      </c>
      <c r="BR382" t="s">
        <v>103</v>
      </c>
      <c r="BS382" t="s">
        <v>7757</v>
      </c>
      <c r="BT382" t="str">
        <f>HYPERLINK("https%3A%2F%2Fwww.webofscience.com%2Fwos%2Fwoscc%2Ffull-record%2FWOS:000463896300009","View Full Record in Web of Science")</f>
        <v>View Full Record in Web of Science</v>
      </c>
    </row>
    <row r="383" spans="1:72" x14ac:dyDescent="0.15">
      <c r="A383" t="s">
        <v>72</v>
      </c>
      <c r="B383" t="s">
        <v>7758</v>
      </c>
      <c r="C383" t="s">
        <v>74</v>
      </c>
      <c r="D383" t="s">
        <v>74</v>
      </c>
      <c r="E383" t="s">
        <v>74</v>
      </c>
      <c r="F383" t="s">
        <v>7759</v>
      </c>
      <c r="G383" t="s">
        <v>74</v>
      </c>
      <c r="H383" t="s">
        <v>74</v>
      </c>
      <c r="I383" t="s">
        <v>7760</v>
      </c>
      <c r="J383" t="s">
        <v>7761</v>
      </c>
      <c r="K383" t="s">
        <v>74</v>
      </c>
      <c r="L383" t="s">
        <v>74</v>
      </c>
      <c r="M383" t="s">
        <v>78</v>
      </c>
      <c r="N383" t="s">
        <v>7762</v>
      </c>
      <c r="O383" t="s">
        <v>74</v>
      </c>
      <c r="P383" t="s">
        <v>74</v>
      </c>
      <c r="Q383" t="s">
        <v>74</v>
      </c>
      <c r="R383" t="s">
        <v>74</v>
      </c>
      <c r="S383" t="s">
        <v>74</v>
      </c>
      <c r="T383" t="s">
        <v>7763</v>
      </c>
      <c r="U383" t="s">
        <v>74</v>
      </c>
      <c r="V383" t="s">
        <v>7764</v>
      </c>
      <c r="W383" t="s">
        <v>7765</v>
      </c>
      <c r="X383" t="s">
        <v>5124</v>
      </c>
      <c r="Y383" t="s">
        <v>7766</v>
      </c>
      <c r="Z383" t="s">
        <v>7767</v>
      </c>
      <c r="AA383" t="s">
        <v>7768</v>
      </c>
      <c r="AB383" t="s">
        <v>74</v>
      </c>
      <c r="AC383" t="s">
        <v>7769</v>
      </c>
      <c r="AD383" t="s">
        <v>7770</v>
      </c>
      <c r="AE383" t="s">
        <v>7771</v>
      </c>
      <c r="AF383" t="s">
        <v>74</v>
      </c>
      <c r="AG383">
        <v>13</v>
      </c>
      <c r="AH383">
        <v>8</v>
      </c>
      <c r="AI383">
        <v>9</v>
      </c>
      <c r="AJ383">
        <v>0</v>
      </c>
      <c r="AK383">
        <v>9</v>
      </c>
      <c r="AL383" t="s">
        <v>925</v>
      </c>
      <c r="AM383" t="s">
        <v>884</v>
      </c>
      <c r="AN383" t="s">
        <v>926</v>
      </c>
      <c r="AO383" t="s">
        <v>7772</v>
      </c>
      <c r="AP383" t="s">
        <v>74</v>
      </c>
      <c r="AQ383" t="s">
        <v>74</v>
      </c>
      <c r="AR383" t="s">
        <v>7773</v>
      </c>
      <c r="AS383" t="s">
        <v>7774</v>
      </c>
      <c r="AT383" t="s">
        <v>6261</v>
      </c>
      <c r="AU383">
        <v>2015</v>
      </c>
      <c r="AV383">
        <v>4</v>
      </c>
      <c r="AW383" t="s">
        <v>74</v>
      </c>
      <c r="AX383" t="s">
        <v>74</v>
      </c>
      <c r="AY383" t="s">
        <v>74</v>
      </c>
      <c r="AZ383" t="s">
        <v>74</v>
      </c>
      <c r="BA383" t="s">
        <v>74</v>
      </c>
      <c r="BB383">
        <v>406</v>
      </c>
      <c r="BC383">
        <v>409</v>
      </c>
      <c r="BD383" t="s">
        <v>74</v>
      </c>
      <c r="BE383" t="s">
        <v>7775</v>
      </c>
      <c r="BF383" t="str">
        <f>HYPERLINK("http://dx.doi.org/10.1016/j.dib.2015.07.001","http://dx.doi.org/10.1016/j.dib.2015.07.001")</f>
        <v>http://dx.doi.org/10.1016/j.dib.2015.07.001</v>
      </c>
      <c r="BG383" t="s">
        <v>74</v>
      </c>
      <c r="BH383" t="s">
        <v>74</v>
      </c>
      <c r="BI383">
        <v>4</v>
      </c>
      <c r="BJ383" t="s">
        <v>530</v>
      </c>
      <c r="BK383" t="s">
        <v>831</v>
      </c>
      <c r="BL383" t="s">
        <v>531</v>
      </c>
      <c r="BM383" t="s">
        <v>7776</v>
      </c>
      <c r="BN383">
        <v>26306312</v>
      </c>
      <c r="BO383" t="s">
        <v>533</v>
      </c>
      <c r="BP383" t="s">
        <v>74</v>
      </c>
      <c r="BQ383" t="s">
        <v>74</v>
      </c>
      <c r="BR383" t="s">
        <v>103</v>
      </c>
      <c r="BS383" t="s">
        <v>7777</v>
      </c>
      <c r="BT383" t="str">
        <f>HYPERLINK("https%3A%2F%2Fwww.webofscience.com%2Fwos%2Fwoscc%2Ffull-record%2FWOS:000453157400075","View Full Record in Web of Science")</f>
        <v>View Full Record in Web of Science</v>
      </c>
    </row>
    <row r="384" spans="1:72" x14ac:dyDescent="0.15">
      <c r="A384" t="s">
        <v>72</v>
      </c>
      <c r="B384" t="s">
        <v>7778</v>
      </c>
      <c r="C384" t="s">
        <v>74</v>
      </c>
      <c r="D384" t="s">
        <v>74</v>
      </c>
      <c r="E384" t="s">
        <v>74</v>
      </c>
      <c r="F384" t="s">
        <v>7779</v>
      </c>
      <c r="G384" t="s">
        <v>74</v>
      </c>
      <c r="H384" t="s">
        <v>74</v>
      </c>
      <c r="I384" t="s">
        <v>7780</v>
      </c>
      <c r="J384" t="s">
        <v>3747</v>
      </c>
      <c r="K384" t="s">
        <v>74</v>
      </c>
      <c r="L384" t="s">
        <v>74</v>
      </c>
      <c r="M384" t="s">
        <v>78</v>
      </c>
      <c r="N384" t="s">
        <v>79</v>
      </c>
      <c r="O384" t="s">
        <v>74</v>
      </c>
      <c r="P384" t="s">
        <v>74</v>
      </c>
      <c r="Q384" t="s">
        <v>74</v>
      </c>
      <c r="R384" t="s">
        <v>74</v>
      </c>
      <c r="S384" t="s">
        <v>74</v>
      </c>
      <c r="T384" t="s">
        <v>7781</v>
      </c>
      <c r="U384" t="s">
        <v>7782</v>
      </c>
      <c r="V384" t="s">
        <v>7783</v>
      </c>
      <c r="W384" t="s">
        <v>7784</v>
      </c>
      <c r="X384" t="s">
        <v>7785</v>
      </c>
      <c r="Y384" t="s">
        <v>7786</v>
      </c>
      <c r="Z384" t="s">
        <v>7787</v>
      </c>
      <c r="AA384" t="s">
        <v>7788</v>
      </c>
      <c r="AB384" t="s">
        <v>7789</v>
      </c>
      <c r="AC384" t="s">
        <v>7790</v>
      </c>
      <c r="AD384" t="s">
        <v>7791</v>
      </c>
      <c r="AE384" t="s">
        <v>7792</v>
      </c>
      <c r="AF384" t="s">
        <v>74</v>
      </c>
      <c r="AG384">
        <v>48</v>
      </c>
      <c r="AH384">
        <v>26</v>
      </c>
      <c r="AI384">
        <v>27</v>
      </c>
      <c r="AJ384">
        <v>0</v>
      </c>
      <c r="AK384">
        <v>13</v>
      </c>
      <c r="AL384" t="s">
        <v>397</v>
      </c>
      <c r="AM384" t="s">
        <v>398</v>
      </c>
      <c r="AN384" t="s">
        <v>399</v>
      </c>
      <c r="AO384" t="s">
        <v>3759</v>
      </c>
      <c r="AP384" t="s">
        <v>3760</v>
      </c>
      <c r="AQ384" t="s">
        <v>74</v>
      </c>
      <c r="AR384" t="s">
        <v>3761</v>
      </c>
      <c r="AS384" t="s">
        <v>3762</v>
      </c>
      <c r="AT384" t="s">
        <v>6261</v>
      </c>
      <c r="AU384">
        <v>2015</v>
      </c>
      <c r="AV384">
        <v>119</v>
      </c>
      <c r="AW384" t="s">
        <v>74</v>
      </c>
      <c r="AX384" t="s">
        <v>74</v>
      </c>
      <c r="AY384" t="s">
        <v>74</v>
      </c>
      <c r="AZ384" t="s">
        <v>74</v>
      </c>
      <c r="BA384" t="s">
        <v>74</v>
      </c>
      <c r="BB384">
        <v>69</v>
      </c>
      <c r="BC384">
        <v>76</v>
      </c>
      <c r="BD384" t="s">
        <v>74</v>
      </c>
      <c r="BE384" t="s">
        <v>7793</v>
      </c>
      <c r="BF384" t="str">
        <f>HYPERLINK("http://dx.doi.org/10.1016/j.dsr2.2014.05.012","http://dx.doi.org/10.1016/j.dsr2.2014.05.012")</f>
        <v>http://dx.doi.org/10.1016/j.dsr2.2014.05.012</v>
      </c>
      <c r="BG384" t="s">
        <v>74</v>
      </c>
      <c r="BH384" t="s">
        <v>74</v>
      </c>
      <c r="BI384">
        <v>8</v>
      </c>
      <c r="BJ384" t="s">
        <v>339</v>
      </c>
      <c r="BK384" t="s">
        <v>101</v>
      </c>
      <c r="BL384" t="s">
        <v>339</v>
      </c>
      <c r="BM384" t="s">
        <v>7794</v>
      </c>
      <c r="BN384" t="s">
        <v>74</v>
      </c>
      <c r="BO384" t="s">
        <v>74</v>
      </c>
      <c r="BP384" t="s">
        <v>74</v>
      </c>
      <c r="BQ384" t="s">
        <v>74</v>
      </c>
      <c r="BR384" t="s">
        <v>103</v>
      </c>
      <c r="BS384" t="s">
        <v>7795</v>
      </c>
      <c r="BT384" t="str">
        <f>HYPERLINK("https%3A%2F%2Fwww.webofscience.com%2Fwos%2Fwoscc%2Ffull-record%2FWOS:000361581100008","View Full Record in Web of Science")</f>
        <v>View Full Record in Web of Science</v>
      </c>
    </row>
    <row r="385" spans="1:72" x14ac:dyDescent="0.15">
      <c r="A385" t="s">
        <v>72</v>
      </c>
      <c r="B385" t="s">
        <v>7796</v>
      </c>
      <c r="C385" t="s">
        <v>74</v>
      </c>
      <c r="D385" t="s">
        <v>74</v>
      </c>
      <c r="E385" t="s">
        <v>74</v>
      </c>
      <c r="F385" t="s">
        <v>7797</v>
      </c>
      <c r="G385" t="s">
        <v>74</v>
      </c>
      <c r="H385" t="s">
        <v>74</v>
      </c>
      <c r="I385" t="s">
        <v>7798</v>
      </c>
      <c r="J385" t="s">
        <v>7799</v>
      </c>
      <c r="K385" t="s">
        <v>74</v>
      </c>
      <c r="L385" t="s">
        <v>74</v>
      </c>
      <c r="M385" t="s">
        <v>78</v>
      </c>
      <c r="N385" t="s">
        <v>79</v>
      </c>
      <c r="O385" t="s">
        <v>74</v>
      </c>
      <c r="P385" t="s">
        <v>74</v>
      </c>
      <c r="Q385" t="s">
        <v>74</v>
      </c>
      <c r="R385" t="s">
        <v>74</v>
      </c>
      <c r="S385" t="s">
        <v>74</v>
      </c>
      <c r="T385" t="s">
        <v>74</v>
      </c>
      <c r="U385" t="s">
        <v>74</v>
      </c>
      <c r="V385" t="s">
        <v>7800</v>
      </c>
      <c r="W385" t="s">
        <v>7801</v>
      </c>
      <c r="X385" t="s">
        <v>74</v>
      </c>
      <c r="Y385" t="s">
        <v>7802</v>
      </c>
      <c r="Z385" t="s">
        <v>7803</v>
      </c>
      <c r="AA385" t="s">
        <v>7804</v>
      </c>
      <c r="AB385" t="s">
        <v>7805</v>
      </c>
      <c r="AC385" t="s">
        <v>7806</v>
      </c>
      <c r="AD385" t="s">
        <v>7807</v>
      </c>
      <c r="AE385" t="s">
        <v>7808</v>
      </c>
      <c r="AF385" t="s">
        <v>74</v>
      </c>
      <c r="AG385">
        <v>14</v>
      </c>
      <c r="AH385">
        <v>4</v>
      </c>
      <c r="AI385">
        <v>4</v>
      </c>
      <c r="AJ385">
        <v>0</v>
      </c>
      <c r="AK385">
        <v>0</v>
      </c>
      <c r="AL385" t="s">
        <v>7809</v>
      </c>
      <c r="AM385" t="s">
        <v>307</v>
      </c>
      <c r="AN385" t="s">
        <v>7810</v>
      </c>
      <c r="AO385" t="s">
        <v>74</v>
      </c>
      <c r="AP385" t="s">
        <v>7811</v>
      </c>
      <c r="AQ385" t="s">
        <v>74</v>
      </c>
      <c r="AR385" t="s">
        <v>7799</v>
      </c>
      <c r="AS385" t="s">
        <v>7812</v>
      </c>
      <c r="AT385" t="s">
        <v>6330</v>
      </c>
      <c r="AU385">
        <v>2015</v>
      </c>
      <c r="AV385">
        <v>3</v>
      </c>
      <c r="AW385">
        <v>5</v>
      </c>
      <c r="AX385" t="s">
        <v>74</v>
      </c>
      <c r="AY385" t="s">
        <v>74</v>
      </c>
      <c r="AZ385" t="s">
        <v>74</v>
      </c>
      <c r="BA385" t="s">
        <v>74</v>
      </c>
      <c r="BB385" t="s">
        <v>74</v>
      </c>
      <c r="BC385" t="s">
        <v>74</v>
      </c>
      <c r="BD385" t="s">
        <v>7813</v>
      </c>
      <c r="BE385" t="s">
        <v>7814</v>
      </c>
      <c r="BF385" t="str">
        <f>HYPERLINK("http://dx.doi.org/10.1128/genomeA.01151-15","http://dx.doi.org/10.1128/genomeA.01151-15")</f>
        <v>http://dx.doi.org/10.1128/genomeA.01151-15</v>
      </c>
      <c r="BG385" t="s">
        <v>74</v>
      </c>
      <c r="BH385" t="s">
        <v>74</v>
      </c>
      <c r="BI385">
        <v>2</v>
      </c>
      <c r="BJ385" t="s">
        <v>160</v>
      </c>
      <c r="BK385" t="s">
        <v>831</v>
      </c>
      <c r="BL385" t="s">
        <v>160</v>
      </c>
      <c r="BM385" t="s">
        <v>7815</v>
      </c>
      <c r="BN385">
        <v>26450727</v>
      </c>
      <c r="BO385" t="s">
        <v>533</v>
      </c>
      <c r="BP385" t="s">
        <v>74</v>
      </c>
      <c r="BQ385" t="s">
        <v>74</v>
      </c>
      <c r="BR385" t="s">
        <v>103</v>
      </c>
      <c r="BS385" t="s">
        <v>7816</v>
      </c>
      <c r="BT385" t="str">
        <f>HYPERLINK("https%3A%2F%2Fwww.webofscience.com%2Fwos%2Fwoscc%2Ffull-record%2FWOS:000460642600153","View Full Record in Web of Science")</f>
        <v>View Full Record in Web of Science</v>
      </c>
    </row>
    <row r="386" spans="1:72" x14ac:dyDescent="0.15">
      <c r="A386" t="s">
        <v>72</v>
      </c>
      <c r="B386" t="s">
        <v>7817</v>
      </c>
      <c r="C386" t="s">
        <v>74</v>
      </c>
      <c r="D386" t="s">
        <v>74</v>
      </c>
      <c r="E386" t="s">
        <v>74</v>
      </c>
      <c r="F386" t="s">
        <v>7818</v>
      </c>
      <c r="G386" t="s">
        <v>74</v>
      </c>
      <c r="H386" t="s">
        <v>74</v>
      </c>
      <c r="I386" t="s">
        <v>7819</v>
      </c>
      <c r="J386" t="s">
        <v>7820</v>
      </c>
      <c r="K386" t="s">
        <v>74</v>
      </c>
      <c r="L386" t="s">
        <v>74</v>
      </c>
      <c r="M386" t="s">
        <v>78</v>
      </c>
      <c r="N386" t="s">
        <v>79</v>
      </c>
      <c r="O386" t="s">
        <v>74</v>
      </c>
      <c r="P386" t="s">
        <v>74</v>
      </c>
      <c r="Q386" t="s">
        <v>74</v>
      </c>
      <c r="R386" t="s">
        <v>74</v>
      </c>
      <c r="S386" t="s">
        <v>74</v>
      </c>
      <c r="T386" t="s">
        <v>74</v>
      </c>
      <c r="U386" t="s">
        <v>7821</v>
      </c>
      <c r="V386" t="s">
        <v>7822</v>
      </c>
      <c r="W386" t="s">
        <v>7823</v>
      </c>
      <c r="X386" t="s">
        <v>7824</v>
      </c>
      <c r="Y386" t="s">
        <v>7825</v>
      </c>
      <c r="Z386" t="s">
        <v>7826</v>
      </c>
      <c r="AA386" t="s">
        <v>7827</v>
      </c>
      <c r="AB386" t="s">
        <v>7828</v>
      </c>
      <c r="AC386" t="s">
        <v>7829</v>
      </c>
      <c r="AD386" t="s">
        <v>7830</v>
      </c>
      <c r="AE386" t="s">
        <v>7831</v>
      </c>
      <c r="AF386" t="s">
        <v>74</v>
      </c>
      <c r="AG386">
        <v>60</v>
      </c>
      <c r="AH386">
        <v>20</v>
      </c>
      <c r="AI386">
        <v>23</v>
      </c>
      <c r="AJ386">
        <v>0</v>
      </c>
      <c r="AK386">
        <v>2</v>
      </c>
      <c r="AL386" t="s">
        <v>306</v>
      </c>
      <c r="AM386" t="s">
        <v>307</v>
      </c>
      <c r="AN386" t="s">
        <v>308</v>
      </c>
      <c r="AO386" t="s">
        <v>74</v>
      </c>
      <c r="AP386" t="s">
        <v>7832</v>
      </c>
      <c r="AQ386" t="s">
        <v>74</v>
      </c>
      <c r="AR386" t="s">
        <v>7833</v>
      </c>
      <c r="AS386" t="s">
        <v>7834</v>
      </c>
      <c r="AT386" t="s">
        <v>6261</v>
      </c>
      <c r="AU386">
        <v>2015</v>
      </c>
      <c r="AV386">
        <v>16</v>
      </c>
      <c r="AW386">
        <v>9</v>
      </c>
      <c r="AX386" t="s">
        <v>74</v>
      </c>
      <c r="AY386" t="s">
        <v>74</v>
      </c>
      <c r="AZ386" t="s">
        <v>74</v>
      </c>
      <c r="BA386" t="s">
        <v>74</v>
      </c>
      <c r="BB386">
        <v>3061</v>
      </c>
      <c r="BC386">
        <v>3075</v>
      </c>
      <c r="BD386" t="s">
        <v>74</v>
      </c>
      <c r="BE386" t="s">
        <v>7835</v>
      </c>
      <c r="BF386" t="str">
        <f>HYPERLINK("http://dx.doi.org/10.1002/2015GC005926","http://dx.doi.org/10.1002/2015GC005926")</f>
        <v>http://dx.doi.org/10.1002/2015GC005926</v>
      </c>
      <c r="BG386" t="s">
        <v>74</v>
      </c>
      <c r="BH386" t="s">
        <v>74</v>
      </c>
      <c r="BI386">
        <v>15</v>
      </c>
      <c r="BJ386" t="s">
        <v>1707</v>
      </c>
      <c r="BK386" t="s">
        <v>101</v>
      </c>
      <c r="BL386" t="s">
        <v>1707</v>
      </c>
      <c r="BM386" t="s">
        <v>7836</v>
      </c>
      <c r="BN386" t="s">
        <v>74</v>
      </c>
      <c r="BO386" t="s">
        <v>162</v>
      </c>
      <c r="BP386" t="s">
        <v>74</v>
      </c>
      <c r="BQ386" t="s">
        <v>74</v>
      </c>
      <c r="BR386" t="s">
        <v>103</v>
      </c>
      <c r="BS386" t="s">
        <v>7837</v>
      </c>
      <c r="BT386" t="str">
        <f>HYPERLINK("https%3A%2F%2Fwww.webofscience.com%2Fwos%2Fwoscc%2Ffull-record%2FWOS:000365039400019","View Full Record in Web of Science")</f>
        <v>View Full Record in Web of Science</v>
      </c>
    </row>
    <row r="387" spans="1:72" x14ac:dyDescent="0.15">
      <c r="A387" t="s">
        <v>72</v>
      </c>
      <c r="B387" t="s">
        <v>7838</v>
      </c>
      <c r="C387" t="s">
        <v>74</v>
      </c>
      <c r="D387" t="s">
        <v>74</v>
      </c>
      <c r="E387" t="s">
        <v>74</v>
      </c>
      <c r="F387" t="s">
        <v>7839</v>
      </c>
      <c r="G387" t="s">
        <v>74</v>
      </c>
      <c r="H387" t="s">
        <v>74</v>
      </c>
      <c r="I387" t="s">
        <v>7840</v>
      </c>
      <c r="J387" t="s">
        <v>5688</v>
      </c>
      <c r="K387" t="s">
        <v>74</v>
      </c>
      <c r="L387" t="s">
        <v>74</v>
      </c>
      <c r="M387" t="s">
        <v>78</v>
      </c>
      <c r="N387" t="s">
        <v>79</v>
      </c>
      <c r="O387" t="s">
        <v>74</v>
      </c>
      <c r="P387" t="s">
        <v>74</v>
      </c>
      <c r="Q387" t="s">
        <v>74</v>
      </c>
      <c r="R387" t="s">
        <v>74</v>
      </c>
      <c r="S387" t="s">
        <v>74</v>
      </c>
      <c r="T387" t="s">
        <v>74</v>
      </c>
      <c r="U387" t="s">
        <v>7841</v>
      </c>
      <c r="V387" t="s">
        <v>7842</v>
      </c>
      <c r="W387" t="s">
        <v>7843</v>
      </c>
      <c r="X387" t="s">
        <v>7844</v>
      </c>
      <c r="Y387" t="s">
        <v>7845</v>
      </c>
      <c r="Z387" t="s">
        <v>7846</v>
      </c>
      <c r="AA387" t="s">
        <v>7847</v>
      </c>
      <c r="AB387" t="s">
        <v>7848</v>
      </c>
      <c r="AC387" t="s">
        <v>7849</v>
      </c>
      <c r="AD387" t="s">
        <v>7850</v>
      </c>
      <c r="AE387" t="s">
        <v>7851</v>
      </c>
      <c r="AF387" t="s">
        <v>74</v>
      </c>
      <c r="AG387">
        <v>102</v>
      </c>
      <c r="AH387">
        <v>21</v>
      </c>
      <c r="AI387">
        <v>23</v>
      </c>
      <c r="AJ387">
        <v>1</v>
      </c>
      <c r="AK387">
        <v>12</v>
      </c>
      <c r="AL387" t="s">
        <v>397</v>
      </c>
      <c r="AM387" t="s">
        <v>398</v>
      </c>
      <c r="AN387" t="s">
        <v>399</v>
      </c>
      <c r="AO387" t="s">
        <v>5699</v>
      </c>
      <c r="AP387" t="s">
        <v>5700</v>
      </c>
      <c r="AQ387" t="s">
        <v>74</v>
      </c>
      <c r="AR387" t="s">
        <v>5701</v>
      </c>
      <c r="AS387" t="s">
        <v>5702</v>
      </c>
      <c r="AT387" t="s">
        <v>6441</v>
      </c>
      <c r="AU387">
        <v>2015</v>
      </c>
      <c r="AV387">
        <v>164</v>
      </c>
      <c r="AW387" t="s">
        <v>74</v>
      </c>
      <c r="AX387" t="s">
        <v>74</v>
      </c>
      <c r="AY387" t="s">
        <v>74</v>
      </c>
      <c r="AZ387" t="s">
        <v>74</v>
      </c>
      <c r="BA387" t="s">
        <v>74</v>
      </c>
      <c r="BB387">
        <v>53</v>
      </c>
      <c r="BC387">
        <v>70</v>
      </c>
      <c r="BD387" t="s">
        <v>74</v>
      </c>
      <c r="BE387" t="s">
        <v>7852</v>
      </c>
      <c r="BF387" t="str">
        <f>HYPERLINK("http://dx.doi.org/10.1016/j.gca.2015.05.004","http://dx.doi.org/10.1016/j.gca.2015.05.004")</f>
        <v>http://dx.doi.org/10.1016/j.gca.2015.05.004</v>
      </c>
      <c r="BG387" t="s">
        <v>74</v>
      </c>
      <c r="BH387" t="s">
        <v>74</v>
      </c>
      <c r="BI387">
        <v>18</v>
      </c>
      <c r="BJ387" t="s">
        <v>1707</v>
      </c>
      <c r="BK387" t="s">
        <v>101</v>
      </c>
      <c r="BL387" t="s">
        <v>1707</v>
      </c>
      <c r="BM387" t="s">
        <v>7853</v>
      </c>
      <c r="BN387" t="s">
        <v>74</v>
      </c>
      <c r="BO387" t="s">
        <v>1213</v>
      </c>
      <c r="BP387" t="s">
        <v>74</v>
      </c>
      <c r="BQ387" t="s">
        <v>74</v>
      </c>
      <c r="BR387" t="s">
        <v>103</v>
      </c>
      <c r="BS387" t="s">
        <v>7854</v>
      </c>
      <c r="BT387" t="str">
        <f>HYPERLINK("https%3A%2F%2Fwww.webofscience.com%2Fwos%2Fwoscc%2Ffull-record%2FWOS:000358021900004","View Full Record in Web of Science")</f>
        <v>View Full Record in Web of Science</v>
      </c>
    </row>
    <row r="388" spans="1:72" x14ac:dyDescent="0.15">
      <c r="A388" t="s">
        <v>72</v>
      </c>
      <c r="B388" t="s">
        <v>7855</v>
      </c>
      <c r="C388" t="s">
        <v>74</v>
      </c>
      <c r="D388" t="s">
        <v>74</v>
      </c>
      <c r="E388" t="s">
        <v>74</v>
      </c>
      <c r="F388" t="s">
        <v>7856</v>
      </c>
      <c r="G388" t="s">
        <v>74</v>
      </c>
      <c r="H388" t="s">
        <v>74</v>
      </c>
      <c r="I388" t="s">
        <v>7857</v>
      </c>
      <c r="J388" t="s">
        <v>5688</v>
      </c>
      <c r="K388" t="s">
        <v>74</v>
      </c>
      <c r="L388" t="s">
        <v>74</v>
      </c>
      <c r="M388" t="s">
        <v>78</v>
      </c>
      <c r="N388" t="s">
        <v>79</v>
      </c>
      <c r="O388" t="s">
        <v>74</v>
      </c>
      <c r="P388" t="s">
        <v>74</v>
      </c>
      <c r="Q388" t="s">
        <v>74</v>
      </c>
      <c r="R388" t="s">
        <v>74</v>
      </c>
      <c r="S388" t="s">
        <v>74</v>
      </c>
      <c r="T388" t="s">
        <v>74</v>
      </c>
      <c r="U388" t="s">
        <v>7858</v>
      </c>
      <c r="V388" t="s">
        <v>7859</v>
      </c>
      <c r="W388" t="s">
        <v>7860</v>
      </c>
      <c r="X388" t="s">
        <v>7861</v>
      </c>
      <c r="Y388" t="s">
        <v>7862</v>
      </c>
      <c r="Z388" t="s">
        <v>7863</v>
      </c>
      <c r="AA388" t="s">
        <v>7864</v>
      </c>
      <c r="AB388" t="s">
        <v>7865</v>
      </c>
      <c r="AC388" t="s">
        <v>7866</v>
      </c>
      <c r="AD388" t="s">
        <v>7867</v>
      </c>
      <c r="AE388" t="s">
        <v>7868</v>
      </c>
      <c r="AF388" t="s">
        <v>74</v>
      </c>
      <c r="AG388">
        <v>64</v>
      </c>
      <c r="AH388">
        <v>81</v>
      </c>
      <c r="AI388">
        <v>88</v>
      </c>
      <c r="AJ388">
        <v>0</v>
      </c>
      <c r="AK388">
        <v>116</v>
      </c>
      <c r="AL388" t="s">
        <v>397</v>
      </c>
      <c r="AM388" t="s">
        <v>398</v>
      </c>
      <c r="AN388" t="s">
        <v>399</v>
      </c>
      <c r="AO388" t="s">
        <v>5699</v>
      </c>
      <c r="AP388" t="s">
        <v>5700</v>
      </c>
      <c r="AQ388" t="s">
        <v>74</v>
      </c>
      <c r="AR388" t="s">
        <v>5701</v>
      </c>
      <c r="AS388" t="s">
        <v>5702</v>
      </c>
      <c r="AT388" t="s">
        <v>6441</v>
      </c>
      <c r="AU388">
        <v>2015</v>
      </c>
      <c r="AV388">
        <v>164</v>
      </c>
      <c r="AW388" t="s">
        <v>74</v>
      </c>
      <c r="AX388" t="s">
        <v>74</v>
      </c>
      <c r="AY388" t="s">
        <v>74</v>
      </c>
      <c r="AZ388" t="s">
        <v>74</v>
      </c>
      <c r="BA388" t="s">
        <v>74</v>
      </c>
      <c r="BB388">
        <v>502</v>
      </c>
      <c r="BC388">
        <v>522</v>
      </c>
      <c r="BD388" t="s">
        <v>74</v>
      </c>
      <c r="BE388" t="s">
        <v>7869</v>
      </c>
      <c r="BF388" t="str">
        <f>HYPERLINK("http://dx.doi.org/10.1016/j.gca.2015.05.016","http://dx.doi.org/10.1016/j.gca.2015.05.016")</f>
        <v>http://dx.doi.org/10.1016/j.gca.2015.05.016</v>
      </c>
      <c r="BG388" t="s">
        <v>74</v>
      </c>
      <c r="BH388" t="s">
        <v>74</v>
      </c>
      <c r="BI388">
        <v>21</v>
      </c>
      <c r="BJ388" t="s">
        <v>1707</v>
      </c>
      <c r="BK388" t="s">
        <v>101</v>
      </c>
      <c r="BL388" t="s">
        <v>1707</v>
      </c>
      <c r="BM388" t="s">
        <v>7853</v>
      </c>
      <c r="BN388" t="s">
        <v>74</v>
      </c>
      <c r="BO388" t="s">
        <v>1213</v>
      </c>
      <c r="BP388" t="s">
        <v>74</v>
      </c>
      <c r="BQ388" t="s">
        <v>74</v>
      </c>
      <c r="BR388" t="s">
        <v>103</v>
      </c>
      <c r="BS388" t="s">
        <v>7870</v>
      </c>
      <c r="BT388" t="str">
        <f>HYPERLINK("https%3A%2F%2Fwww.webofscience.com%2Fwos%2Fwoscc%2Ffull-record%2FWOS:000358021900030","View Full Record in Web of Science")</f>
        <v>View Full Record in Web of Science</v>
      </c>
    </row>
    <row r="389" spans="1:72" x14ac:dyDescent="0.15">
      <c r="A389" t="s">
        <v>72</v>
      </c>
      <c r="B389" t="s">
        <v>7871</v>
      </c>
      <c r="C389" t="s">
        <v>74</v>
      </c>
      <c r="D389" t="s">
        <v>74</v>
      </c>
      <c r="E389" t="s">
        <v>74</v>
      </c>
      <c r="F389" t="s">
        <v>7872</v>
      </c>
      <c r="G389" t="s">
        <v>74</v>
      </c>
      <c r="H389" t="s">
        <v>74</v>
      </c>
      <c r="I389" t="s">
        <v>7873</v>
      </c>
      <c r="J389" t="s">
        <v>6314</v>
      </c>
      <c r="K389" t="s">
        <v>74</v>
      </c>
      <c r="L389" t="s">
        <v>74</v>
      </c>
      <c r="M389" t="s">
        <v>78</v>
      </c>
      <c r="N389" t="s">
        <v>79</v>
      </c>
      <c r="O389" t="s">
        <v>74</v>
      </c>
      <c r="P389" t="s">
        <v>74</v>
      </c>
      <c r="Q389" t="s">
        <v>74</v>
      </c>
      <c r="R389" t="s">
        <v>74</v>
      </c>
      <c r="S389" t="s">
        <v>74</v>
      </c>
      <c r="T389" t="s">
        <v>7874</v>
      </c>
      <c r="U389" t="s">
        <v>7875</v>
      </c>
      <c r="V389" t="s">
        <v>7876</v>
      </c>
      <c r="W389" t="s">
        <v>7877</v>
      </c>
      <c r="X389" t="s">
        <v>2590</v>
      </c>
      <c r="Y389" t="s">
        <v>7878</v>
      </c>
      <c r="Z389" t="s">
        <v>7879</v>
      </c>
      <c r="AA389" t="s">
        <v>7880</v>
      </c>
      <c r="AB389" t="s">
        <v>7881</v>
      </c>
      <c r="AC389" t="s">
        <v>7882</v>
      </c>
      <c r="AD389" t="s">
        <v>7882</v>
      </c>
      <c r="AE389" t="s">
        <v>7883</v>
      </c>
      <c r="AF389" t="s">
        <v>74</v>
      </c>
      <c r="AG389">
        <v>35</v>
      </c>
      <c r="AH389">
        <v>80</v>
      </c>
      <c r="AI389">
        <v>88</v>
      </c>
      <c r="AJ389">
        <v>0</v>
      </c>
      <c r="AK389">
        <v>18</v>
      </c>
      <c r="AL389" t="s">
        <v>2279</v>
      </c>
      <c r="AM389" t="s">
        <v>398</v>
      </c>
      <c r="AN389" t="s">
        <v>2280</v>
      </c>
      <c r="AO389" t="s">
        <v>6326</v>
      </c>
      <c r="AP389" t="s">
        <v>6327</v>
      </c>
      <c r="AQ389" t="s">
        <v>74</v>
      </c>
      <c r="AR389" t="s">
        <v>6328</v>
      </c>
      <c r="AS389" t="s">
        <v>6329</v>
      </c>
      <c r="AT389" t="s">
        <v>6330</v>
      </c>
      <c r="AU389">
        <v>2015</v>
      </c>
      <c r="AV389">
        <v>72</v>
      </c>
      <c r="AW389">
        <v>8</v>
      </c>
      <c r="AX389" t="s">
        <v>74</v>
      </c>
      <c r="AY389" t="s">
        <v>74</v>
      </c>
      <c r="AZ389" t="s">
        <v>74</v>
      </c>
      <c r="BA389" t="s">
        <v>74</v>
      </c>
      <c r="BB389">
        <v>2482</v>
      </c>
      <c r="BC389">
        <v>2493</v>
      </c>
      <c r="BD389" t="s">
        <v>74</v>
      </c>
      <c r="BE389" t="s">
        <v>7884</v>
      </c>
      <c r="BF389" t="str">
        <f>HYPERLINK("http://dx.doi.org/10.1093/icesjms/fsv121","http://dx.doi.org/10.1093/icesjms/fsv121")</f>
        <v>http://dx.doi.org/10.1093/icesjms/fsv121</v>
      </c>
      <c r="BG389" t="s">
        <v>74</v>
      </c>
      <c r="BH389" t="s">
        <v>74</v>
      </c>
      <c r="BI389">
        <v>12</v>
      </c>
      <c r="BJ389" t="s">
        <v>2128</v>
      </c>
      <c r="BK389" t="s">
        <v>101</v>
      </c>
      <c r="BL389" t="s">
        <v>2128</v>
      </c>
      <c r="BM389" t="s">
        <v>6332</v>
      </c>
      <c r="BN389" t="s">
        <v>74</v>
      </c>
      <c r="BO389" t="s">
        <v>162</v>
      </c>
      <c r="BP389" t="s">
        <v>74</v>
      </c>
      <c r="BQ389" t="s">
        <v>74</v>
      </c>
      <c r="BR389" t="s">
        <v>103</v>
      </c>
      <c r="BS389" t="s">
        <v>7885</v>
      </c>
      <c r="BT389" t="str">
        <f>HYPERLINK("https%3A%2F%2Fwww.webofscience.com%2Fwos%2Fwoscc%2Ffull-record%2FWOS:000368251600029","View Full Record in Web of Science")</f>
        <v>View Full Record in Web of Science</v>
      </c>
    </row>
    <row r="390" spans="1:72" x14ac:dyDescent="0.15">
      <c r="A390" t="s">
        <v>72</v>
      </c>
      <c r="B390" t="s">
        <v>7886</v>
      </c>
      <c r="C390" t="s">
        <v>74</v>
      </c>
      <c r="D390" t="s">
        <v>74</v>
      </c>
      <c r="E390" t="s">
        <v>74</v>
      </c>
      <c r="F390" t="s">
        <v>7887</v>
      </c>
      <c r="G390" t="s">
        <v>74</v>
      </c>
      <c r="H390" t="s">
        <v>74</v>
      </c>
      <c r="I390" t="s">
        <v>7888</v>
      </c>
      <c r="J390" t="s">
        <v>6314</v>
      </c>
      <c r="K390" t="s">
        <v>74</v>
      </c>
      <c r="L390" t="s">
        <v>74</v>
      </c>
      <c r="M390" t="s">
        <v>78</v>
      </c>
      <c r="N390" t="s">
        <v>79</v>
      </c>
      <c r="O390" t="s">
        <v>74</v>
      </c>
      <c r="P390" t="s">
        <v>74</v>
      </c>
      <c r="Q390" t="s">
        <v>74</v>
      </c>
      <c r="R390" t="s">
        <v>74</v>
      </c>
      <c r="S390" t="s">
        <v>74</v>
      </c>
      <c r="T390" t="s">
        <v>7889</v>
      </c>
      <c r="U390" t="s">
        <v>7890</v>
      </c>
      <c r="V390" t="s">
        <v>7891</v>
      </c>
      <c r="W390" t="s">
        <v>7892</v>
      </c>
      <c r="X390" t="s">
        <v>7893</v>
      </c>
      <c r="Y390" t="s">
        <v>7894</v>
      </c>
      <c r="Z390" t="s">
        <v>7895</v>
      </c>
      <c r="AA390" t="s">
        <v>74</v>
      </c>
      <c r="AB390" t="s">
        <v>7896</v>
      </c>
      <c r="AC390" t="s">
        <v>7897</v>
      </c>
      <c r="AD390" t="s">
        <v>7898</v>
      </c>
      <c r="AE390" t="s">
        <v>7899</v>
      </c>
      <c r="AF390" t="s">
        <v>74</v>
      </c>
      <c r="AG390">
        <v>58</v>
      </c>
      <c r="AH390">
        <v>15</v>
      </c>
      <c r="AI390">
        <v>18</v>
      </c>
      <c r="AJ390">
        <v>1</v>
      </c>
      <c r="AK390">
        <v>22</v>
      </c>
      <c r="AL390" t="s">
        <v>2279</v>
      </c>
      <c r="AM390" t="s">
        <v>398</v>
      </c>
      <c r="AN390" t="s">
        <v>2280</v>
      </c>
      <c r="AO390" t="s">
        <v>6326</v>
      </c>
      <c r="AP390" t="s">
        <v>6327</v>
      </c>
      <c r="AQ390" t="s">
        <v>74</v>
      </c>
      <c r="AR390" t="s">
        <v>6328</v>
      </c>
      <c r="AS390" t="s">
        <v>6329</v>
      </c>
      <c r="AT390" t="s">
        <v>6330</v>
      </c>
      <c r="AU390">
        <v>2015</v>
      </c>
      <c r="AV390">
        <v>72</v>
      </c>
      <c r="AW390">
        <v>8</v>
      </c>
      <c r="AX390" t="s">
        <v>74</v>
      </c>
      <c r="AY390" t="s">
        <v>74</v>
      </c>
      <c r="AZ390" t="s">
        <v>74</v>
      </c>
      <c r="BA390" t="s">
        <v>74</v>
      </c>
      <c r="BB390">
        <v>2494</v>
      </c>
      <c r="BC390">
        <v>2505</v>
      </c>
      <c r="BD390" t="s">
        <v>74</v>
      </c>
      <c r="BE390" t="s">
        <v>7900</v>
      </c>
      <c r="BF390" t="str">
        <f>HYPERLINK("http://dx.doi.org/10.1093/icesjms/fsv077","http://dx.doi.org/10.1093/icesjms/fsv077")</f>
        <v>http://dx.doi.org/10.1093/icesjms/fsv077</v>
      </c>
      <c r="BG390" t="s">
        <v>74</v>
      </c>
      <c r="BH390" t="s">
        <v>74</v>
      </c>
      <c r="BI390">
        <v>12</v>
      </c>
      <c r="BJ390" t="s">
        <v>2128</v>
      </c>
      <c r="BK390" t="s">
        <v>101</v>
      </c>
      <c r="BL390" t="s">
        <v>2128</v>
      </c>
      <c r="BM390" t="s">
        <v>6332</v>
      </c>
      <c r="BN390" t="s">
        <v>74</v>
      </c>
      <c r="BO390" t="s">
        <v>2686</v>
      </c>
      <c r="BP390" t="s">
        <v>74</v>
      </c>
      <c r="BQ390" t="s">
        <v>74</v>
      </c>
      <c r="BR390" t="s">
        <v>103</v>
      </c>
      <c r="BS390" t="s">
        <v>7901</v>
      </c>
      <c r="BT390" t="str">
        <f>HYPERLINK("https%3A%2F%2Fwww.webofscience.com%2Fwos%2Fwoscc%2Ffull-record%2FWOS:000368251600030","View Full Record in Web of Science")</f>
        <v>View Full Record in Web of Science</v>
      </c>
    </row>
    <row r="391" spans="1:72" x14ac:dyDescent="0.15">
      <c r="A391" t="s">
        <v>72</v>
      </c>
      <c r="B391" t="s">
        <v>7902</v>
      </c>
      <c r="C391" t="s">
        <v>74</v>
      </c>
      <c r="D391" t="s">
        <v>74</v>
      </c>
      <c r="E391" t="s">
        <v>74</v>
      </c>
      <c r="F391" t="s">
        <v>7903</v>
      </c>
      <c r="G391" t="s">
        <v>74</v>
      </c>
      <c r="H391" t="s">
        <v>74</v>
      </c>
      <c r="I391" t="s">
        <v>7904</v>
      </c>
      <c r="J391" t="s">
        <v>167</v>
      </c>
      <c r="K391" t="s">
        <v>74</v>
      </c>
      <c r="L391" t="s">
        <v>74</v>
      </c>
      <c r="M391" t="s">
        <v>78</v>
      </c>
      <c r="N391" t="s">
        <v>79</v>
      </c>
      <c r="O391" t="s">
        <v>74</v>
      </c>
      <c r="P391" t="s">
        <v>74</v>
      </c>
      <c r="Q391" t="s">
        <v>74</v>
      </c>
      <c r="R391" t="s">
        <v>74</v>
      </c>
      <c r="S391" t="s">
        <v>74</v>
      </c>
      <c r="T391" t="s">
        <v>74</v>
      </c>
      <c r="U391" t="s">
        <v>7905</v>
      </c>
      <c r="V391" t="s">
        <v>7906</v>
      </c>
      <c r="W391" t="s">
        <v>7907</v>
      </c>
      <c r="X391" t="s">
        <v>7908</v>
      </c>
      <c r="Y391" t="s">
        <v>586</v>
      </c>
      <c r="Z391" t="s">
        <v>587</v>
      </c>
      <c r="AA391" t="s">
        <v>7909</v>
      </c>
      <c r="AB391" t="s">
        <v>7910</v>
      </c>
      <c r="AC391" t="s">
        <v>7911</v>
      </c>
      <c r="AD391" t="s">
        <v>7912</v>
      </c>
      <c r="AE391" t="s">
        <v>7913</v>
      </c>
      <c r="AF391" t="s">
        <v>74</v>
      </c>
      <c r="AG391">
        <v>90</v>
      </c>
      <c r="AH391">
        <v>30</v>
      </c>
      <c r="AI391">
        <v>31</v>
      </c>
      <c r="AJ391">
        <v>2</v>
      </c>
      <c r="AK391">
        <v>34</v>
      </c>
      <c r="AL391" t="s">
        <v>179</v>
      </c>
      <c r="AM391" t="s">
        <v>180</v>
      </c>
      <c r="AN391" t="s">
        <v>181</v>
      </c>
      <c r="AO391" t="s">
        <v>182</v>
      </c>
      <c r="AP391" t="s">
        <v>183</v>
      </c>
      <c r="AQ391" t="s">
        <v>74</v>
      </c>
      <c r="AR391" t="s">
        <v>184</v>
      </c>
      <c r="AS391" t="s">
        <v>185</v>
      </c>
      <c r="AT391" t="s">
        <v>6261</v>
      </c>
      <c r="AU391">
        <v>2015</v>
      </c>
      <c r="AV391">
        <v>9</v>
      </c>
      <c r="AW391">
        <v>9</v>
      </c>
      <c r="AX391" t="s">
        <v>74</v>
      </c>
      <c r="AY391" t="s">
        <v>74</v>
      </c>
      <c r="AZ391" t="s">
        <v>74</v>
      </c>
      <c r="BA391" t="s">
        <v>74</v>
      </c>
      <c r="BB391">
        <v>2094</v>
      </c>
      <c r="BC391">
        <v>2107</v>
      </c>
      <c r="BD391" t="s">
        <v>74</v>
      </c>
      <c r="BE391" t="s">
        <v>7914</v>
      </c>
      <c r="BF391" t="str">
        <f>HYPERLINK("http://dx.doi.org/10.1038/ismej.2015.110","http://dx.doi.org/10.1038/ismej.2015.110")</f>
        <v>http://dx.doi.org/10.1038/ismej.2015.110</v>
      </c>
      <c r="BG391" t="s">
        <v>74</v>
      </c>
      <c r="BH391" t="s">
        <v>74</v>
      </c>
      <c r="BI391">
        <v>14</v>
      </c>
      <c r="BJ391" t="s">
        <v>187</v>
      </c>
      <c r="BK391" t="s">
        <v>101</v>
      </c>
      <c r="BL391" t="s">
        <v>188</v>
      </c>
      <c r="BM391" t="s">
        <v>7915</v>
      </c>
      <c r="BN391">
        <v>26125682</v>
      </c>
      <c r="BO391" t="s">
        <v>908</v>
      </c>
      <c r="BP391" t="s">
        <v>74</v>
      </c>
      <c r="BQ391" t="s">
        <v>74</v>
      </c>
      <c r="BR391" t="s">
        <v>103</v>
      </c>
      <c r="BS391" t="s">
        <v>7916</v>
      </c>
      <c r="BT391" t="str">
        <f>HYPERLINK("https%3A%2F%2Fwww.webofscience.com%2Fwos%2Fwoscc%2Ffull-record%2FWOS:000360019500017","View Full Record in Web of Science")</f>
        <v>View Full Record in Web of Science</v>
      </c>
    </row>
    <row r="392" spans="1:72" x14ac:dyDescent="0.15">
      <c r="A392" t="s">
        <v>72</v>
      </c>
      <c r="B392" t="s">
        <v>7917</v>
      </c>
      <c r="C392" t="s">
        <v>74</v>
      </c>
      <c r="D392" t="s">
        <v>74</v>
      </c>
      <c r="E392" t="s">
        <v>74</v>
      </c>
      <c r="F392" t="s">
        <v>7918</v>
      </c>
      <c r="G392" t="s">
        <v>74</v>
      </c>
      <c r="H392" t="s">
        <v>74</v>
      </c>
      <c r="I392" t="s">
        <v>7919</v>
      </c>
      <c r="J392" t="s">
        <v>7920</v>
      </c>
      <c r="K392" t="s">
        <v>74</v>
      </c>
      <c r="L392" t="s">
        <v>74</v>
      </c>
      <c r="M392" t="s">
        <v>78</v>
      </c>
      <c r="N392" t="s">
        <v>79</v>
      </c>
      <c r="O392" t="s">
        <v>74</v>
      </c>
      <c r="P392" t="s">
        <v>74</v>
      </c>
      <c r="Q392" t="s">
        <v>74</v>
      </c>
      <c r="R392" t="s">
        <v>74</v>
      </c>
      <c r="S392" t="s">
        <v>74</v>
      </c>
      <c r="T392" t="s">
        <v>74</v>
      </c>
      <c r="U392" t="s">
        <v>7921</v>
      </c>
      <c r="V392" t="s">
        <v>7922</v>
      </c>
      <c r="W392" t="s">
        <v>7923</v>
      </c>
      <c r="X392" t="s">
        <v>7924</v>
      </c>
      <c r="Y392" t="s">
        <v>7925</v>
      </c>
      <c r="Z392" t="s">
        <v>7926</v>
      </c>
      <c r="AA392" t="s">
        <v>7927</v>
      </c>
      <c r="AB392" t="s">
        <v>7928</v>
      </c>
      <c r="AC392" t="s">
        <v>7929</v>
      </c>
      <c r="AD392" t="s">
        <v>7930</v>
      </c>
      <c r="AE392" t="s">
        <v>7931</v>
      </c>
      <c r="AF392" t="s">
        <v>74</v>
      </c>
      <c r="AG392">
        <v>35</v>
      </c>
      <c r="AH392">
        <v>16</v>
      </c>
      <c r="AI392">
        <v>18</v>
      </c>
      <c r="AJ392">
        <v>3</v>
      </c>
      <c r="AK392">
        <v>30</v>
      </c>
      <c r="AL392" t="s">
        <v>306</v>
      </c>
      <c r="AM392" t="s">
        <v>307</v>
      </c>
      <c r="AN392" t="s">
        <v>308</v>
      </c>
      <c r="AO392" t="s">
        <v>74</v>
      </c>
      <c r="AP392" t="s">
        <v>7932</v>
      </c>
      <c r="AQ392" t="s">
        <v>74</v>
      </c>
      <c r="AR392" t="s">
        <v>7933</v>
      </c>
      <c r="AS392" t="s">
        <v>7934</v>
      </c>
      <c r="AT392" t="s">
        <v>6261</v>
      </c>
      <c r="AU392">
        <v>2015</v>
      </c>
      <c r="AV392">
        <v>7</v>
      </c>
      <c r="AW392">
        <v>3</v>
      </c>
      <c r="AX392" t="s">
        <v>74</v>
      </c>
      <c r="AY392" t="s">
        <v>74</v>
      </c>
      <c r="AZ392" t="s">
        <v>74</v>
      </c>
      <c r="BA392" t="s">
        <v>74</v>
      </c>
      <c r="BB392">
        <v>1189</v>
      </c>
      <c r="BC392">
        <v>1206</v>
      </c>
      <c r="BD392" t="s">
        <v>74</v>
      </c>
      <c r="BE392" t="s">
        <v>7935</v>
      </c>
      <c r="BF392" t="str">
        <f>HYPERLINK("http://dx.doi.org/10.1002/2015MS000436","http://dx.doi.org/10.1002/2015MS000436")</f>
        <v>http://dx.doi.org/10.1002/2015MS000436</v>
      </c>
      <c r="BG392" t="s">
        <v>74</v>
      </c>
      <c r="BH392" t="s">
        <v>74</v>
      </c>
      <c r="BI392">
        <v>18</v>
      </c>
      <c r="BJ392" t="s">
        <v>271</v>
      </c>
      <c r="BK392" t="s">
        <v>101</v>
      </c>
      <c r="BL392" t="s">
        <v>271</v>
      </c>
      <c r="BM392" t="s">
        <v>7936</v>
      </c>
      <c r="BN392" t="s">
        <v>74</v>
      </c>
      <c r="BO392" t="s">
        <v>1404</v>
      </c>
      <c r="BP392" t="s">
        <v>74</v>
      </c>
      <c r="BQ392" t="s">
        <v>74</v>
      </c>
      <c r="BR392" t="s">
        <v>103</v>
      </c>
      <c r="BS392" t="s">
        <v>7937</v>
      </c>
      <c r="BT392" t="str">
        <f>HYPERLINK("https%3A%2F%2Fwww.webofscience.com%2Fwos%2Fwoscc%2Ffull-record%2FWOS:000363278200012","View Full Record in Web of Science")</f>
        <v>View Full Record in Web of Science</v>
      </c>
    </row>
    <row r="393" spans="1:72" x14ac:dyDescent="0.15">
      <c r="A393" t="s">
        <v>72</v>
      </c>
      <c r="B393" t="s">
        <v>7938</v>
      </c>
      <c r="C393" t="s">
        <v>74</v>
      </c>
      <c r="D393" t="s">
        <v>74</v>
      </c>
      <c r="E393" t="s">
        <v>74</v>
      </c>
      <c r="F393" t="s">
        <v>7939</v>
      </c>
      <c r="G393" t="s">
        <v>74</v>
      </c>
      <c r="H393" t="s">
        <v>74</v>
      </c>
      <c r="I393" t="s">
        <v>7940</v>
      </c>
      <c r="J393" t="s">
        <v>7633</v>
      </c>
      <c r="K393" t="s">
        <v>74</v>
      </c>
      <c r="L393" t="s">
        <v>74</v>
      </c>
      <c r="M393" t="s">
        <v>78</v>
      </c>
      <c r="N393" t="s">
        <v>79</v>
      </c>
      <c r="O393" t="s">
        <v>74</v>
      </c>
      <c r="P393" t="s">
        <v>74</v>
      </c>
      <c r="Q393" t="s">
        <v>74</v>
      </c>
      <c r="R393" t="s">
        <v>74</v>
      </c>
      <c r="S393" t="s">
        <v>74</v>
      </c>
      <c r="T393" t="s">
        <v>7941</v>
      </c>
      <c r="U393" t="s">
        <v>7942</v>
      </c>
      <c r="V393" t="s">
        <v>7943</v>
      </c>
      <c r="W393" t="s">
        <v>7944</v>
      </c>
      <c r="X393" t="s">
        <v>7945</v>
      </c>
      <c r="Y393" t="s">
        <v>7946</v>
      </c>
      <c r="Z393" t="s">
        <v>7947</v>
      </c>
      <c r="AA393" t="s">
        <v>7948</v>
      </c>
      <c r="AB393" t="s">
        <v>7949</v>
      </c>
      <c r="AC393" t="s">
        <v>7950</v>
      </c>
      <c r="AD393" t="s">
        <v>7951</v>
      </c>
      <c r="AE393" t="s">
        <v>7952</v>
      </c>
      <c r="AF393" t="s">
        <v>74</v>
      </c>
      <c r="AG393">
        <v>63</v>
      </c>
      <c r="AH393">
        <v>39</v>
      </c>
      <c r="AI393">
        <v>47</v>
      </c>
      <c r="AJ393">
        <v>2</v>
      </c>
      <c r="AK393">
        <v>219</v>
      </c>
      <c r="AL393" t="s">
        <v>208</v>
      </c>
      <c r="AM393" t="s">
        <v>209</v>
      </c>
      <c r="AN393" t="s">
        <v>210</v>
      </c>
      <c r="AO393" t="s">
        <v>7645</v>
      </c>
      <c r="AP393" t="s">
        <v>7646</v>
      </c>
      <c r="AQ393" t="s">
        <v>74</v>
      </c>
      <c r="AR393" t="s">
        <v>7647</v>
      </c>
      <c r="AS393" t="s">
        <v>7648</v>
      </c>
      <c r="AT393" t="s">
        <v>6261</v>
      </c>
      <c r="AU393">
        <v>2015</v>
      </c>
      <c r="AV393">
        <v>42</v>
      </c>
      <c r="AW393">
        <v>9</v>
      </c>
      <c r="AX393" t="s">
        <v>74</v>
      </c>
      <c r="AY393" t="s">
        <v>74</v>
      </c>
      <c r="AZ393" t="s">
        <v>74</v>
      </c>
      <c r="BA393" t="s">
        <v>74</v>
      </c>
      <c r="BB393">
        <v>1651</v>
      </c>
      <c r="BC393">
        <v>1664</v>
      </c>
      <c r="BD393" t="s">
        <v>74</v>
      </c>
      <c r="BE393" t="s">
        <v>7953</v>
      </c>
      <c r="BF393" t="str">
        <f>HYPERLINK("http://dx.doi.org/10.1111/jbi.12541","http://dx.doi.org/10.1111/jbi.12541")</f>
        <v>http://dx.doi.org/10.1111/jbi.12541</v>
      </c>
      <c r="BG393" t="s">
        <v>74</v>
      </c>
      <c r="BH393" t="s">
        <v>74</v>
      </c>
      <c r="BI393">
        <v>14</v>
      </c>
      <c r="BJ393" t="s">
        <v>7650</v>
      </c>
      <c r="BK393" t="s">
        <v>101</v>
      </c>
      <c r="BL393" t="s">
        <v>7651</v>
      </c>
      <c r="BM393" t="s">
        <v>7652</v>
      </c>
      <c r="BN393" t="s">
        <v>74</v>
      </c>
      <c r="BO393" t="s">
        <v>290</v>
      </c>
      <c r="BP393" t="s">
        <v>74</v>
      </c>
      <c r="BQ393" t="s">
        <v>74</v>
      </c>
      <c r="BR393" t="s">
        <v>103</v>
      </c>
      <c r="BS393" t="s">
        <v>7954</v>
      </c>
      <c r="BT393" t="str">
        <f>HYPERLINK("https%3A%2F%2Fwww.webofscience.com%2Fwos%2Fwoscc%2Ffull-record%2FWOS:000359376600007","View Full Record in Web of Science")</f>
        <v>View Full Record in Web of Science</v>
      </c>
    </row>
    <row r="394" spans="1:72" x14ac:dyDescent="0.15">
      <c r="A394" t="s">
        <v>72</v>
      </c>
      <c r="B394" t="s">
        <v>7955</v>
      </c>
      <c r="C394" t="s">
        <v>74</v>
      </c>
      <c r="D394" t="s">
        <v>74</v>
      </c>
      <c r="E394" t="s">
        <v>74</v>
      </c>
      <c r="F394" t="s">
        <v>7956</v>
      </c>
      <c r="G394" t="s">
        <v>74</v>
      </c>
      <c r="H394" t="s">
        <v>74</v>
      </c>
      <c r="I394" t="s">
        <v>7957</v>
      </c>
      <c r="J394" t="s">
        <v>250</v>
      </c>
      <c r="K394" t="s">
        <v>74</v>
      </c>
      <c r="L394" t="s">
        <v>74</v>
      </c>
      <c r="M394" t="s">
        <v>78</v>
      </c>
      <c r="N394" t="s">
        <v>79</v>
      </c>
      <c r="O394" t="s">
        <v>74</v>
      </c>
      <c r="P394" t="s">
        <v>74</v>
      </c>
      <c r="Q394" t="s">
        <v>74</v>
      </c>
      <c r="R394" t="s">
        <v>74</v>
      </c>
      <c r="S394" t="s">
        <v>74</v>
      </c>
      <c r="T394" t="s">
        <v>7958</v>
      </c>
      <c r="U394" t="s">
        <v>7959</v>
      </c>
      <c r="V394" t="s">
        <v>7960</v>
      </c>
      <c r="W394" t="s">
        <v>7961</v>
      </c>
      <c r="X394" t="s">
        <v>7962</v>
      </c>
      <c r="Y394" t="s">
        <v>256</v>
      </c>
      <c r="Z394" t="s">
        <v>257</v>
      </c>
      <c r="AA394" t="s">
        <v>7963</v>
      </c>
      <c r="AB394" t="s">
        <v>7964</v>
      </c>
      <c r="AC394" t="s">
        <v>7965</v>
      </c>
      <c r="AD394" t="s">
        <v>7966</v>
      </c>
      <c r="AE394" t="s">
        <v>7967</v>
      </c>
      <c r="AF394" t="s">
        <v>74</v>
      </c>
      <c r="AG394">
        <v>86</v>
      </c>
      <c r="AH394">
        <v>47</v>
      </c>
      <c r="AI394">
        <v>50</v>
      </c>
      <c r="AJ394">
        <v>3</v>
      </c>
      <c r="AK394">
        <v>48</v>
      </c>
      <c r="AL394" t="s">
        <v>263</v>
      </c>
      <c r="AM394" t="s">
        <v>264</v>
      </c>
      <c r="AN394" t="s">
        <v>265</v>
      </c>
      <c r="AO394" t="s">
        <v>266</v>
      </c>
      <c r="AP394" t="s">
        <v>267</v>
      </c>
      <c r="AQ394" t="s">
        <v>74</v>
      </c>
      <c r="AR394" t="s">
        <v>268</v>
      </c>
      <c r="AS394" t="s">
        <v>269</v>
      </c>
      <c r="AT394" t="s">
        <v>6261</v>
      </c>
      <c r="AU394">
        <v>2015</v>
      </c>
      <c r="AV394">
        <v>28</v>
      </c>
      <c r="AW394">
        <v>17</v>
      </c>
      <c r="AX394" t="s">
        <v>74</v>
      </c>
      <c r="AY394" t="s">
        <v>74</v>
      </c>
      <c r="AZ394" t="s">
        <v>74</v>
      </c>
      <c r="BA394" t="s">
        <v>74</v>
      </c>
      <c r="BB394">
        <v>6859</v>
      </c>
      <c r="BC394">
        <v>6881</v>
      </c>
      <c r="BD394" t="s">
        <v>74</v>
      </c>
      <c r="BE394" t="s">
        <v>7968</v>
      </c>
      <c r="BF394" t="str">
        <f>HYPERLINK("http://dx.doi.org/10.1175/JCLI-D-14-00515.1","http://dx.doi.org/10.1175/JCLI-D-14-00515.1")</f>
        <v>http://dx.doi.org/10.1175/JCLI-D-14-00515.1</v>
      </c>
      <c r="BG394" t="s">
        <v>74</v>
      </c>
      <c r="BH394" t="s">
        <v>74</v>
      </c>
      <c r="BI394">
        <v>23</v>
      </c>
      <c r="BJ394" t="s">
        <v>271</v>
      </c>
      <c r="BK394" t="s">
        <v>101</v>
      </c>
      <c r="BL394" t="s">
        <v>271</v>
      </c>
      <c r="BM394" t="s">
        <v>7969</v>
      </c>
      <c r="BN394" t="s">
        <v>74</v>
      </c>
      <c r="BO394" t="s">
        <v>1235</v>
      </c>
      <c r="BP394" t="s">
        <v>74</v>
      </c>
      <c r="BQ394" t="s">
        <v>74</v>
      </c>
      <c r="BR394" t="s">
        <v>103</v>
      </c>
      <c r="BS394" t="s">
        <v>7970</v>
      </c>
      <c r="BT394" t="str">
        <f>HYPERLINK("https%3A%2F%2Fwww.webofscience.com%2Fwos%2Fwoscc%2Ffull-record%2FWOS:000360590700015","View Full Record in Web of Science")</f>
        <v>View Full Record in Web of Science</v>
      </c>
    </row>
    <row r="395" spans="1:72" x14ac:dyDescent="0.15">
      <c r="A395" t="s">
        <v>72</v>
      </c>
      <c r="B395" t="s">
        <v>7971</v>
      </c>
      <c r="C395" t="s">
        <v>74</v>
      </c>
      <c r="D395" t="s">
        <v>74</v>
      </c>
      <c r="E395" t="s">
        <v>74</v>
      </c>
      <c r="F395" t="s">
        <v>7972</v>
      </c>
      <c r="G395" t="s">
        <v>74</v>
      </c>
      <c r="H395" t="s">
        <v>74</v>
      </c>
      <c r="I395" t="s">
        <v>7973</v>
      </c>
      <c r="J395" t="s">
        <v>250</v>
      </c>
      <c r="K395" t="s">
        <v>74</v>
      </c>
      <c r="L395" t="s">
        <v>74</v>
      </c>
      <c r="M395" t="s">
        <v>78</v>
      </c>
      <c r="N395" t="s">
        <v>79</v>
      </c>
      <c r="O395" t="s">
        <v>74</v>
      </c>
      <c r="P395" t="s">
        <v>74</v>
      </c>
      <c r="Q395" t="s">
        <v>74</v>
      </c>
      <c r="R395" t="s">
        <v>74</v>
      </c>
      <c r="S395" t="s">
        <v>74</v>
      </c>
      <c r="T395" t="s">
        <v>74</v>
      </c>
      <c r="U395" t="s">
        <v>7974</v>
      </c>
      <c r="V395" t="s">
        <v>7975</v>
      </c>
      <c r="W395" t="s">
        <v>7976</v>
      </c>
      <c r="X395" t="s">
        <v>7977</v>
      </c>
      <c r="Y395" t="s">
        <v>7978</v>
      </c>
      <c r="Z395" t="s">
        <v>7979</v>
      </c>
      <c r="AA395" t="s">
        <v>7980</v>
      </c>
      <c r="AB395" t="s">
        <v>7981</v>
      </c>
      <c r="AC395" t="s">
        <v>7982</v>
      </c>
      <c r="AD395" t="s">
        <v>7982</v>
      </c>
      <c r="AE395" t="s">
        <v>7983</v>
      </c>
      <c r="AF395" t="s">
        <v>74</v>
      </c>
      <c r="AG395">
        <v>52</v>
      </c>
      <c r="AH395">
        <v>56</v>
      </c>
      <c r="AI395">
        <v>60</v>
      </c>
      <c r="AJ395">
        <v>1</v>
      </c>
      <c r="AK395">
        <v>31</v>
      </c>
      <c r="AL395" t="s">
        <v>263</v>
      </c>
      <c r="AM395" t="s">
        <v>264</v>
      </c>
      <c r="AN395" t="s">
        <v>265</v>
      </c>
      <c r="AO395" t="s">
        <v>266</v>
      </c>
      <c r="AP395" t="s">
        <v>267</v>
      </c>
      <c r="AQ395" t="s">
        <v>74</v>
      </c>
      <c r="AR395" t="s">
        <v>268</v>
      </c>
      <c r="AS395" t="s">
        <v>269</v>
      </c>
      <c r="AT395" t="s">
        <v>6261</v>
      </c>
      <c r="AU395">
        <v>2015</v>
      </c>
      <c r="AV395">
        <v>28</v>
      </c>
      <c r="AW395">
        <v>18</v>
      </c>
      <c r="AX395" t="s">
        <v>74</v>
      </c>
      <c r="AY395" t="s">
        <v>74</v>
      </c>
      <c r="AZ395" t="s">
        <v>74</v>
      </c>
      <c r="BA395" t="s">
        <v>74</v>
      </c>
      <c r="BB395">
        <v>7306</v>
      </c>
      <c r="BC395">
        <v>7326</v>
      </c>
      <c r="BD395" t="s">
        <v>74</v>
      </c>
      <c r="BE395" t="s">
        <v>7984</v>
      </c>
      <c r="BF395" t="str">
        <f>HYPERLINK("http://dx.doi.org/10.1175/JCLI-D-15-0060.1","http://dx.doi.org/10.1175/JCLI-D-15-0060.1")</f>
        <v>http://dx.doi.org/10.1175/JCLI-D-15-0060.1</v>
      </c>
      <c r="BG395" t="s">
        <v>74</v>
      </c>
      <c r="BH395" t="s">
        <v>74</v>
      </c>
      <c r="BI395">
        <v>21</v>
      </c>
      <c r="BJ395" t="s">
        <v>271</v>
      </c>
      <c r="BK395" t="s">
        <v>101</v>
      </c>
      <c r="BL395" t="s">
        <v>271</v>
      </c>
      <c r="BM395" t="s">
        <v>7132</v>
      </c>
      <c r="BN395" t="s">
        <v>74</v>
      </c>
      <c r="BO395" t="s">
        <v>7985</v>
      </c>
      <c r="BP395" t="s">
        <v>74</v>
      </c>
      <c r="BQ395" t="s">
        <v>74</v>
      </c>
      <c r="BR395" t="s">
        <v>103</v>
      </c>
      <c r="BS395" t="s">
        <v>7986</v>
      </c>
      <c r="BT395" t="str">
        <f>HYPERLINK("https%3A%2F%2Fwww.webofscience.com%2Fwos%2Fwoscc%2Ffull-record%2FWOS:000361036800019","View Full Record in Web of Science")</f>
        <v>View Full Record in Web of Science</v>
      </c>
    </row>
    <row r="396" spans="1:72" x14ac:dyDescent="0.15">
      <c r="A396" t="s">
        <v>72</v>
      </c>
      <c r="B396" t="s">
        <v>7987</v>
      </c>
      <c r="C396" t="s">
        <v>74</v>
      </c>
      <c r="D396" t="s">
        <v>74</v>
      </c>
      <c r="E396" t="s">
        <v>74</v>
      </c>
      <c r="F396" t="s">
        <v>7988</v>
      </c>
      <c r="G396" t="s">
        <v>74</v>
      </c>
      <c r="H396" t="s">
        <v>74</v>
      </c>
      <c r="I396" t="s">
        <v>7989</v>
      </c>
      <c r="J396" t="s">
        <v>7990</v>
      </c>
      <c r="K396" t="s">
        <v>74</v>
      </c>
      <c r="L396" t="s">
        <v>74</v>
      </c>
      <c r="M396" t="s">
        <v>78</v>
      </c>
      <c r="N396" t="s">
        <v>79</v>
      </c>
      <c r="O396" t="s">
        <v>74</v>
      </c>
      <c r="P396" t="s">
        <v>74</v>
      </c>
      <c r="Q396" t="s">
        <v>74</v>
      </c>
      <c r="R396" t="s">
        <v>74</v>
      </c>
      <c r="S396" t="s">
        <v>74</v>
      </c>
      <c r="T396" t="s">
        <v>7991</v>
      </c>
      <c r="U396" t="s">
        <v>7992</v>
      </c>
      <c r="V396" t="s">
        <v>7993</v>
      </c>
      <c r="W396" t="s">
        <v>7994</v>
      </c>
      <c r="X396" t="s">
        <v>7995</v>
      </c>
      <c r="Y396" t="s">
        <v>7996</v>
      </c>
      <c r="Z396" t="s">
        <v>7997</v>
      </c>
      <c r="AA396" t="s">
        <v>74</v>
      </c>
      <c r="AB396" t="s">
        <v>74</v>
      </c>
      <c r="AC396" t="s">
        <v>7998</v>
      </c>
      <c r="AD396" t="s">
        <v>7999</v>
      </c>
      <c r="AE396" t="s">
        <v>8000</v>
      </c>
      <c r="AF396" t="s">
        <v>74</v>
      </c>
      <c r="AG396">
        <v>52</v>
      </c>
      <c r="AH396">
        <v>90</v>
      </c>
      <c r="AI396">
        <v>111</v>
      </c>
      <c r="AJ396">
        <v>0</v>
      </c>
      <c r="AK396">
        <v>22</v>
      </c>
      <c r="AL396" t="s">
        <v>3231</v>
      </c>
      <c r="AM396" t="s">
        <v>3232</v>
      </c>
      <c r="AN396" t="s">
        <v>3233</v>
      </c>
      <c r="AO396" t="s">
        <v>8001</v>
      </c>
      <c r="AP396" t="s">
        <v>8002</v>
      </c>
      <c r="AQ396" t="s">
        <v>74</v>
      </c>
      <c r="AR396" t="s">
        <v>8003</v>
      </c>
      <c r="AS396" t="s">
        <v>8004</v>
      </c>
      <c r="AT396" t="s">
        <v>6441</v>
      </c>
      <c r="AU396">
        <v>2015</v>
      </c>
      <c r="AV396">
        <v>296</v>
      </c>
      <c r="AW396" t="s">
        <v>74</v>
      </c>
      <c r="AX396" t="s">
        <v>74</v>
      </c>
      <c r="AY396" t="s">
        <v>74</v>
      </c>
      <c r="AZ396" t="s">
        <v>74</v>
      </c>
      <c r="BA396" t="s">
        <v>74</v>
      </c>
      <c r="BB396">
        <v>348</v>
      </c>
      <c r="BC396">
        <v>368</v>
      </c>
      <c r="BD396" t="s">
        <v>74</v>
      </c>
      <c r="BE396" t="s">
        <v>8005</v>
      </c>
      <c r="BF396" t="str">
        <f>HYPERLINK("http://dx.doi.org/10.1016/j.jcp.2015.04.047","http://dx.doi.org/10.1016/j.jcp.2015.04.047")</f>
        <v>http://dx.doi.org/10.1016/j.jcp.2015.04.047</v>
      </c>
      <c r="BG396" t="s">
        <v>74</v>
      </c>
      <c r="BH396" t="s">
        <v>74</v>
      </c>
      <c r="BI396">
        <v>21</v>
      </c>
      <c r="BJ396" t="s">
        <v>8006</v>
      </c>
      <c r="BK396" t="s">
        <v>101</v>
      </c>
      <c r="BL396" t="s">
        <v>8007</v>
      </c>
      <c r="BM396" t="s">
        <v>8008</v>
      </c>
      <c r="BN396" t="s">
        <v>74</v>
      </c>
      <c r="BO396" t="s">
        <v>2311</v>
      </c>
      <c r="BP396" t="s">
        <v>74</v>
      </c>
      <c r="BQ396" t="s">
        <v>74</v>
      </c>
      <c r="BR396" t="s">
        <v>103</v>
      </c>
      <c r="BS396" t="s">
        <v>8009</v>
      </c>
      <c r="BT396" t="str">
        <f>HYPERLINK("https%3A%2F%2Fwww.webofscience.com%2Fwos%2Fwoscc%2Ffull-record%2FWOS:000354873900017","View Full Record in Web of Science")</f>
        <v>View Full Record in Web of Science</v>
      </c>
    </row>
    <row r="397" spans="1:72" x14ac:dyDescent="0.15">
      <c r="A397" t="s">
        <v>72</v>
      </c>
      <c r="B397" t="s">
        <v>8010</v>
      </c>
      <c r="C397" t="s">
        <v>74</v>
      </c>
      <c r="D397" t="s">
        <v>74</v>
      </c>
      <c r="E397" t="s">
        <v>74</v>
      </c>
      <c r="F397" t="s">
        <v>8011</v>
      </c>
      <c r="G397" t="s">
        <v>74</v>
      </c>
      <c r="H397" t="s">
        <v>74</v>
      </c>
      <c r="I397" t="s">
        <v>8012</v>
      </c>
      <c r="J397" t="s">
        <v>295</v>
      </c>
      <c r="K397" t="s">
        <v>74</v>
      </c>
      <c r="L397" t="s">
        <v>74</v>
      </c>
      <c r="M397" t="s">
        <v>78</v>
      </c>
      <c r="N397" t="s">
        <v>79</v>
      </c>
      <c r="O397" t="s">
        <v>74</v>
      </c>
      <c r="P397" t="s">
        <v>74</v>
      </c>
      <c r="Q397" t="s">
        <v>74</v>
      </c>
      <c r="R397" t="s">
        <v>74</v>
      </c>
      <c r="S397" t="s">
        <v>74</v>
      </c>
      <c r="T397" t="s">
        <v>8013</v>
      </c>
      <c r="U397" t="s">
        <v>8014</v>
      </c>
      <c r="V397" t="s">
        <v>8015</v>
      </c>
      <c r="W397" t="s">
        <v>8016</v>
      </c>
      <c r="X397" t="s">
        <v>8017</v>
      </c>
      <c r="Y397" t="s">
        <v>8018</v>
      </c>
      <c r="Z397" t="s">
        <v>8019</v>
      </c>
      <c r="AA397" t="s">
        <v>8020</v>
      </c>
      <c r="AB397" t="s">
        <v>8021</v>
      </c>
      <c r="AC397" t="s">
        <v>8022</v>
      </c>
      <c r="AD397" t="s">
        <v>8023</v>
      </c>
      <c r="AE397" t="s">
        <v>8024</v>
      </c>
      <c r="AF397" t="s">
        <v>74</v>
      </c>
      <c r="AG397">
        <v>37</v>
      </c>
      <c r="AH397">
        <v>33</v>
      </c>
      <c r="AI397">
        <v>35</v>
      </c>
      <c r="AJ397">
        <v>1</v>
      </c>
      <c r="AK397">
        <v>15</v>
      </c>
      <c r="AL397" t="s">
        <v>306</v>
      </c>
      <c r="AM397" t="s">
        <v>307</v>
      </c>
      <c r="AN397" t="s">
        <v>308</v>
      </c>
      <c r="AO397" t="s">
        <v>309</v>
      </c>
      <c r="AP397" t="s">
        <v>310</v>
      </c>
      <c r="AQ397" t="s">
        <v>74</v>
      </c>
      <c r="AR397" t="s">
        <v>311</v>
      </c>
      <c r="AS397" t="s">
        <v>312</v>
      </c>
      <c r="AT397" t="s">
        <v>6261</v>
      </c>
      <c r="AU397">
        <v>2015</v>
      </c>
      <c r="AV397">
        <v>120</v>
      </c>
      <c r="AW397">
        <v>9</v>
      </c>
      <c r="AX397" t="s">
        <v>74</v>
      </c>
      <c r="AY397" t="s">
        <v>74</v>
      </c>
      <c r="AZ397" t="s">
        <v>74</v>
      </c>
      <c r="BA397" t="s">
        <v>74</v>
      </c>
      <c r="BB397">
        <v>1611</v>
      </c>
      <c r="BC397">
        <v>1625</v>
      </c>
      <c r="BD397" t="s">
        <v>74</v>
      </c>
      <c r="BE397" t="s">
        <v>8025</v>
      </c>
      <c r="BF397" t="str">
        <f>HYPERLINK("http://dx.doi.org/10.1002/2015JF003518","http://dx.doi.org/10.1002/2015JF003518")</f>
        <v>http://dx.doi.org/10.1002/2015JF003518</v>
      </c>
      <c r="BG397" t="s">
        <v>74</v>
      </c>
      <c r="BH397" t="s">
        <v>74</v>
      </c>
      <c r="BI397">
        <v>15</v>
      </c>
      <c r="BJ397" t="s">
        <v>314</v>
      </c>
      <c r="BK397" t="s">
        <v>101</v>
      </c>
      <c r="BL397" t="s">
        <v>315</v>
      </c>
      <c r="BM397" t="s">
        <v>8026</v>
      </c>
      <c r="BN397" t="s">
        <v>74</v>
      </c>
      <c r="BO397" t="s">
        <v>8027</v>
      </c>
      <c r="BP397" t="s">
        <v>74</v>
      </c>
      <c r="BQ397" t="s">
        <v>74</v>
      </c>
      <c r="BR397" t="s">
        <v>103</v>
      </c>
      <c r="BS397" t="s">
        <v>8028</v>
      </c>
      <c r="BT397" t="str">
        <f>HYPERLINK("https%3A%2F%2Fwww.webofscience.com%2Fwos%2Fwoscc%2Ffull-record%2FWOS:000363464200001","View Full Record in Web of Science")</f>
        <v>View Full Record in Web of Science</v>
      </c>
    </row>
    <row r="398" spans="1:72" x14ac:dyDescent="0.15">
      <c r="A398" t="s">
        <v>72</v>
      </c>
      <c r="B398" t="s">
        <v>8029</v>
      </c>
      <c r="C398" t="s">
        <v>74</v>
      </c>
      <c r="D398" t="s">
        <v>74</v>
      </c>
      <c r="E398" t="s">
        <v>74</v>
      </c>
      <c r="F398" t="s">
        <v>8030</v>
      </c>
      <c r="G398" t="s">
        <v>74</v>
      </c>
      <c r="H398" t="s">
        <v>74</v>
      </c>
      <c r="I398" t="s">
        <v>8031</v>
      </c>
      <c r="J398" t="s">
        <v>295</v>
      </c>
      <c r="K398" t="s">
        <v>74</v>
      </c>
      <c r="L398" t="s">
        <v>74</v>
      </c>
      <c r="M398" t="s">
        <v>78</v>
      </c>
      <c r="N398" t="s">
        <v>79</v>
      </c>
      <c r="O398" t="s">
        <v>74</v>
      </c>
      <c r="P398" t="s">
        <v>74</v>
      </c>
      <c r="Q398" t="s">
        <v>74</v>
      </c>
      <c r="R398" t="s">
        <v>74</v>
      </c>
      <c r="S398" t="s">
        <v>74</v>
      </c>
      <c r="T398" t="s">
        <v>8032</v>
      </c>
      <c r="U398" t="s">
        <v>8033</v>
      </c>
      <c r="V398" t="s">
        <v>8034</v>
      </c>
      <c r="W398" t="s">
        <v>8035</v>
      </c>
      <c r="X398" t="s">
        <v>8036</v>
      </c>
      <c r="Y398" t="s">
        <v>8037</v>
      </c>
      <c r="Z398" t="s">
        <v>8038</v>
      </c>
      <c r="AA398" t="s">
        <v>8039</v>
      </c>
      <c r="AB398" t="s">
        <v>74</v>
      </c>
      <c r="AC398" t="s">
        <v>8040</v>
      </c>
      <c r="AD398" t="s">
        <v>8041</v>
      </c>
      <c r="AE398" t="s">
        <v>8042</v>
      </c>
      <c r="AF398" t="s">
        <v>74</v>
      </c>
      <c r="AG398">
        <v>60</v>
      </c>
      <c r="AH398">
        <v>31</v>
      </c>
      <c r="AI398">
        <v>39</v>
      </c>
      <c r="AJ398">
        <v>1</v>
      </c>
      <c r="AK398">
        <v>18</v>
      </c>
      <c r="AL398" t="s">
        <v>306</v>
      </c>
      <c r="AM398" t="s">
        <v>307</v>
      </c>
      <c r="AN398" t="s">
        <v>308</v>
      </c>
      <c r="AO398" t="s">
        <v>309</v>
      </c>
      <c r="AP398" t="s">
        <v>310</v>
      </c>
      <c r="AQ398" t="s">
        <v>74</v>
      </c>
      <c r="AR398" t="s">
        <v>311</v>
      </c>
      <c r="AS398" t="s">
        <v>312</v>
      </c>
      <c r="AT398" t="s">
        <v>6261</v>
      </c>
      <c r="AU398">
        <v>2015</v>
      </c>
      <c r="AV398">
        <v>120</v>
      </c>
      <c r="AW398">
        <v>9</v>
      </c>
      <c r="AX398" t="s">
        <v>74</v>
      </c>
      <c r="AY398" t="s">
        <v>74</v>
      </c>
      <c r="AZ398" t="s">
        <v>74</v>
      </c>
      <c r="BA398" t="s">
        <v>74</v>
      </c>
      <c r="BB398">
        <v>1841</v>
      </c>
      <c r="BC398">
        <v>1865</v>
      </c>
      <c r="BD398" t="s">
        <v>74</v>
      </c>
      <c r="BE398" t="s">
        <v>8043</v>
      </c>
      <c r="BF398" t="str">
        <f>HYPERLINK("http://dx.doi.org/10.1002/2015JF003580","http://dx.doi.org/10.1002/2015JF003580")</f>
        <v>http://dx.doi.org/10.1002/2015JF003580</v>
      </c>
      <c r="BG398" t="s">
        <v>74</v>
      </c>
      <c r="BH398" t="s">
        <v>74</v>
      </c>
      <c r="BI398">
        <v>25</v>
      </c>
      <c r="BJ398" t="s">
        <v>314</v>
      </c>
      <c r="BK398" t="s">
        <v>101</v>
      </c>
      <c r="BL398" t="s">
        <v>315</v>
      </c>
      <c r="BM398" t="s">
        <v>8026</v>
      </c>
      <c r="BN398" t="s">
        <v>74</v>
      </c>
      <c r="BO398" t="s">
        <v>1235</v>
      </c>
      <c r="BP398" t="s">
        <v>74</v>
      </c>
      <c r="BQ398" t="s">
        <v>74</v>
      </c>
      <c r="BR398" t="s">
        <v>103</v>
      </c>
      <c r="BS398" t="s">
        <v>8044</v>
      </c>
      <c r="BT398" t="str">
        <f>HYPERLINK("https%3A%2F%2Fwww.webofscience.com%2Fwos%2Fwoscc%2Ffull-record%2FWOS:000363464200013","View Full Record in Web of Science")</f>
        <v>View Full Record in Web of Science</v>
      </c>
    </row>
    <row r="399" spans="1:72" x14ac:dyDescent="0.15">
      <c r="A399" t="s">
        <v>72</v>
      </c>
      <c r="B399" t="s">
        <v>8045</v>
      </c>
      <c r="C399" t="s">
        <v>74</v>
      </c>
      <c r="D399" t="s">
        <v>74</v>
      </c>
      <c r="E399" t="s">
        <v>74</v>
      </c>
      <c r="F399" t="s">
        <v>8046</v>
      </c>
      <c r="G399" t="s">
        <v>74</v>
      </c>
      <c r="H399" t="s">
        <v>74</v>
      </c>
      <c r="I399" t="s">
        <v>8047</v>
      </c>
      <c r="J399" t="s">
        <v>295</v>
      </c>
      <c r="K399" t="s">
        <v>74</v>
      </c>
      <c r="L399" t="s">
        <v>74</v>
      </c>
      <c r="M399" t="s">
        <v>78</v>
      </c>
      <c r="N399" t="s">
        <v>79</v>
      </c>
      <c r="O399" t="s">
        <v>74</v>
      </c>
      <c r="P399" t="s">
        <v>74</v>
      </c>
      <c r="Q399" t="s">
        <v>74</v>
      </c>
      <c r="R399" t="s">
        <v>74</v>
      </c>
      <c r="S399" t="s">
        <v>74</v>
      </c>
      <c r="T399" t="s">
        <v>8048</v>
      </c>
      <c r="U399" t="s">
        <v>8049</v>
      </c>
      <c r="V399" t="s">
        <v>8050</v>
      </c>
      <c r="W399" t="s">
        <v>8051</v>
      </c>
      <c r="X399" t="s">
        <v>8052</v>
      </c>
      <c r="Y399" t="s">
        <v>8053</v>
      </c>
      <c r="Z399" t="s">
        <v>8054</v>
      </c>
      <c r="AA399" t="s">
        <v>8055</v>
      </c>
      <c r="AB399" t="s">
        <v>8056</v>
      </c>
      <c r="AC399" t="s">
        <v>8057</v>
      </c>
      <c r="AD399" t="s">
        <v>8058</v>
      </c>
      <c r="AE399" t="s">
        <v>8059</v>
      </c>
      <c r="AF399" t="s">
        <v>74</v>
      </c>
      <c r="AG399">
        <v>46</v>
      </c>
      <c r="AH399">
        <v>35</v>
      </c>
      <c r="AI399">
        <v>41</v>
      </c>
      <c r="AJ399">
        <v>0</v>
      </c>
      <c r="AK399">
        <v>22</v>
      </c>
      <c r="AL399" t="s">
        <v>306</v>
      </c>
      <c r="AM399" t="s">
        <v>307</v>
      </c>
      <c r="AN399" t="s">
        <v>308</v>
      </c>
      <c r="AO399" t="s">
        <v>309</v>
      </c>
      <c r="AP399" t="s">
        <v>310</v>
      </c>
      <c r="AQ399" t="s">
        <v>74</v>
      </c>
      <c r="AR399" t="s">
        <v>311</v>
      </c>
      <c r="AS399" t="s">
        <v>312</v>
      </c>
      <c r="AT399" t="s">
        <v>6261</v>
      </c>
      <c r="AU399">
        <v>2015</v>
      </c>
      <c r="AV399">
        <v>120</v>
      </c>
      <c r="AW399">
        <v>9</v>
      </c>
      <c r="AX399" t="s">
        <v>74</v>
      </c>
      <c r="AY399" t="s">
        <v>74</v>
      </c>
      <c r="AZ399" t="s">
        <v>74</v>
      </c>
      <c r="BA399" t="s">
        <v>74</v>
      </c>
      <c r="BB399">
        <v>1881</v>
      </c>
      <c r="BC399">
        <v>1894</v>
      </c>
      <c r="BD399" t="s">
        <v>74</v>
      </c>
      <c r="BE399" t="s">
        <v>8060</v>
      </c>
      <c r="BF399" t="str">
        <f>HYPERLINK("http://dx.doi.org/10.1002/2015JF003587","http://dx.doi.org/10.1002/2015JF003587")</f>
        <v>http://dx.doi.org/10.1002/2015JF003587</v>
      </c>
      <c r="BG399" t="s">
        <v>74</v>
      </c>
      <c r="BH399" t="s">
        <v>74</v>
      </c>
      <c r="BI399">
        <v>14</v>
      </c>
      <c r="BJ399" t="s">
        <v>314</v>
      </c>
      <c r="BK399" t="s">
        <v>101</v>
      </c>
      <c r="BL399" t="s">
        <v>315</v>
      </c>
      <c r="BM399" t="s">
        <v>8026</v>
      </c>
      <c r="BN399" t="s">
        <v>74</v>
      </c>
      <c r="BO399" t="s">
        <v>1528</v>
      </c>
      <c r="BP399" t="s">
        <v>74</v>
      </c>
      <c r="BQ399" t="s">
        <v>74</v>
      </c>
      <c r="BR399" t="s">
        <v>103</v>
      </c>
      <c r="BS399" t="s">
        <v>8061</v>
      </c>
      <c r="BT399" t="str">
        <f>HYPERLINK("https%3A%2F%2Fwww.webofscience.com%2Fwos%2Fwoscc%2Ffull-record%2FWOS:000363464200015","View Full Record in Web of Science")</f>
        <v>View Full Record in Web of Science</v>
      </c>
    </row>
    <row r="400" spans="1:72" x14ac:dyDescent="0.15">
      <c r="A400" t="s">
        <v>72</v>
      </c>
      <c r="B400" t="s">
        <v>8062</v>
      </c>
      <c r="C400" t="s">
        <v>74</v>
      </c>
      <c r="D400" t="s">
        <v>74</v>
      </c>
      <c r="E400" t="s">
        <v>74</v>
      </c>
      <c r="F400" t="s">
        <v>8063</v>
      </c>
      <c r="G400" t="s">
        <v>74</v>
      </c>
      <c r="H400" t="s">
        <v>74</v>
      </c>
      <c r="I400" t="s">
        <v>8064</v>
      </c>
      <c r="J400" t="s">
        <v>322</v>
      </c>
      <c r="K400" t="s">
        <v>74</v>
      </c>
      <c r="L400" t="s">
        <v>74</v>
      </c>
      <c r="M400" t="s">
        <v>78</v>
      </c>
      <c r="N400" t="s">
        <v>79</v>
      </c>
      <c r="O400" t="s">
        <v>74</v>
      </c>
      <c r="P400" t="s">
        <v>74</v>
      </c>
      <c r="Q400" t="s">
        <v>74</v>
      </c>
      <c r="R400" t="s">
        <v>74</v>
      </c>
      <c r="S400" t="s">
        <v>74</v>
      </c>
      <c r="T400" t="s">
        <v>8065</v>
      </c>
      <c r="U400" t="s">
        <v>8066</v>
      </c>
      <c r="V400" t="s">
        <v>8067</v>
      </c>
      <c r="W400" t="s">
        <v>8068</v>
      </c>
      <c r="X400" t="s">
        <v>1082</v>
      </c>
      <c r="Y400" t="s">
        <v>8069</v>
      </c>
      <c r="Z400" t="s">
        <v>8070</v>
      </c>
      <c r="AA400" t="s">
        <v>74</v>
      </c>
      <c r="AB400" t="s">
        <v>8071</v>
      </c>
      <c r="AC400" t="s">
        <v>8072</v>
      </c>
      <c r="AD400" t="s">
        <v>8073</v>
      </c>
      <c r="AE400" t="s">
        <v>8074</v>
      </c>
      <c r="AF400" t="s">
        <v>74</v>
      </c>
      <c r="AG400">
        <v>46</v>
      </c>
      <c r="AH400">
        <v>73</v>
      </c>
      <c r="AI400">
        <v>80</v>
      </c>
      <c r="AJ400">
        <v>1</v>
      </c>
      <c r="AK400">
        <v>11</v>
      </c>
      <c r="AL400" t="s">
        <v>306</v>
      </c>
      <c r="AM400" t="s">
        <v>307</v>
      </c>
      <c r="AN400" t="s">
        <v>308</v>
      </c>
      <c r="AO400" t="s">
        <v>334</v>
      </c>
      <c r="AP400" t="s">
        <v>335</v>
      </c>
      <c r="AQ400" t="s">
        <v>74</v>
      </c>
      <c r="AR400" t="s">
        <v>336</v>
      </c>
      <c r="AS400" t="s">
        <v>337</v>
      </c>
      <c r="AT400" t="s">
        <v>6261</v>
      </c>
      <c r="AU400">
        <v>2015</v>
      </c>
      <c r="AV400">
        <v>120</v>
      </c>
      <c r="AW400">
        <v>9</v>
      </c>
      <c r="AX400" t="s">
        <v>74</v>
      </c>
      <c r="AY400" t="s">
        <v>74</v>
      </c>
      <c r="AZ400" t="s">
        <v>74</v>
      </c>
      <c r="BA400" t="s">
        <v>74</v>
      </c>
      <c r="BB400">
        <v>6072</v>
      </c>
      <c r="BC400">
        <v>6090</v>
      </c>
      <c r="BD400" t="s">
        <v>74</v>
      </c>
      <c r="BE400" t="s">
        <v>8075</v>
      </c>
      <c r="BF400" t="str">
        <f>HYPERLINK("http://dx.doi.org/10.1002/2015JC010881","http://dx.doi.org/10.1002/2015JC010881")</f>
        <v>http://dx.doi.org/10.1002/2015JC010881</v>
      </c>
      <c r="BG400" t="s">
        <v>74</v>
      </c>
      <c r="BH400" t="s">
        <v>74</v>
      </c>
      <c r="BI400">
        <v>19</v>
      </c>
      <c r="BJ400" t="s">
        <v>339</v>
      </c>
      <c r="BK400" t="s">
        <v>101</v>
      </c>
      <c r="BL400" t="s">
        <v>339</v>
      </c>
      <c r="BM400" t="s">
        <v>6584</v>
      </c>
      <c r="BN400" t="s">
        <v>74</v>
      </c>
      <c r="BO400" t="s">
        <v>162</v>
      </c>
      <c r="BP400" t="s">
        <v>74</v>
      </c>
      <c r="BQ400" t="s">
        <v>74</v>
      </c>
      <c r="BR400" t="s">
        <v>103</v>
      </c>
      <c r="BS400" t="s">
        <v>8076</v>
      </c>
      <c r="BT400" t="str">
        <f>HYPERLINK("https%3A%2F%2Fwww.webofscience.com%2Fwos%2Fwoscc%2Ffull-record%2FWOS:000363470300011","View Full Record in Web of Science")</f>
        <v>View Full Record in Web of Science</v>
      </c>
    </row>
    <row r="401" spans="1:72" x14ac:dyDescent="0.15">
      <c r="A401" t="s">
        <v>72</v>
      </c>
      <c r="B401" t="s">
        <v>8077</v>
      </c>
      <c r="C401" t="s">
        <v>74</v>
      </c>
      <c r="D401" t="s">
        <v>74</v>
      </c>
      <c r="E401" t="s">
        <v>74</v>
      </c>
      <c r="F401" t="s">
        <v>8078</v>
      </c>
      <c r="G401" t="s">
        <v>74</v>
      </c>
      <c r="H401" t="s">
        <v>74</v>
      </c>
      <c r="I401" t="s">
        <v>8079</v>
      </c>
      <c r="J401" t="s">
        <v>8080</v>
      </c>
      <c r="K401" t="s">
        <v>74</v>
      </c>
      <c r="L401" t="s">
        <v>74</v>
      </c>
      <c r="M401" t="s">
        <v>78</v>
      </c>
      <c r="N401" t="s">
        <v>79</v>
      </c>
      <c r="O401" t="s">
        <v>74</v>
      </c>
      <c r="P401" t="s">
        <v>74</v>
      </c>
      <c r="Q401" t="s">
        <v>74</v>
      </c>
      <c r="R401" t="s">
        <v>74</v>
      </c>
      <c r="S401" t="s">
        <v>74</v>
      </c>
      <c r="T401" t="s">
        <v>8081</v>
      </c>
      <c r="U401" t="s">
        <v>8082</v>
      </c>
      <c r="V401" t="s">
        <v>8083</v>
      </c>
      <c r="W401" t="s">
        <v>8084</v>
      </c>
      <c r="X401" t="s">
        <v>8085</v>
      </c>
      <c r="Y401" t="s">
        <v>8086</v>
      </c>
      <c r="Z401" t="s">
        <v>8087</v>
      </c>
      <c r="AA401" t="s">
        <v>8088</v>
      </c>
      <c r="AB401" t="s">
        <v>8089</v>
      </c>
      <c r="AC401" t="s">
        <v>8090</v>
      </c>
      <c r="AD401" t="s">
        <v>8090</v>
      </c>
      <c r="AE401" t="s">
        <v>8091</v>
      </c>
      <c r="AF401" t="s">
        <v>74</v>
      </c>
      <c r="AG401">
        <v>51</v>
      </c>
      <c r="AH401">
        <v>31</v>
      </c>
      <c r="AI401">
        <v>32</v>
      </c>
      <c r="AJ401">
        <v>5</v>
      </c>
      <c r="AK401">
        <v>95</v>
      </c>
      <c r="AL401" t="s">
        <v>4142</v>
      </c>
      <c r="AM401" t="s">
        <v>4143</v>
      </c>
      <c r="AN401" t="s">
        <v>4144</v>
      </c>
      <c r="AO401" t="s">
        <v>8092</v>
      </c>
      <c r="AP401" t="s">
        <v>8093</v>
      </c>
      <c r="AQ401" t="s">
        <v>74</v>
      </c>
      <c r="AR401" t="s">
        <v>8094</v>
      </c>
      <c r="AS401" t="s">
        <v>8095</v>
      </c>
      <c r="AT401" t="s">
        <v>6261</v>
      </c>
      <c r="AU401">
        <v>2015</v>
      </c>
      <c r="AV401">
        <v>106</v>
      </c>
      <c r="AW401" t="s">
        <v>74</v>
      </c>
      <c r="AX401" t="s">
        <v>74</v>
      </c>
      <c r="AY401">
        <v>1</v>
      </c>
      <c r="AZ401" t="s">
        <v>931</v>
      </c>
      <c r="BA401" t="s">
        <v>74</v>
      </c>
      <c r="BB401">
        <v>448</v>
      </c>
      <c r="BC401">
        <v>458</v>
      </c>
      <c r="BD401" t="s">
        <v>74</v>
      </c>
      <c r="BE401" t="s">
        <v>8096</v>
      </c>
      <c r="BF401" t="str">
        <f>HYPERLINK("http://dx.doi.org/10.1093/jhered/esv050","http://dx.doi.org/10.1093/jhered/esv050")</f>
        <v>http://dx.doi.org/10.1093/jhered/esv050</v>
      </c>
      <c r="BG401" t="s">
        <v>74</v>
      </c>
      <c r="BH401" t="s">
        <v>74</v>
      </c>
      <c r="BI401">
        <v>11</v>
      </c>
      <c r="BJ401" t="s">
        <v>8097</v>
      </c>
      <c r="BK401" t="s">
        <v>101</v>
      </c>
      <c r="BL401" t="s">
        <v>8097</v>
      </c>
      <c r="BM401" t="s">
        <v>8098</v>
      </c>
      <c r="BN401">
        <v>26245780</v>
      </c>
      <c r="BO401" t="s">
        <v>74</v>
      </c>
      <c r="BP401" t="s">
        <v>74</v>
      </c>
      <c r="BQ401" t="s">
        <v>74</v>
      </c>
      <c r="BR401" t="s">
        <v>103</v>
      </c>
      <c r="BS401" t="s">
        <v>8099</v>
      </c>
      <c r="BT401" t="str">
        <f>HYPERLINK("https%3A%2F%2Fwww.webofscience.com%2Fwos%2Fwoscc%2Ffull-record%2FWOS:000359730800004","View Full Record in Web of Science")</f>
        <v>View Full Record in Web of Science</v>
      </c>
    </row>
    <row r="402" spans="1:72" x14ac:dyDescent="0.15">
      <c r="A402" t="s">
        <v>72</v>
      </c>
      <c r="B402" t="s">
        <v>8100</v>
      </c>
      <c r="C402" t="s">
        <v>74</v>
      </c>
      <c r="D402" t="s">
        <v>74</v>
      </c>
      <c r="E402" t="s">
        <v>74</v>
      </c>
      <c r="F402" t="s">
        <v>8101</v>
      </c>
      <c r="G402" t="s">
        <v>74</v>
      </c>
      <c r="H402" t="s">
        <v>74</v>
      </c>
      <c r="I402" t="s">
        <v>8102</v>
      </c>
      <c r="J402" t="s">
        <v>435</v>
      </c>
      <c r="K402" t="s">
        <v>74</v>
      </c>
      <c r="L402" t="s">
        <v>74</v>
      </c>
      <c r="M402" t="s">
        <v>78</v>
      </c>
      <c r="N402" t="s">
        <v>79</v>
      </c>
      <c r="O402" t="s">
        <v>74</v>
      </c>
      <c r="P402" t="s">
        <v>74</v>
      </c>
      <c r="Q402" t="s">
        <v>74</v>
      </c>
      <c r="R402" t="s">
        <v>74</v>
      </c>
      <c r="S402" t="s">
        <v>74</v>
      </c>
      <c r="T402" t="s">
        <v>74</v>
      </c>
      <c r="U402" t="s">
        <v>8103</v>
      </c>
      <c r="V402" t="s">
        <v>8104</v>
      </c>
      <c r="W402" t="s">
        <v>8105</v>
      </c>
      <c r="X402" t="s">
        <v>8106</v>
      </c>
      <c r="Y402" t="s">
        <v>8107</v>
      </c>
      <c r="Z402" t="s">
        <v>8108</v>
      </c>
      <c r="AA402" t="s">
        <v>74</v>
      </c>
      <c r="AB402" t="s">
        <v>8109</v>
      </c>
      <c r="AC402" t="s">
        <v>8110</v>
      </c>
      <c r="AD402" t="s">
        <v>8111</v>
      </c>
      <c r="AE402" t="s">
        <v>8112</v>
      </c>
      <c r="AF402" t="s">
        <v>74</v>
      </c>
      <c r="AG402">
        <v>84</v>
      </c>
      <c r="AH402">
        <v>14</v>
      </c>
      <c r="AI402">
        <v>15</v>
      </c>
      <c r="AJ402">
        <v>1</v>
      </c>
      <c r="AK402">
        <v>19</v>
      </c>
      <c r="AL402" t="s">
        <v>446</v>
      </c>
      <c r="AM402" t="s">
        <v>447</v>
      </c>
      <c r="AN402" t="s">
        <v>448</v>
      </c>
      <c r="AO402" t="s">
        <v>449</v>
      </c>
      <c r="AP402" t="s">
        <v>450</v>
      </c>
      <c r="AQ402" t="s">
        <v>74</v>
      </c>
      <c r="AR402" t="s">
        <v>451</v>
      </c>
      <c r="AS402" t="s">
        <v>452</v>
      </c>
      <c r="AT402" t="s">
        <v>6261</v>
      </c>
      <c r="AU402">
        <v>2015</v>
      </c>
      <c r="AV402">
        <v>172</v>
      </c>
      <c r="AW402">
        <v>5</v>
      </c>
      <c r="AX402" t="s">
        <v>74</v>
      </c>
      <c r="AY402" t="s">
        <v>74</v>
      </c>
      <c r="AZ402" t="s">
        <v>74</v>
      </c>
      <c r="BA402" t="s">
        <v>74</v>
      </c>
      <c r="BB402">
        <v>599</v>
      </c>
      <c r="BC402">
        <v>613</v>
      </c>
      <c r="BD402" t="s">
        <v>74</v>
      </c>
      <c r="BE402" t="s">
        <v>8113</v>
      </c>
      <c r="BF402" t="str">
        <f>HYPERLINK("http://dx.doi.org/10.1144/jgs2014-134","http://dx.doi.org/10.1144/jgs2014-134")</f>
        <v>http://dx.doi.org/10.1144/jgs2014-134</v>
      </c>
      <c r="BG402" t="s">
        <v>74</v>
      </c>
      <c r="BH402" t="s">
        <v>74</v>
      </c>
      <c r="BI402">
        <v>15</v>
      </c>
      <c r="BJ402" t="s">
        <v>314</v>
      </c>
      <c r="BK402" t="s">
        <v>101</v>
      </c>
      <c r="BL402" t="s">
        <v>315</v>
      </c>
      <c r="BM402" t="s">
        <v>8114</v>
      </c>
      <c r="BN402" t="s">
        <v>74</v>
      </c>
      <c r="BO402" t="s">
        <v>1509</v>
      </c>
      <c r="BP402" t="s">
        <v>74</v>
      </c>
      <c r="BQ402" t="s">
        <v>74</v>
      </c>
      <c r="BR402" t="s">
        <v>103</v>
      </c>
      <c r="BS402" t="s">
        <v>8115</v>
      </c>
      <c r="BT402" t="str">
        <f>HYPERLINK("https%3A%2F%2Fwww.webofscience.com%2Fwos%2Fwoscc%2Ffull-record%2FWOS:000360309500006","View Full Record in Web of Science")</f>
        <v>View Full Record in Web of Science</v>
      </c>
    </row>
    <row r="403" spans="1:72" x14ac:dyDescent="0.15">
      <c r="A403" t="s">
        <v>72</v>
      </c>
      <c r="B403" t="s">
        <v>8116</v>
      </c>
      <c r="C403" t="s">
        <v>74</v>
      </c>
      <c r="D403" t="s">
        <v>74</v>
      </c>
      <c r="E403" t="s">
        <v>74</v>
      </c>
      <c r="F403" t="s">
        <v>8117</v>
      </c>
      <c r="G403" t="s">
        <v>74</v>
      </c>
      <c r="H403" t="s">
        <v>74</v>
      </c>
      <c r="I403" t="s">
        <v>8118</v>
      </c>
      <c r="J403" t="s">
        <v>8119</v>
      </c>
      <c r="K403" t="s">
        <v>74</v>
      </c>
      <c r="L403" t="s">
        <v>74</v>
      </c>
      <c r="M403" t="s">
        <v>78</v>
      </c>
      <c r="N403" t="s">
        <v>79</v>
      </c>
      <c r="O403" t="s">
        <v>74</v>
      </c>
      <c r="P403" t="s">
        <v>74</v>
      </c>
      <c r="Q403" t="s">
        <v>74</v>
      </c>
      <c r="R403" t="s">
        <v>74</v>
      </c>
      <c r="S403" t="s">
        <v>74</v>
      </c>
      <c r="T403" t="s">
        <v>8120</v>
      </c>
      <c r="U403" t="s">
        <v>8121</v>
      </c>
      <c r="V403" t="s">
        <v>8122</v>
      </c>
      <c r="W403" t="s">
        <v>8123</v>
      </c>
      <c r="X403" t="s">
        <v>439</v>
      </c>
      <c r="Y403" t="s">
        <v>8124</v>
      </c>
      <c r="Z403" t="s">
        <v>8125</v>
      </c>
      <c r="AA403" t="s">
        <v>74</v>
      </c>
      <c r="AB403" t="s">
        <v>74</v>
      </c>
      <c r="AC403" t="s">
        <v>8126</v>
      </c>
      <c r="AD403" t="s">
        <v>8127</v>
      </c>
      <c r="AE403" t="s">
        <v>8128</v>
      </c>
      <c r="AF403" t="s">
        <v>74</v>
      </c>
      <c r="AG403">
        <v>22</v>
      </c>
      <c r="AH403">
        <v>75</v>
      </c>
      <c r="AI403">
        <v>87</v>
      </c>
      <c r="AJ403">
        <v>0</v>
      </c>
      <c r="AK403">
        <v>8</v>
      </c>
      <c r="AL403" t="s">
        <v>7091</v>
      </c>
      <c r="AM403" t="s">
        <v>7092</v>
      </c>
      <c r="AN403" t="s">
        <v>7093</v>
      </c>
      <c r="AO403" t="s">
        <v>8129</v>
      </c>
      <c r="AP403" t="s">
        <v>74</v>
      </c>
      <c r="AQ403" t="s">
        <v>74</v>
      </c>
      <c r="AR403" t="s">
        <v>8130</v>
      </c>
      <c r="AS403" t="s">
        <v>8131</v>
      </c>
      <c r="AT403" t="s">
        <v>6261</v>
      </c>
      <c r="AU403">
        <v>2015</v>
      </c>
      <c r="AV403">
        <v>3</v>
      </c>
      <c r="AW403">
        <v>3</v>
      </c>
      <c r="AX403" t="s">
        <v>74</v>
      </c>
      <c r="AY403" t="s">
        <v>74</v>
      </c>
      <c r="AZ403" t="s">
        <v>74</v>
      </c>
      <c r="BA403" t="s">
        <v>74</v>
      </c>
      <c r="BB403">
        <v>95</v>
      </c>
      <c r="BC403">
        <v>101</v>
      </c>
      <c r="BD403" t="s">
        <v>74</v>
      </c>
      <c r="BE403" t="s">
        <v>8132</v>
      </c>
      <c r="BF403" t="str">
        <f>HYPERLINK("http://dx.doi.org/10.1139/juvs-2015-0006","http://dx.doi.org/10.1139/juvs-2015-0006")</f>
        <v>http://dx.doi.org/10.1139/juvs-2015-0006</v>
      </c>
      <c r="BG403" t="s">
        <v>74</v>
      </c>
      <c r="BH403" t="s">
        <v>74</v>
      </c>
      <c r="BI403">
        <v>7</v>
      </c>
      <c r="BJ403" t="s">
        <v>8133</v>
      </c>
      <c r="BK403" t="s">
        <v>831</v>
      </c>
      <c r="BL403" t="s">
        <v>8133</v>
      </c>
      <c r="BM403" t="s">
        <v>8134</v>
      </c>
      <c r="BN403" t="s">
        <v>74</v>
      </c>
      <c r="BO403" t="s">
        <v>290</v>
      </c>
      <c r="BP403" t="s">
        <v>74</v>
      </c>
      <c r="BQ403" t="s">
        <v>74</v>
      </c>
      <c r="BR403" t="s">
        <v>103</v>
      </c>
      <c r="BS403" t="s">
        <v>8135</v>
      </c>
      <c r="BT403" t="str">
        <f>HYPERLINK("https%3A%2F%2Fwww.webofscience.com%2Fwos%2Fwoscc%2Ffull-record%2FWOS:000446100500003","View Full Record in Web of Science")</f>
        <v>View Full Record in Web of Science</v>
      </c>
    </row>
    <row r="404" spans="1:72" x14ac:dyDescent="0.15">
      <c r="A404" t="s">
        <v>72</v>
      </c>
      <c r="B404" t="s">
        <v>8136</v>
      </c>
      <c r="C404" t="s">
        <v>74</v>
      </c>
      <c r="D404" t="s">
        <v>74</v>
      </c>
      <c r="E404" t="s">
        <v>74</v>
      </c>
      <c r="F404" t="s">
        <v>8137</v>
      </c>
      <c r="G404" t="s">
        <v>74</v>
      </c>
      <c r="H404" t="s">
        <v>8138</v>
      </c>
      <c r="I404" t="s">
        <v>8139</v>
      </c>
      <c r="J404" t="s">
        <v>8140</v>
      </c>
      <c r="K404" t="s">
        <v>74</v>
      </c>
      <c r="L404" t="s">
        <v>74</v>
      </c>
      <c r="M404" t="s">
        <v>78</v>
      </c>
      <c r="N404" t="s">
        <v>79</v>
      </c>
      <c r="O404" t="s">
        <v>74</v>
      </c>
      <c r="P404" t="s">
        <v>74</v>
      </c>
      <c r="Q404" t="s">
        <v>74</v>
      </c>
      <c r="R404" t="s">
        <v>74</v>
      </c>
      <c r="S404" t="s">
        <v>74</v>
      </c>
      <c r="T404" t="s">
        <v>8141</v>
      </c>
      <c r="U404" t="s">
        <v>8142</v>
      </c>
      <c r="V404" t="s">
        <v>8143</v>
      </c>
      <c r="W404" t="s">
        <v>8144</v>
      </c>
      <c r="X404" t="s">
        <v>8145</v>
      </c>
      <c r="Y404" t="s">
        <v>8146</v>
      </c>
      <c r="Z404" t="s">
        <v>8147</v>
      </c>
      <c r="AA404" t="s">
        <v>8148</v>
      </c>
      <c r="AB404" t="s">
        <v>8149</v>
      </c>
      <c r="AC404" t="s">
        <v>8150</v>
      </c>
      <c r="AD404" t="s">
        <v>8151</v>
      </c>
      <c r="AE404" t="s">
        <v>8152</v>
      </c>
      <c r="AF404" t="s">
        <v>74</v>
      </c>
      <c r="AG404">
        <v>142</v>
      </c>
      <c r="AH404">
        <v>2</v>
      </c>
      <c r="AI404">
        <v>2</v>
      </c>
      <c r="AJ404">
        <v>1</v>
      </c>
      <c r="AK404">
        <v>34</v>
      </c>
      <c r="AL404" t="s">
        <v>496</v>
      </c>
      <c r="AM404" t="s">
        <v>398</v>
      </c>
      <c r="AN404" t="s">
        <v>497</v>
      </c>
      <c r="AO404" t="s">
        <v>8153</v>
      </c>
      <c r="AP404" t="s">
        <v>8154</v>
      </c>
      <c r="AQ404" t="s">
        <v>74</v>
      </c>
      <c r="AR404" t="s">
        <v>8155</v>
      </c>
      <c r="AS404" t="s">
        <v>8156</v>
      </c>
      <c r="AT404" t="s">
        <v>6261</v>
      </c>
      <c r="AU404">
        <v>2015</v>
      </c>
      <c r="AV404">
        <v>66</v>
      </c>
      <c r="AW404" t="s">
        <v>74</v>
      </c>
      <c r="AX404">
        <v>1</v>
      </c>
      <c r="AY404" t="s">
        <v>74</v>
      </c>
      <c r="AZ404" t="s">
        <v>74</v>
      </c>
      <c r="BA404" t="s">
        <v>74</v>
      </c>
      <c r="BB404">
        <v>6</v>
      </c>
      <c r="BC404">
        <v>17</v>
      </c>
      <c r="BD404" t="s">
        <v>74</v>
      </c>
      <c r="BE404" t="s">
        <v>8157</v>
      </c>
      <c r="BF404" t="str">
        <f>HYPERLINK("http://dx.doi.org/10.1016/j.marpetgeo.2015.03.018","http://dx.doi.org/10.1016/j.marpetgeo.2015.03.018")</f>
        <v>http://dx.doi.org/10.1016/j.marpetgeo.2015.03.018</v>
      </c>
      <c r="BG404" t="s">
        <v>74</v>
      </c>
      <c r="BH404" t="s">
        <v>74</v>
      </c>
      <c r="BI404">
        <v>12</v>
      </c>
      <c r="BJ404" t="s">
        <v>314</v>
      </c>
      <c r="BK404" t="s">
        <v>101</v>
      </c>
      <c r="BL404" t="s">
        <v>315</v>
      </c>
      <c r="BM404" t="s">
        <v>8158</v>
      </c>
      <c r="BN404" t="s">
        <v>74</v>
      </c>
      <c r="BO404" t="s">
        <v>8159</v>
      </c>
      <c r="BP404" t="s">
        <v>74</v>
      </c>
      <c r="BQ404" t="s">
        <v>74</v>
      </c>
      <c r="BR404" t="s">
        <v>103</v>
      </c>
      <c r="BS404" t="s">
        <v>8160</v>
      </c>
      <c r="BT404" t="str">
        <f>HYPERLINK("https%3A%2F%2Fwww.webofscience.com%2Fwos%2Fwoscc%2Ffull-record%2FWOS:000365055800002","View Full Record in Web of Science")</f>
        <v>View Full Record in Web of Science</v>
      </c>
    </row>
    <row r="405" spans="1:72" x14ac:dyDescent="0.15">
      <c r="A405" t="s">
        <v>72</v>
      </c>
      <c r="B405" t="s">
        <v>8161</v>
      </c>
      <c r="C405" t="s">
        <v>74</v>
      </c>
      <c r="D405" t="s">
        <v>74</v>
      </c>
      <c r="E405" t="s">
        <v>74</v>
      </c>
      <c r="F405" t="s">
        <v>8162</v>
      </c>
      <c r="G405" t="s">
        <v>74</v>
      </c>
      <c r="H405" t="s">
        <v>74</v>
      </c>
      <c r="I405" t="s">
        <v>8163</v>
      </c>
      <c r="J405" t="s">
        <v>8164</v>
      </c>
      <c r="K405" t="s">
        <v>74</v>
      </c>
      <c r="L405" t="s">
        <v>74</v>
      </c>
      <c r="M405" t="s">
        <v>78</v>
      </c>
      <c r="N405" t="s">
        <v>79</v>
      </c>
      <c r="O405" t="s">
        <v>74</v>
      </c>
      <c r="P405" t="s">
        <v>74</v>
      </c>
      <c r="Q405" t="s">
        <v>74</v>
      </c>
      <c r="R405" t="s">
        <v>74</v>
      </c>
      <c r="S405" t="s">
        <v>74</v>
      </c>
      <c r="T405" t="s">
        <v>8165</v>
      </c>
      <c r="U405" t="s">
        <v>8166</v>
      </c>
      <c r="V405" t="s">
        <v>8167</v>
      </c>
      <c r="W405" t="s">
        <v>8168</v>
      </c>
      <c r="X405" t="s">
        <v>8169</v>
      </c>
      <c r="Y405" t="s">
        <v>8170</v>
      </c>
      <c r="Z405" t="s">
        <v>8171</v>
      </c>
      <c r="AA405" t="s">
        <v>8172</v>
      </c>
      <c r="AB405" t="s">
        <v>8173</v>
      </c>
      <c r="AC405" t="s">
        <v>8174</v>
      </c>
      <c r="AD405" t="s">
        <v>8175</v>
      </c>
      <c r="AE405" t="s">
        <v>8176</v>
      </c>
      <c r="AF405" t="s">
        <v>74</v>
      </c>
      <c r="AG405">
        <v>72</v>
      </c>
      <c r="AH405">
        <v>54</v>
      </c>
      <c r="AI405">
        <v>55</v>
      </c>
      <c r="AJ405">
        <v>3</v>
      </c>
      <c r="AK405">
        <v>11</v>
      </c>
      <c r="AL405" t="s">
        <v>208</v>
      </c>
      <c r="AM405" t="s">
        <v>209</v>
      </c>
      <c r="AN405" t="s">
        <v>210</v>
      </c>
      <c r="AO405" t="s">
        <v>8177</v>
      </c>
      <c r="AP405" t="s">
        <v>8178</v>
      </c>
      <c r="AQ405" t="s">
        <v>74</v>
      </c>
      <c r="AR405" t="s">
        <v>8179</v>
      </c>
      <c r="AS405" t="s">
        <v>8180</v>
      </c>
      <c r="AT405" t="s">
        <v>6261</v>
      </c>
      <c r="AU405">
        <v>2015</v>
      </c>
      <c r="AV405">
        <v>36</v>
      </c>
      <c r="AW405">
        <v>3</v>
      </c>
      <c r="AX405" t="s">
        <v>74</v>
      </c>
      <c r="AY405" t="s">
        <v>74</v>
      </c>
      <c r="AZ405" t="s">
        <v>74</v>
      </c>
      <c r="BA405" t="s">
        <v>74</v>
      </c>
      <c r="BB405">
        <v>716</v>
      </c>
      <c r="BC405">
        <v>733</v>
      </c>
      <c r="BD405" t="s">
        <v>74</v>
      </c>
      <c r="BE405" t="s">
        <v>8181</v>
      </c>
      <c r="BF405" t="str">
        <f>HYPERLINK("http://dx.doi.org/10.1111/maec.12179","http://dx.doi.org/10.1111/maec.12179")</f>
        <v>http://dx.doi.org/10.1111/maec.12179</v>
      </c>
      <c r="BG405" t="s">
        <v>74</v>
      </c>
      <c r="BH405" t="s">
        <v>74</v>
      </c>
      <c r="BI405">
        <v>18</v>
      </c>
      <c r="BJ405" t="s">
        <v>100</v>
      </c>
      <c r="BK405" t="s">
        <v>101</v>
      </c>
      <c r="BL405" t="s">
        <v>100</v>
      </c>
      <c r="BM405" t="s">
        <v>8182</v>
      </c>
      <c r="BN405" t="s">
        <v>74</v>
      </c>
      <c r="BO405" t="s">
        <v>1213</v>
      </c>
      <c r="BP405" t="s">
        <v>74</v>
      </c>
      <c r="BQ405" t="s">
        <v>74</v>
      </c>
      <c r="BR405" t="s">
        <v>103</v>
      </c>
      <c r="BS405" t="s">
        <v>8183</v>
      </c>
      <c r="BT405" t="str">
        <f>HYPERLINK("https%3A%2F%2Fwww.webofscience.com%2Fwos%2Fwoscc%2Ffull-record%2FWOS:000358729600036","View Full Record in Web of Science")</f>
        <v>View Full Record in Web of Science</v>
      </c>
    </row>
    <row r="406" spans="1:72" x14ac:dyDescent="0.15">
      <c r="A406" t="s">
        <v>72</v>
      </c>
      <c r="B406" t="s">
        <v>8184</v>
      </c>
      <c r="C406" t="s">
        <v>74</v>
      </c>
      <c r="D406" t="s">
        <v>74</v>
      </c>
      <c r="E406" t="s">
        <v>74</v>
      </c>
      <c r="F406" t="s">
        <v>8185</v>
      </c>
      <c r="G406" t="s">
        <v>74</v>
      </c>
      <c r="H406" t="s">
        <v>74</v>
      </c>
      <c r="I406" t="s">
        <v>8186</v>
      </c>
      <c r="J406" t="s">
        <v>8187</v>
      </c>
      <c r="K406" t="s">
        <v>74</v>
      </c>
      <c r="L406" t="s">
        <v>74</v>
      </c>
      <c r="M406" t="s">
        <v>78</v>
      </c>
      <c r="N406" t="s">
        <v>79</v>
      </c>
      <c r="O406" t="s">
        <v>74</v>
      </c>
      <c r="P406" t="s">
        <v>74</v>
      </c>
      <c r="Q406" t="s">
        <v>74</v>
      </c>
      <c r="R406" t="s">
        <v>74</v>
      </c>
      <c r="S406" t="s">
        <v>74</v>
      </c>
      <c r="T406" t="s">
        <v>8188</v>
      </c>
      <c r="U406" t="s">
        <v>8189</v>
      </c>
      <c r="V406" t="s">
        <v>8190</v>
      </c>
      <c r="W406" t="s">
        <v>8191</v>
      </c>
      <c r="X406" t="s">
        <v>8192</v>
      </c>
      <c r="Y406" t="s">
        <v>8193</v>
      </c>
      <c r="Z406" t="s">
        <v>8194</v>
      </c>
      <c r="AA406" t="s">
        <v>8195</v>
      </c>
      <c r="AB406" t="s">
        <v>8196</v>
      </c>
      <c r="AC406" t="s">
        <v>74</v>
      </c>
      <c r="AD406" t="s">
        <v>74</v>
      </c>
      <c r="AE406" t="s">
        <v>74</v>
      </c>
      <c r="AF406" t="s">
        <v>74</v>
      </c>
      <c r="AG406">
        <v>44</v>
      </c>
      <c r="AH406">
        <v>13</v>
      </c>
      <c r="AI406">
        <v>13</v>
      </c>
      <c r="AJ406">
        <v>1</v>
      </c>
      <c r="AK406">
        <v>44</v>
      </c>
      <c r="AL406" t="s">
        <v>496</v>
      </c>
      <c r="AM406" t="s">
        <v>398</v>
      </c>
      <c r="AN406" t="s">
        <v>497</v>
      </c>
      <c r="AO406" t="s">
        <v>8197</v>
      </c>
      <c r="AP406" t="s">
        <v>8198</v>
      </c>
      <c r="AQ406" t="s">
        <v>74</v>
      </c>
      <c r="AR406" t="s">
        <v>8199</v>
      </c>
      <c r="AS406" t="s">
        <v>8200</v>
      </c>
      <c r="AT406" t="s">
        <v>6261</v>
      </c>
      <c r="AU406">
        <v>2015</v>
      </c>
      <c r="AV406">
        <v>110</v>
      </c>
      <c r="AW406" t="s">
        <v>74</v>
      </c>
      <c r="AX406" t="s">
        <v>74</v>
      </c>
      <c r="AY406" t="s">
        <v>74</v>
      </c>
      <c r="AZ406" t="s">
        <v>74</v>
      </c>
      <c r="BA406" t="s">
        <v>74</v>
      </c>
      <c r="BB406">
        <v>124</v>
      </c>
      <c r="BC406">
        <v>131</v>
      </c>
      <c r="BD406" t="s">
        <v>74</v>
      </c>
      <c r="BE406" t="s">
        <v>8201</v>
      </c>
      <c r="BF406" t="str">
        <f>HYPERLINK("http://dx.doi.org/10.1016/j.marenvres.2015.08.006","http://dx.doi.org/10.1016/j.marenvres.2015.08.006")</f>
        <v>http://dx.doi.org/10.1016/j.marenvres.2015.08.006</v>
      </c>
      <c r="BG406" t="s">
        <v>74</v>
      </c>
      <c r="BH406" t="s">
        <v>74</v>
      </c>
      <c r="BI406">
        <v>8</v>
      </c>
      <c r="BJ406" t="s">
        <v>8202</v>
      </c>
      <c r="BK406" t="s">
        <v>101</v>
      </c>
      <c r="BL406" t="s">
        <v>8203</v>
      </c>
      <c r="BM406" t="s">
        <v>8204</v>
      </c>
      <c r="BN406">
        <v>26322856</v>
      </c>
      <c r="BO406" t="s">
        <v>74</v>
      </c>
      <c r="BP406" t="s">
        <v>74</v>
      </c>
      <c r="BQ406" t="s">
        <v>74</v>
      </c>
      <c r="BR406" t="s">
        <v>103</v>
      </c>
      <c r="BS406" t="s">
        <v>8205</v>
      </c>
      <c r="BT406" t="str">
        <f>HYPERLINK("https%3A%2F%2Fwww.webofscience.com%2Fwos%2Fwoscc%2Ffull-record%2FWOS:000362304700014","View Full Record in Web of Science")</f>
        <v>View Full Record in Web of Science</v>
      </c>
    </row>
    <row r="407" spans="1:72" x14ac:dyDescent="0.15">
      <c r="A407" t="s">
        <v>72</v>
      </c>
      <c r="B407" t="s">
        <v>8206</v>
      </c>
      <c r="C407" t="s">
        <v>74</v>
      </c>
      <c r="D407" t="s">
        <v>74</v>
      </c>
      <c r="E407" t="s">
        <v>74</v>
      </c>
      <c r="F407" t="s">
        <v>8207</v>
      </c>
      <c r="G407" t="s">
        <v>74</v>
      </c>
      <c r="H407" t="s">
        <v>74</v>
      </c>
      <c r="I407" t="s">
        <v>8208</v>
      </c>
      <c r="J407" t="s">
        <v>8209</v>
      </c>
      <c r="K407" t="s">
        <v>74</v>
      </c>
      <c r="L407" t="s">
        <v>74</v>
      </c>
      <c r="M407" t="s">
        <v>78</v>
      </c>
      <c r="N407" t="s">
        <v>79</v>
      </c>
      <c r="O407" t="s">
        <v>74</v>
      </c>
      <c r="P407" t="s">
        <v>74</v>
      </c>
      <c r="Q407" t="s">
        <v>74</v>
      </c>
      <c r="R407" t="s">
        <v>74</v>
      </c>
      <c r="S407" t="s">
        <v>74</v>
      </c>
      <c r="T407" t="s">
        <v>8210</v>
      </c>
      <c r="U407" t="s">
        <v>8211</v>
      </c>
      <c r="V407" t="s">
        <v>8212</v>
      </c>
      <c r="W407" t="s">
        <v>8213</v>
      </c>
      <c r="X407" t="s">
        <v>8214</v>
      </c>
      <c r="Y407" t="s">
        <v>8215</v>
      </c>
      <c r="Z407" t="s">
        <v>8216</v>
      </c>
      <c r="AA407" t="s">
        <v>8217</v>
      </c>
      <c r="AB407" t="s">
        <v>8218</v>
      </c>
      <c r="AC407" t="s">
        <v>8219</v>
      </c>
      <c r="AD407" t="s">
        <v>8220</v>
      </c>
      <c r="AE407" t="s">
        <v>8221</v>
      </c>
      <c r="AF407" t="s">
        <v>74</v>
      </c>
      <c r="AG407">
        <v>34</v>
      </c>
      <c r="AH407">
        <v>5</v>
      </c>
      <c r="AI407">
        <v>8</v>
      </c>
      <c r="AJ407">
        <v>1</v>
      </c>
      <c r="AK407">
        <v>32</v>
      </c>
      <c r="AL407" t="s">
        <v>883</v>
      </c>
      <c r="AM407" t="s">
        <v>884</v>
      </c>
      <c r="AN407" t="s">
        <v>885</v>
      </c>
      <c r="AO407" t="s">
        <v>8222</v>
      </c>
      <c r="AP407" t="s">
        <v>8223</v>
      </c>
      <c r="AQ407" t="s">
        <v>74</v>
      </c>
      <c r="AR407" t="s">
        <v>8224</v>
      </c>
      <c r="AS407" t="s">
        <v>8225</v>
      </c>
      <c r="AT407" t="s">
        <v>6261</v>
      </c>
      <c r="AU407">
        <v>2015</v>
      </c>
      <c r="AV407">
        <v>122</v>
      </c>
      <c r="AW407" t="s">
        <v>74</v>
      </c>
      <c r="AX407" t="s">
        <v>74</v>
      </c>
      <c r="AY407" t="s">
        <v>74</v>
      </c>
      <c r="AZ407" t="s">
        <v>74</v>
      </c>
      <c r="BA407" t="s">
        <v>74</v>
      </c>
      <c r="BB407">
        <v>164</v>
      </c>
      <c r="BC407">
        <v>171</v>
      </c>
      <c r="BD407" t="s">
        <v>74</v>
      </c>
      <c r="BE407" t="s">
        <v>8226</v>
      </c>
      <c r="BF407" t="str">
        <f>HYPERLINK("http://dx.doi.org/10.1016/j.microc.2015.04.020","http://dx.doi.org/10.1016/j.microc.2015.04.020")</f>
        <v>http://dx.doi.org/10.1016/j.microc.2015.04.020</v>
      </c>
      <c r="BG407" t="s">
        <v>74</v>
      </c>
      <c r="BH407" t="s">
        <v>74</v>
      </c>
      <c r="BI407">
        <v>8</v>
      </c>
      <c r="BJ407" t="s">
        <v>8227</v>
      </c>
      <c r="BK407" t="s">
        <v>101</v>
      </c>
      <c r="BL407" t="s">
        <v>2442</v>
      </c>
      <c r="BM407" t="s">
        <v>8228</v>
      </c>
      <c r="BN407" t="s">
        <v>74</v>
      </c>
      <c r="BO407" t="s">
        <v>559</v>
      </c>
      <c r="BP407" t="s">
        <v>74</v>
      </c>
      <c r="BQ407" t="s">
        <v>74</v>
      </c>
      <c r="BR407" t="s">
        <v>103</v>
      </c>
      <c r="BS407" t="s">
        <v>8229</v>
      </c>
      <c r="BT407" t="str">
        <f>HYPERLINK("https%3A%2F%2Fwww.webofscience.com%2Fwos%2Fwoscc%2Ffull-record%2FWOS:000356748200026","View Full Record in Web of Science")</f>
        <v>View Full Record in Web of Science</v>
      </c>
    </row>
    <row r="408" spans="1:72" x14ac:dyDescent="0.15">
      <c r="A408" t="s">
        <v>72</v>
      </c>
      <c r="B408" t="s">
        <v>8230</v>
      </c>
      <c r="C408" t="s">
        <v>74</v>
      </c>
      <c r="D408" t="s">
        <v>74</v>
      </c>
      <c r="E408" t="s">
        <v>74</v>
      </c>
      <c r="F408" t="s">
        <v>8231</v>
      </c>
      <c r="G408" t="s">
        <v>74</v>
      </c>
      <c r="H408" t="s">
        <v>74</v>
      </c>
      <c r="I408" t="s">
        <v>8232</v>
      </c>
      <c r="J408" t="s">
        <v>8233</v>
      </c>
      <c r="K408" t="s">
        <v>74</v>
      </c>
      <c r="L408" t="s">
        <v>74</v>
      </c>
      <c r="M408" t="s">
        <v>78</v>
      </c>
      <c r="N408" t="s">
        <v>79</v>
      </c>
      <c r="O408" t="s">
        <v>74</v>
      </c>
      <c r="P408" t="s">
        <v>74</v>
      </c>
      <c r="Q408" t="s">
        <v>74</v>
      </c>
      <c r="R408" t="s">
        <v>74</v>
      </c>
      <c r="S408" t="s">
        <v>74</v>
      </c>
      <c r="T408" t="s">
        <v>8234</v>
      </c>
      <c r="U408" t="s">
        <v>8235</v>
      </c>
      <c r="V408" t="s">
        <v>8236</v>
      </c>
      <c r="W408" t="s">
        <v>8237</v>
      </c>
      <c r="X408" t="s">
        <v>8238</v>
      </c>
      <c r="Y408" t="s">
        <v>8239</v>
      </c>
      <c r="Z408" t="s">
        <v>8240</v>
      </c>
      <c r="AA408" t="s">
        <v>8241</v>
      </c>
      <c r="AB408" t="s">
        <v>8242</v>
      </c>
      <c r="AC408" t="s">
        <v>8243</v>
      </c>
      <c r="AD408" t="s">
        <v>8244</v>
      </c>
      <c r="AE408" t="s">
        <v>8245</v>
      </c>
      <c r="AF408" t="s">
        <v>74</v>
      </c>
      <c r="AG408">
        <v>64</v>
      </c>
      <c r="AH408">
        <v>35</v>
      </c>
      <c r="AI408">
        <v>40</v>
      </c>
      <c r="AJ408">
        <v>2</v>
      </c>
      <c r="AK408">
        <v>27</v>
      </c>
      <c r="AL408" t="s">
        <v>2279</v>
      </c>
      <c r="AM408" t="s">
        <v>398</v>
      </c>
      <c r="AN408" t="s">
        <v>2280</v>
      </c>
      <c r="AO408" t="s">
        <v>8246</v>
      </c>
      <c r="AP408" t="s">
        <v>8247</v>
      </c>
      <c r="AQ408" t="s">
        <v>74</v>
      </c>
      <c r="AR408" t="s">
        <v>8248</v>
      </c>
      <c r="AS408" t="s">
        <v>8249</v>
      </c>
      <c r="AT408" t="s">
        <v>6261</v>
      </c>
      <c r="AU408">
        <v>2015</v>
      </c>
      <c r="AV408">
        <v>32</v>
      </c>
      <c r="AW408">
        <v>9</v>
      </c>
      <c r="AX408" t="s">
        <v>74</v>
      </c>
      <c r="AY408" t="s">
        <v>74</v>
      </c>
      <c r="AZ408" t="s">
        <v>74</v>
      </c>
      <c r="BA408" t="s">
        <v>74</v>
      </c>
      <c r="BB408">
        <v>2219</v>
      </c>
      <c r="BC408">
        <v>2235</v>
      </c>
      <c r="BD408" t="s">
        <v>74</v>
      </c>
      <c r="BE408" t="s">
        <v>8250</v>
      </c>
      <c r="BF408" t="str">
        <f>HYPERLINK("http://dx.doi.org/10.1093/molbev/msv122","http://dx.doi.org/10.1093/molbev/msv122")</f>
        <v>http://dx.doi.org/10.1093/molbev/msv122</v>
      </c>
      <c r="BG408" t="s">
        <v>74</v>
      </c>
      <c r="BH408" t="s">
        <v>74</v>
      </c>
      <c r="BI408">
        <v>17</v>
      </c>
      <c r="BJ408" t="s">
        <v>8251</v>
      </c>
      <c r="BK408" t="s">
        <v>101</v>
      </c>
      <c r="BL408" t="s">
        <v>8251</v>
      </c>
      <c r="BM408" t="s">
        <v>8252</v>
      </c>
      <c r="BN408">
        <v>25998521</v>
      </c>
      <c r="BO408" t="s">
        <v>8253</v>
      </c>
      <c r="BP408" t="s">
        <v>74</v>
      </c>
      <c r="BQ408" t="s">
        <v>74</v>
      </c>
      <c r="BR408" t="s">
        <v>103</v>
      </c>
      <c r="BS408" t="s">
        <v>8254</v>
      </c>
      <c r="BT408" t="str">
        <f>HYPERLINK("https%3A%2F%2Fwww.webofscience.com%2Fwos%2Fwoscc%2Ffull-record%2FWOS:000361981900001","View Full Record in Web of Science")</f>
        <v>View Full Record in Web of Science</v>
      </c>
    </row>
    <row r="409" spans="1:72" x14ac:dyDescent="0.15">
      <c r="A409" t="s">
        <v>72</v>
      </c>
      <c r="B409" t="s">
        <v>8255</v>
      </c>
      <c r="C409" t="s">
        <v>74</v>
      </c>
      <c r="D409" t="s">
        <v>74</v>
      </c>
      <c r="E409" t="s">
        <v>74</v>
      </c>
      <c r="F409" t="s">
        <v>8256</v>
      </c>
      <c r="G409" t="s">
        <v>74</v>
      </c>
      <c r="H409" t="s">
        <v>74</v>
      </c>
      <c r="I409" t="s">
        <v>8257</v>
      </c>
      <c r="J409" t="s">
        <v>4521</v>
      </c>
      <c r="K409" t="s">
        <v>74</v>
      </c>
      <c r="L409" t="s">
        <v>74</v>
      </c>
      <c r="M409" t="s">
        <v>78</v>
      </c>
      <c r="N409" t="s">
        <v>79</v>
      </c>
      <c r="O409" t="s">
        <v>74</v>
      </c>
      <c r="P409" t="s">
        <v>74</v>
      </c>
      <c r="Q409" t="s">
        <v>74</v>
      </c>
      <c r="R409" t="s">
        <v>74</v>
      </c>
      <c r="S409" t="s">
        <v>74</v>
      </c>
      <c r="T409" t="s">
        <v>8258</v>
      </c>
      <c r="U409" t="s">
        <v>8259</v>
      </c>
      <c r="V409" t="s">
        <v>8260</v>
      </c>
      <c r="W409" t="s">
        <v>8261</v>
      </c>
      <c r="X409" t="s">
        <v>8262</v>
      </c>
      <c r="Y409" t="s">
        <v>8263</v>
      </c>
      <c r="Z409" t="s">
        <v>8264</v>
      </c>
      <c r="AA409" t="s">
        <v>8265</v>
      </c>
      <c r="AB409" t="s">
        <v>8266</v>
      </c>
      <c r="AC409" t="s">
        <v>8267</v>
      </c>
      <c r="AD409" t="s">
        <v>8268</v>
      </c>
      <c r="AE409" t="s">
        <v>8269</v>
      </c>
      <c r="AF409" t="s">
        <v>74</v>
      </c>
      <c r="AG409">
        <v>66</v>
      </c>
      <c r="AH409">
        <v>8</v>
      </c>
      <c r="AI409">
        <v>10</v>
      </c>
      <c r="AJ409">
        <v>2</v>
      </c>
      <c r="AK409">
        <v>29</v>
      </c>
      <c r="AL409" t="s">
        <v>208</v>
      </c>
      <c r="AM409" t="s">
        <v>209</v>
      </c>
      <c r="AN409" t="s">
        <v>210</v>
      </c>
      <c r="AO409" t="s">
        <v>4528</v>
      </c>
      <c r="AP409" t="s">
        <v>4529</v>
      </c>
      <c r="AQ409" t="s">
        <v>74</v>
      </c>
      <c r="AR409" t="s">
        <v>4530</v>
      </c>
      <c r="AS409" t="s">
        <v>4531</v>
      </c>
      <c r="AT409" t="s">
        <v>6261</v>
      </c>
      <c r="AU409">
        <v>2015</v>
      </c>
      <c r="AV409">
        <v>24</v>
      </c>
      <c r="AW409">
        <v>17</v>
      </c>
      <c r="AX409" t="s">
        <v>74</v>
      </c>
      <c r="AY409" t="s">
        <v>74</v>
      </c>
      <c r="AZ409" t="s">
        <v>74</v>
      </c>
      <c r="BA409" t="s">
        <v>74</v>
      </c>
      <c r="BB409">
        <v>4474</v>
      </c>
      <c r="BC409">
        <v>4488</v>
      </c>
      <c r="BD409" t="s">
        <v>74</v>
      </c>
      <c r="BE409" t="s">
        <v>8270</v>
      </c>
      <c r="BF409" t="str">
        <f>HYPERLINK("http://dx.doi.org/10.1111/mec.13317","http://dx.doi.org/10.1111/mec.13317")</f>
        <v>http://dx.doi.org/10.1111/mec.13317</v>
      </c>
      <c r="BG409" t="s">
        <v>74</v>
      </c>
      <c r="BH409" t="s">
        <v>74</v>
      </c>
      <c r="BI409">
        <v>15</v>
      </c>
      <c r="BJ409" t="s">
        <v>4533</v>
      </c>
      <c r="BK409" t="s">
        <v>101</v>
      </c>
      <c r="BL409" t="s">
        <v>4534</v>
      </c>
      <c r="BM409" t="s">
        <v>8271</v>
      </c>
      <c r="BN409">
        <v>26173374</v>
      </c>
      <c r="BO409" t="s">
        <v>219</v>
      </c>
      <c r="BP409" t="s">
        <v>74</v>
      </c>
      <c r="BQ409" t="s">
        <v>74</v>
      </c>
      <c r="BR409" t="s">
        <v>103</v>
      </c>
      <c r="BS409" t="s">
        <v>8272</v>
      </c>
      <c r="BT409" t="str">
        <f>HYPERLINK("https%3A%2F%2Fwww.webofscience.com%2Fwos%2Fwoscc%2Ffull-record%2FWOS:000360445700011","View Full Record in Web of Science")</f>
        <v>View Full Record in Web of Science</v>
      </c>
    </row>
    <row r="410" spans="1:72" x14ac:dyDescent="0.15">
      <c r="A410" t="s">
        <v>72</v>
      </c>
      <c r="B410" t="s">
        <v>8273</v>
      </c>
      <c r="C410" t="s">
        <v>74</v>
      </c>
      <c r="D410" t="s">
        <v>74</v>
      </c>
      <c r="E410" t="s">
        <v>74</v>
      </c>
      <c r="F410" t="s">
        <v>8274</v>
      </c>
      <c r="G410" t="s">
        <v>74</v>
      </c>
      <c r="H410" t="s">
        <v>74</v>
      </c>
      <c r="I410" t="s">
        <v>8275</v>
      </c>
      <c r="J410" t="s">
        <v>4521</v>
      </c>
      <c r="K410" t="s">
        <v>74</v>
      </c>
      <c r="L410" t="s">
        <v>74</v>
      </c>
      <c r="M410" t="s">
        <v>78</v>
      </c>
      <c r="N410" t="s">
        <v>79</v>
      </c>
      <c r="O410" t="s">
        <v>74</v>
      </c>
      <c r="P410" t="s">
        <v>74</v>
      </c>
      <c r="Q410" t="s">
        <v>74</v>
      </c>
      <c r="R410" t="s">
        <v>74</v>
      </c>
      <c r="S410" t="s">
        <v>74</v>
      </c>
      <c r="T410" t="s">
        <v>8276</v>
      </c>
      <c r="U410" t="s">
        <v>8277</v>
      </c>
      <c r="V410" t="s">
        <v>8278</v>
      </c>
      <c r="W410" t="s">
        <v>8279</v>
      </c>
      <c r="X410" t="s">
        <v>8280</v>
      </c>
      <c r="Y410" t="s">
        <v>8281</v>
      </c>
      <c r="Z410" t="s">
        <v>8282</v>
      </c>
      <c r="AA410" t="s">
        <v>8283</v>
      </c>
      <c r="AB410" t="s">
        <v>8284</v>
      </c>
      <c r="AC410" t="s">
        <v>8285</v>
      </c>
      <c r="AD410" t="s">
        <v>8286</v>
      </c>
      <c r="AE410" t="s">
        <v>8287</v>
      </c>
      <c r="AF410" t="s">
        <v>74</v>
      </c>
      <c r="AG410">
        <v>55</v>
      </c>
      <c r="AH410">
        <v>26</v>
      </c>
      <c r="AI410">
        <v>35</v>
      </c>
      <c r="AJ410">
        <v>5</v>
      </c>
      <c r="AK410">
        <v>73</v>
      </c>
      <c r="AL410" t="s">
        <v>208</v>
      </c>
      <c r="AM410" t="s">
        <v>209</v>
      </c>
      <c r="AN410" t="s">
        <v>210</v>
      </c>
      <c r="AO410" t="s">
        <v>4528</v>
      </c>
      <c r="AP410" t="s">
        <v>4529</v>
      </c>
      <c r="AQ410" t="s">
        <v>74</v>
      </c>
      <c r="AR410" t="s">
        <v>4530</v>
      </c>
      <c r="AS410" t="s">
        <v>4531</v>
      </c>
      <c r="AT410" t="s">
        <v>6261</v>
      </c>
      <c r="AU410">
        <v>2015</v>
      </c>
      <c r="AV410">
        <v>24</v>
      </c>
      <c r="AW410">
        <v>18</v>
      </c>
      <c r="AX410" t="s">
        <v>74</v>
      </c>
      <c r="AY410" t="s">
        <v>74</v>
      </c>
      <c r="AZ410" t="s">
        <v>74</v>
      </c>
      <c r="BA410" t="s">
        <v>74</v>
      </c>
      <c r="BB410">
        <v>4664</v>
      </c>
      <c r="BC410">
        <v>4678</v>
      </c>
      <c r="BD410" t="s">
        <v>74</v>
      </c>
      <c r="BE410" t="s">
        <v>8288</v>
      </c>
      <c r="BF410" t="str">
        <f>HYPERLINK("http://dx.doi.org/10.1111/mec.13344","http://dx.doi.org/10.1111/mec.13344")</f>
        <v>http://dx.doi.org/10.1111/mec.13344</v>
      </c>
      <c r="BG410" t="s">
        <v>74</v>
      </c>
      <c r="BH410" t="s">
        <v>74</v>
      </c>
      <c r="BI410">
        <v>15</v>
      </c>
      <c r="BJ410" t="s">
        <v>4533</v>
      </c>
      <c r="BK410" t="s">
        <v>101</v>
      </c>
      <c r="BL410" t="s">
        <v>4534</v>
      </c>
      <c r="BM410" t="s">
        <v>8289</v>
      </c>
      <c r="BN410">
        <v>26268413</v>
      </c>
      <c r="BO410" t="s">
        <v>74</v>
      </c>
      <c r="BP410" t="s">
        <v>74</v>
      </c>
      <c r="BQ410" t="s">
        <v>74</v>
      </c>
      <c r="BR410" t="s">
        <v>103</v>
      </c>
      <c r="BS410" t="s">
        <v>8290</v>
      </c>
      <c r="BT410" t="str">
        <f>HYPERLINK("https%3A%2F%2Fwww.webofscience.com%2Fwos%2Fwoscc%2Ffull-record%2FWOS:000361555900007","View Full Record in Web of Science")</f>
        <v>View Full Record in Web of Science</v>
      </c>
    </row>
    <row r="411" spans="1:72" x14ac:dyDescent="0.15">
      <c r="A411" t="s">
        <v>72</v>
      </c>
      <c r="B411" t="s">
        <v>8291</v>
      </c>
      <c r="C411" t="s">
        <v>74</v>
      </c>
      <c r="D411" t="s">
        <v>74</v>
      </c>
      <c r="E411" t="s">
        <v>74</v>
      </c>
      <c r="F411" t="s">
        <v>8292</v>
      </c>
      <c r="G411" t="s">
        <v>74</v>
      </c>
      <c r="H411" t="s">
        <v>74</v>
      </c>
      <c r="I411" t="s">
        <v>8293</v>
      </c>
      <c r="J411" t="s">
        <v>8294</v>
      </c>
      <c r="K411" t="s">
        <v>74</v>
      </c>
      <c r="L411" t="s">
        <v>74</v>
      </c>
      <c r="M411" t="s">
        <v>78</v>
      </c>
      <c r="N411" t="s">
        <v>79</v>
      </c>
      <c r="O411" t="s">
        <v>74</v>
      </c>
      <c r="P411" t="s">
        <v>74</v>
      </c>
      <c r="Q411" t="s">
        <v>74</v>
      </c>
      <c r="R411" t="s">
        <v>74</v>
      </c>
      <c r="S411" t="s">
        <v>74</v>
      </c>
      <c r="T411" t="s">
        <v>8295</v>
      </c>
      <c r="U411" t="s">
        <v>8296</v>
      </c>
      <c r="V411" t="s">
        <v>8297</v>
      </c>
      <c r="W411" t="s">
        <v>8298</v>
      </c>
      <c r="X411" t="s">
        <v>8299</v>
      </c>
      <c r="Y411" t="s">
        <v>8300</v>
      </c>
      <c r="Z411" t="s">
        <v>8301</v>
      </c>
      <c r="AA411" t="s">
        <v>8302</v>
      </c>
      <c r="AB411" t="s">
        <v>8303</v>
      </c>
      <c r="AC411" t="s">
        <v>8304</v>
      </c>
      <c r="AD411" t="s">
        <v>8305</v>
      </c>
      <c r="AE411" t="s">
        <v>8306</v>
      </c>
      <c r="AF411" t="s">
        <v>74</v>
      </c>
      <c r="AG411">
        <v>70</v>
      </c>
      <c r="AH411">
        <v>20</v>
      </c>
      <c r="AI411">
        <v>26</v>
      </c>
      <c r="AJ411">
        <v>0</v>
      </c>
      <c r="AK411">
        <v>36</v>
      </c>
      <c r="AL411" t="s">
        <v>208</v>
      </c>
      <c r="AM411" t="s">
        <v>209</v>
      </c>
      <c r="AN411" t="s">
        <v>210</v>
      </c>
      <c r="AO411" t="s">
        <v>8307</v>
      </c>
      <c r="AP411" t="s">
        <v>8308</v>
      </c>
      <c r="AQ411" t="s">
        <v>74</v>
      </c>
      <c r="AR411" t="s">
        <v>8309</v>
      </c>
      <c r="AS411" t="s">
        <v>8310</v>
      </c>
      <c r="AT411" t="s">
        <v>6261</v>
      </c>
      <c r="AU411">
        <v>2015</v>
      </c>
      <c r="AV411">
        <v>15</v>
      </c>
      <c r="AW411">
        <v>5</v>
      </c>
      <c r="AX411" t="s">
        <v>74</v>
      </c>
      <c r="AY411" t="s">
        <v>74</v>
      </c>
      <c r="AZ411" t="s">
        <v>74</v>
      </c>
      <c r="BA411" t="s">
        <v>74</v>
      </c>
      <c r="BB411">
        <v>1046</v>
      </c>
      <c r="BC411">
        <v>1058</v>
      </c>
      <c r="BD411" t="s">
        <v>74</v>
      </c>
      <c r="BE411" t="s">
        <v>8311</v>
      </c>
      <c r="BF411" t="str">
        <f>HYPERLINK("http://dx.doi.org/10.1111/1755-0998.12372","http://dx.doi.org/10.1111/1755-0998.12372")</f>
        <v>http://dx.doi.org/10.1111/1755-0998.12372</v>
      </c>
      <c r="BG411" t="s">
        <v>74</v>
      </c>
      <c r="BH411" t="s">
        <v>74</v>
      </c>
      <c r="BI411">
        <v>13</v>
      </c>
      <c r="BJ411" t="s">
        <v>4533</v>
      </c>
      <c r="BK411" t="s">
        <v>101</v>
      </c>
      <c r="BL411" t="s">
        <v>4534</v>
      </c>
      <c r="BM411" t="s">
        <v>8312</v>
      </c>
      <c r="BN411">
        <v>25594938</v>
      </c>
      <c r="BO411" t="s">
        <v>4305</v>
      </c>
      <c r="BP411" t="s">
        <v>74</v>
      </c>
      <c r="BQ411" t="s">
        <v>74</v>
      </c>
      <c r="BR411" t="s">
        <v>103</v>
      </c>
      <c r="BS411" t="s">
        <v>8313</v>
      </c>
      <c r="BT411" t="str">
        <f>HYPERLINK("https%3A%2F%2Fwww.webofscience.com%2Fwos%2Fwoscc%2Ffull-record%2FWOS:000359631600004","View Full Record in Web of Science")</f>
        <v>View Full Record in Web of Science</v>
      </c>
    </row>
    <row r="412" spans="1:72" x14ac:dyDescent="0.15">
      <c r="A412" t="s">
        <v>72</v>
      </c>
      <c r="B412" t="s">
        <v>8314</v>
      </c>
      <c r="C412" t="s">
        <v>74</v>
      </c>
      <c r="D412" t="s">
        <v>74</v>
      </c>
      <c r="E412" t="s">
        <v>74</v>
      </c>
      <c r="F412" t="s">
        <v>8315</v>
      </c>
      <c r="G412" t="s">
        <v>74</v>
      </c>
      <c r="H412" t="s">
        <v>74</v>
      </c>
      <c r="I412" t="s">
        <v>8316</v>
      </c>
      <c r="J412" t="s">
        <v>8317</v>
      </c>
      <c r="K412" t="s">
        <v>74</v>
      </c>
      <c r="L412" t="s">
        <v>74</v>
      </c>
      <c r="M412" t="s">
        <v>78</v>
      </c>
      <c r="N412" t="s">
        <v>79</v>
      </c>
      <c r="O412" t="s">
        <v>74</v>
      </c>
      <c r="P412" t="s">
        <v>74</v>
      </c>
      <c r="Q412" t="s">
        <v>74</v>
      </c>
      <c r="R412" t="s">
        <v>74</v>
      </c>
      <c r="S412" t="s">
        <v>74</v>
      </c>
      <c r="T412" t="s">
        <v>8318</v>
      </c>
      <c r="U412" t="s">
        <v>8319</v>
      </c>
      <c r="V412" t="s">
        <v>8320</v>
      </c>
      <c r="W412" t="s">
        <v>8321</v>
      </c>
      <c r="X412" t="s">
        <v>8322</v>
      </c>
      <c r="Y412" t="s">
        <v>8323</v>
      </c>
      <c r="Z412" t="s">
        <v>8324</v>
      </c>
      <c r="AA412" t="s">
        <v>8325</v>
      </c>
      <c r="AB412" t="s">
        <v>8326</v>
      </c>
      <c r="AC412" t="s">
        <v>8327</v>
      </c>
      <c r="AD412" t="s">
        <v>8328</v>
      </c>
      <c r="AE412" t="s">
        <v>8329</v>
      </c>
      <c r="AF412" t="s">
        <v>74</v>
      </c>
      <c r="AG412">
        <v>74</v>
      </c>
      <c r="AH412">
        <v>15</v>
      </c>
      <c r="AI412">
        <v>21</v>
      </c>
      <c r="AJ412">
        <v>0</v>
      </c>
      <c r="AK412">
        <v>14</v>
      </c>
      <c r="AL412" t="s">
        <v>8330</v>
      </c>
      <c r="AM412" t="s">
        <v>8331</v>
      </c>
      <c r="AN412" t="s">
        <v>8332</v>
      </c>
      <c r="AO412" t="s">
        <v>8333</v>
      </c>
      <c r="AP412" t="s">
        <v>74</v>
      </c>
      <c r="AQ412" t="s">
        <v>74</v>
      </c>
      <c r="AR412" t="s">
        <v>8334</v>
      </c>
      <c r="AS412" t="s">
        <v>8335</v>
      </c>
      <c r="AT412" t="s">
        <v>6261</v>
      </c>
      <c r="AU412">
        <v>2015</v>
      </c>
      <c r="AV412">
        <v>21</v>
      </c>
      <c r="AW412" t="s">
        <v>74</v>
      </c>
      <c r="AX412" t="s">
        <v>74</v>
      </c>
      <c r="AY412" t="s">
        <v>74</v>
      </c>
      <c r="AZ412" t="s">
        <v>74</v>
      </c>
      <c r="BA412" t="s">
        <v>74</v>
      </c>
      <c r="BB412">
        <v>93</v>
      </c>
      <c r="BC412">
        <v>99</v>
      </c>
      <c r="BD412" t="s">
        <v>74</v>
      </c>
      <c r="BE412" t="s">
        <v>74</v>
      </c>
      <c r="BF412" t="s">
        <v>74</v>
      </c>
      <c r="BG412" t="s">
        <v>74</v>
      </c>
      <c r="BH412" t="s">
        <v>74</v>
      </c>
      <c r="BI412">
        <v>7</v>
      </c>
      <c r="BJ412" t="s">
        <v>2065</v>
      </c>
      <c r="BK412" t="s">
        <v>101</v>
      </c>
      <c r="BL412" t="s">
        <v>2065</v>
      </c>
      <c r="BM412" t="s">
        <v>8336</v>
      </c>
      <c r="BN412" t="s">
        <v>74</v>
      </c>
      <c r="BO412" t="s">
        <v>74</v>
      </c>
      <c r="BP412" t="s">
        <v>74</v>
      </c>
      <c r="BQ412" t="s">
        <v>74</v>
      </c>
      <c r="BR412" t="s">
        <v>103</v>
      </c>
      <c r="BS412" t="s">
        <v>8337</v>
      </c>
      <c r="BT412" t="str">
        <f>HYPERLINK("https%3A%2F%2Fwww.webofscience.com%2Fwos%2Fwoscc%2Ffull-record%2FWOS:000361420100009","View Full Record in Web of Science")</f>
        <v>View Full Record in Web of Science</v>
      </c>
    </row>
    <row r="413" spans="1:72" x14ac:dyDescent="0.15">
      <c r="A413" t="s">
        <v>72</v>
      </c>
      <c r="B413" t="s">
        <v>8338</v>
      </c>
      <c r="C413" t="s">
        <v>74</v>
      </c>
      <c r="D413" t="s">
        <v>74</v>
      </c>
      <c r="E413" t="s">
        <v>74</v>
      </c>
      <c r="F413" t="s">
        <v>8339</v>
      </c>
      <c r="G413" t="s">
        <v>74</v>
      </c>
      <c r="H413" t="s">
        <v>74</v>
      </c>
      <c r="I413" t="s">
        <v>8340</v>
      </c>
      <c r="J413" t="s">
        <v>8341</v>
      </c>
      <c r="K413" t="s">
        <v>74</v>
      </c>
      <c r="L413" t="s">
        <v>74</v>
      </c>
      <c r="M413" t="s">
        <v>78</v>
      </c>
      <c r="N413" t="s">
        <v>79</v>
      </c>
      <c r="O413" t="s">
        <v>74</v>
      </c>
      <c r="P413" t="s">
        <v>74</v>
      </c>
      <c r="Q413" t="s">
        <v>74</v>
      </c>
      <c r="R413" t="s">
        <v>74</v>
      </c>
      <c r="S413" t="s">
        <v>74</v>
      </c>
      <c r="T413" t="s">
        <v>8342</v>
      </c>
      <c r="U413" t="s">
        <v>8343</v>
      </c>
      <c r="V413" t="s">
        <v>8344</v>
      </c>
      <c r="W413" t="s">
        <v>8345</v>
      </c>
      <c r="X413" t="s">
        <v>8346</v>
      </c>
      <c r="Y413" t="s">
        <v>8347</v>
      </c>
      <c r="Z413" t="s">
        <v>8348</v>
      </c>
      <c r="AA413" t="s">
        <v>8349</v>
      </c>
      <c r="AB413" t="s">
        <v>8350</v>
      </c>
      <c r="AC413" t="s">
        <v>8351</v>
      </c>
      <c r="AD413" t="s">
        <v>8352</v>
      </c>
      <c r="AE413" t="s">
        <v>8353</v>
      </c>
      <c r="AF413" t="s">
        <v>74</v>
      </c>
      <c r="AG413">
        <v>24</v>
      </c>
      <c r="AH413">
        <v>5</v>
      </c>
      <c r="AI413">
        <v>5</v>
      </c>
      <c r="AJ413">
        <v>0</v>
      </c>
      <c r="AK413">
        <v>1</v>
      </c>
      <c r="AL413" t="s">
        <v>92</v>
      </c>
      <c r="AM413" t="s">
        <v>93</v>
      </c>
      <c r="AN413" t="s">
        <v>94</v>
      </c>
      <c r="AO413" t="s">
        <v>8354</v>
      </c>
      <c r="AP413" t="s">
        <v>8355</v>
      </c>
      <c r="AQ413" t="s">
        <v>74</v>
      </c>
      <c r="AR413" t="s">
        <v>8356</v>
      </c>
      <c r="AS413" t="s">
        <v>8357</v>
      </c>
      <c r="AT413" t="s">
        <v>6261</v>
      </c>
      <c r="AU413">
        <v>2015</v>
      </c>
      <c r="AV413">
        <v>24</v>
      </c>
      <c r="AW413">
        <v>3</v>
      </c>
      <c r="AX413" t="s">
        <v>74</v>
      </c>
      <c r="AY413" t="s">
        <v>74</v>
      </c>
      <c r="AZ413" t="s">
        <v>74</v>
      </c>
      <c r="BA413" t="s">
        <v>74</v>
      </c>
      <c r="BB413">
        <v>339</v>
      </c>
      <c r="BC413">
        <v>348</v>
      </c>
      <c r="BD413" t="s">
        <v>74</v>
      </c>
      <c r="BE413" t="s">
        <v>8358</v>
      </c>
      <c r="BF413" t="str">
        <f>HYPERLINK("http://dx.doi.org/10.1007/s11053-014-9260-x","http://dx.doi.org/10.1007/s11053-014-9260-x")</f>
        <v>http://dx.doi.org/10.1007/s11053-014-9260-x</v>
      </c>
      <c r="BG413" t="s">
        <v>74</v>
      </c>
      <c r="BH413" t="s">
        <v>74</v>
      </c>
      <c r="BI413">
        <v>10</v>
      </c>
      <c r="BJ413" t="s">
        <v>314</v>
      </c>
      <c r="BK413" t="s">
        <v>101</v>
      </c>
      <c r="BL413" t="s">
        <v>315</v>
      </c>
      <c r="BM413" t="s">
        <v>8359</v>
      </c>
      <c r="BN413" t="s">
        <v>74</v>
      </c>
      <c r="BO413" t="s">
        <v>74</v>
      </c>
      <c r="BP413" t="s">
        <v>74</v>
      </c>
      <c r="BQ413" t="s">
        <v>74</v>
      </c>
      <c r="BR413" t="s">
        <v>103</v>
      </c>
      <c r="BS413" t="s">
        <v>8360</v>
      </c>
      <c r="BT413" t="str">
        <f>HYPERLINK("https%3A%2F%2Fwww.webofscience.com%2Fwos%2Fwoscc%2Ffull-record%2FWOS:000209981200007","View Full Record in Web of Science")</f>
        <v>View Full Record in Web of Science</v>
      </c>
    </row>
    <row r="414" spans="1:72" x14ac:dyDescent="0.15">
      <c r="A414" t="s">
        <v>72</v>
      </c>
      <c r="B414" t="s">
        <v>8361</v>
      </c>
      <c r="C414" t="s">
        <v>74</v>
      </c>
      <c r="D414" t="s">
        <v>74</v>
      </c>
      <c r="E414" t="s">
        <v>74</v>
      </c>
      <c r="F414" t="s">
        <v>8362</v>
      </c>
      <c r="G414" t="s">
        <v>74</v>
      </c>
      <c r="H414" t="s">
        <v>74</v>
      </c>
      <c r="I414" t="s">
        <v>8363</v>
      </c>
      <c r="J414" t="s">
        <v>538</v>
      </c>
      <c r="K414" t="s">
        <v>74</v>
      </c>
      <c r="L414" t="s">
        <v>74</v>
      </c>
      <c r="M414" t="s">
        <v>78</v>
      </c>
      <c r="N414" t="s">
        <v>79</v>
      </c>
      <c r="O414" t="s">
        <v>74</v>
      </c>
      <c r="P414" t="s">
        <v>74</v>
      </c>
      <c r="Q414" t="s">
        <v>74</v>
      </c>
      <c r="R414" t="s">
        <v>74</v>
      </c>
      <c r="S414" t="s">
        <v>74</v>
      </c>
      <c r="T414" t="s">
        <v>74</v>
      </c>
      <c r="U414" t="s">
        <v>8364</v>
      </c>
      <c r="V414" t="s">
        <v>8365</v>
      </c>
      <c r="W414" t="s">
        <v>8366</v>
      </c>
      <c r="X414" t="s">
        <v>8367</v>
      </c>
      <c r="Y414" t="s">
        <v>8368</v>
      </c>
      <c r="Z414" t="s">
        <v>8369</v>
      </c>
      <c r="AA414" t="s">
        <v>8370</v>
      </c>
      <c r="AB414" t="s">
        <v>8371</v>
      </c>
      <c r="AC414" t="s">
        <v>8372</v>
      </c>
      <c r="AD414" t="s">
        <v>8373</v>
      </c>
      <c r="AE414" t="s">
        <v>8374</v>
      </c>
      <c r="AF414" t="s">
        <v>74</v>
      </c>
      <c r="AG414">
        <v>39</v>
      </c>
      <c r="AH414">
        <v>50</v>
      </c>
      <c r="AI414">
        <v>52</v>
      </c>
      <c r="AJ414">
        <v>4</v>
      </c>
      <c r="AK414">
        <v>57</v>
      </c>
      <c r="AL414" t="s">
        <v>179</v>
      </c>
      <c r="AM414" t="s">
        <v>550</v>
      </c>
      <c r="AN414" t="s">
        <v>551</v>
      </c>
      <c r="AO414" t="s">
        <v>552</v>
      </c>
      <c r="AP414" t="s">
        <v>553</v>
      </c>
      <c r="AQ414" t="s">
        <v>74</v>
      </c>
      <c r="AR414" t="s">
        <v>554</v>
      </c>
      <c r="AS414" t="s">
        <v>555</v>
      </c>
      <c r="AT414" t="s">
        <v>6261</v>
      </c>
      <c r="AU414">
        <v>2015</v>
      </c>
      <c r="AV414">
        <v>8</v>
      </c>
      <c r="AW414">
        <v>9</v>
      </c>
      <c r="AX414" t="s">
        <v>74</v>
      </c>
      <c r="AY414" t="s">
        <v>74</v>
      </c>
      <c r="AZ414" t="s">
        <v>74</v>
      </c>
      <c r="BA414" t="s">
        <v>74</v>
      </c>
      <c r="BB414">
        <v>723</v>
      </c>
      <c r="BC414" t="s">
        <v>556</v>
      </c>
      <c r="BD414" t="s">
        <v>74</v>
      </c>
      <c r="BE414" t="s">
        <v>8375</v>
      </c>
      <c r="BF414" t="str">
        <f>HYPERLINK("http://dx.doi.org/10.1038/NGEO2495","http://dx.doi.org/10.1038/NGEO2495")</f>
        <v>http://dx.doi.org/10.1038/NGEO2495</v>
      </c>
      <c r="BG414" t="s">
        <v>74</v>
      </c>
      <c r="BH414" t="s">
        <v>74</v>
      </c>
      <c r="BI414">
        <v>6</v>
      </c>
      <c r="BJ414" t="s">
        <v>314</v>
      </c>
      <c r="BK414" t="s">
        <v>101</v>
      </c>
      <c r="BL414" t="s">
        <v>315</v>
      </c>
      <c r="BM414" t="s">
        <v>8376</v>
      </c>
      <c r="BN414" t="s">
        <v>74</v>
      </c>
      <c r="BO414" t="s">
        <v>290</v>
      </c>
      <c r="BP414" t="s">
        <v>74</v>
      </c>
      <c r="BQ414" t="s">
        <v>74</v>
      </c>
      <c r="BR414" t="s">
        <v>103</v>
      </c>
      <c r="BS414" t="s">
        <v>8377</v>
      </c>
      <c r="BT414" t="str">
        <f>HYPERLINK("https%3A%2F%2Fwww.webofscience.com%2Fwos%2Fwoscc%2Ffull-record%2FWOS:000360392000019","View Full Record in Web of Science")</f>
        <v>View Full Record in Web of Science</v>
      </c>
    </row>
    <row r="415" spans="1:72" x14ac:dyDescent="0.15">
      <c r="A415" t="s">
        <v>72</v>
      </c>
      <c r="B415" t="s">
        <v>8378</v>
      </c>
      <c r="C415" t="s">
        <v>74</v>
      </c>
      <c r="D415" t="s">
        <v>74</v>
      </c>
      <c r="E415" t="s">
        <v>74</v>
      </c>
      <c r="F415" t="s">
        <v>8379</v>
      </c>
      <c r="G415" t="s">
        <v>74</v>
      </c>
      <c r="H415" t="s">
        <v>74</v>
      </c>
      <c r="I415" t="s">
        <v>8380</v>
      </c>
      <c r="J415" t="s">
        <v>8381</v>
      </c>
      <c r="K415" t="s">
        <v>74</v>
      </c>
      <c r="L415" t="s">
        <v>74</v>
      </c>
      <c r="M415" t="s">
        <v>78</v>
      </c>
      <c r="N415" t="s">
        <v>79</v>
      </c>
      <c r="O415" t="s">
        <v>74</v>
      </c>
      <c r="P415" t="s">
        <v>74</v>
      </c>
      <c r="Q415" t="s">
        <v>74</v>
      </c>
      <c r="R415" t="s">
        <v>74</v>
      </c>
      <c r="S415" t="s">
        <v>74</v>
      </c>
      <c r="T415" t="s">
        <v>8382</v>
      </c>
      <c r="U415" t="s">
        <v>8383</v>
      </c>
      <c r="V415" t="s">
        <v>8384</v>
      </c>
      <c r="W415" t="s">
        <v>8385</v>
      </c>
      <c r="X415" t="s">
        <v>8386</v>
      </c>
      <c r="Y415" t="s">
        <v>8387</v>
      </c>
      <c r="Z415" t="s">
        <v>8388</v>
      </c>
      <c r="AA415" t="s">
        <v>74</v>
      </c>
      <c r="AB415" t="s">
        <v>8389</v>
      </c>
      <c r="AC415" t="s">
        <v>8390</v>
      </c>
      <c r="AD415" t="s">
        <v>8391</v>
      </c>
      <c r="AE415" t="s">
        <v>8392</v>
      </c>
      <c r="AF415" t="s">
        <v>74</v>
      </c>
      <c r="AG415">
        <v>18</v>
      </c>
      <c r="AH415">
        <v>4</v>
      </c>
      <c r="AI415">
        <v>4</v>
      </c>
      <c r="AJ415">
        <v>0</v>
      </c>
      <c r="AK415">
        <v>6</v>
      </c>
      <c r="AL415" t="s">
        <v>397</v>
      </c>
      <c r="AM415" t="s">
        <v>398</v>
      </c>
      <c r="AN415" t="s">
        <v>399</v>
      </c>
      <c r="AO415" t="s">
        <v>8393</v>
      </c>
      <c r="AP415" t="s">
        <v>74</v>
      </c>
      <c r="AQ415" t="s">
        <v>74</v>
      </c>
      <c r="AR415" t="s">
        <v>8394</v>
      </c>
      <c r="AS415" t="s">
        <v>8395</v>
      </c>
      <c r="AT415" t="s">
        <v>6441</v>
      </c>
      <c r="AU415">
        <v>2015</v>
      </c>
      <c r="AV415">
        <v>105</v>
      </c>
      <c r="AW415" t="s">
        <v>74</v>
      </c>
      <c r="AX415" t="s">
        <v>74</v>
      </c>
      <c r="AY415" t="s">
        <v>74</v>
      </c>
      <c r="AZ415" t="s">
        <v>74</v>
      </c>
      <c r="BA415" t="s">
        <v>74</v>
      </c>
      <c r="BB415">
        <v>176</v>
      </c>
      <c r="BC415">
        <v>185</v>
      </c>
      <c r="BD415" t="s">
        <v>74</v>
      </c>
      <c r="BE415" t="s">
        <v>8396</v>
      </c>
      <c r="BF415" t="str">
        <f>HYPERLINK("http://dx.doi.org/10.1016/j.oceaneng.2015.06.004","http://dx.doi.org/10.1016/j.oceaneng.2015.06.004")</f>
        <v>http://dx.doi.org/10.1016/j.oceaneng.2015.06.004</v>
      </c>
      <c r="BG415" t="s">
        <v>74</v>
      </c>
      <c r="BH415" t="s">
        <v>74</v>
      </c>
      <c r="BI415">
        <v>10</v>
      </c>
      <c r="BJ415" t="s">
        <v>8397</v>
      </c>
      <c r="BK415" t="s">
        <v>101</v>
      </c>
      <c r="BL415" t="s">
        <v>8398</v>
      </c>
      <c r="BM415" t="s">
        <v>8399</v>
      </c>
      <c r="BN415" t="s">
        <v>74</v>
      </c>
      <c r="BO415" t="s">
        <v>74</v>
      </c>
      <c r="BP415" t="s">
        <v>74</v>
      </c>
      <c r="BQ415" t="s">
        <v>74</v>
      </c>
      <c r="BR415" t="s">
        <v>103</v>
      </c>
      <c r="BS415" t="s">
        <v>8400</v>
      </c>
      <c r="BT415" t="str">
        <f>HYPERLINK("https%3A%2F%2Fwww.webofscience.com%2Fwos%2Fwoscc%2Ffull-record%2FWOS:000360417700016","View Full Record in Web of Science")</f>
        <v>View Full Record in Web of Science</v>
      </c>
    </row>
    <row r="416" spans="1:72" x14ac:dyDescent="0.15">
      <c r="A416" t="s">
        <v>72</v>
      </c>
      <c r="B416" t="s">
        <v>8401</v>
      </c>
      <c r="C416" t="s">
        <v>74</v>
      </c>
      <c r="D416" t="s">
        <v>74</v>
      </c>
      <c r="E416" t="s">
        <v>74</v>
      </c>
      <c r="F416" t="s">
        <v>8402</v>
      </c>
      <c r="G416" t="s">
        <v>74</v>
      </c>
      <c r="H416" t="s">
        <v>74</v>
      </c>
      <c r="I416" t="s">
        <v>8403</v>
      </c>
      <c r="J416" t="s">
        <v>603</v>
      </c>
      <c r="K416" t="s">
        <v>74</v>
      </c>
      <c r="L416" t="s">
        <v>74</v>
      </c>
      <c r="M416" t="s">
        <v>78</v>
      </c>
      <c r="N416" t="s">
        <v>79</v>
      </c>
      <c r="O416" t="s">
        <v>74</v>
      </c>
      <c r="P416" t="s">
        <v>74</v>
      </c>
      <c r="Q416" t="s">
        <v>74</v>
      </c>
      <c r="R416" t="s">
        <v>74</v>
      </c>
      <c r="S416" t="s">
        <v>74</v>
      </c>
      <c r="T416" t="s">
        <v>8404</v>
      </c>
      <c r="U416" t="s">
        <v>8405</v>
      </c>
      <c r="V416" t="s">
        <v>8406</v>
      </c>
      <c r="W416" t="s">
        <v>8407</v>
      </c>
      <c r="X416" t="s">
        <v>8408</v>
      </c>
      <c r="Y416" t="s">
        <v>8409</v>
      </c>
      <c r="Z416" t="s">
        <v>8410</v>
      </c>
      <c r="AA416" t="s">
        <v>8411</v>
      </c>
      <c r="AB416" t="s">
        <v>8412</v>
      </c>
      <c r="AC416" t="s">
        <v>8413</v>
      </c>
      <c r="AD416" t="s">
        <v>8414</v>
      </c>
      <c r="AE416" t="s">
        <v>8415</v>
      </c>
      <c r="AF416" t="s">
        <v>74</v>
      </c>
      <c r="AG416">
        <v>143</v>
      </c>
      <c r="AH416">
        <v>110</v>
      </c>
      <c r="AI416">
        <v>120</v>
      </c>
      <c r="AJ416">
        <v>0</v>
      </c>
      <c r="AK416">
        <v>45</v>
      </c>
      <c r="AL416" t="s">
        <v>496</v>
      </c>
      <c r="AM416" t="s">
        <v>398</v>
      </c>
      <c r="AN416" t="s">
        <v>497</v>
      </c>
      <c r="AO416" t="s">
        <v>616</v>
      </c>
      <c r="AP416" t="s">
        <v>617</v>
      </c>
      <c r="AQ416" t="s">
        <v>74</v>
      </c>
      <c r="AR416" t="s">
        <v>618</v>
      </c>
      <c r="AS416" t="s">
        <v>619</v>
      </c>
      <c r="AT416" t="s">
        <v>6261</v>
      </c>
      <c r="AU416">
        <v>2015</v>
      </c>
      <c r="AV416">
        <v>93</v>
      </c>
      <c r="AW416" t="s">
        <v>74</v>
      </c>
      <c r="AX416" t="s">
        <v>74</v>
      </c>
      <c r="AY416" t="s">
        <v>74</v>
      </c>
      <c r="AZ416" t="s">
        <v>74</v>
      </c>
      <c r="BA416" t="s">
        <v>74</v>
      </c>
      <c r="BB416">
        <v>84</v>
      </c>
      <c r="BC416">
        <v>120</v>
      </c>
      <c r="BD416" t="s">
        <v>74</v>
      </c>
      <c r="BE416" t="s">
        <v>8416</v>
      </c>
      <c r="BF416" t="str">
        <f>HYPERLINK("http://dx.doi.org/10.1016/j.ocemod.2015.07.009","http://dx.doi.org/10.1016/j.ocemod.2015.07.009")</f>
        <v>http://dx.doi.org/10.1016/j.ocemod.2015.07.009</v>
      </c>
      <c r="BG416" t="s">
        <v>74</v>
      </c>
      <c r="BH416" t="s">
        <v>74</v>
      </c>
      <c r="BI416">
        <v>37</v>
      </c>
      <c r="BJ416" t="s">
        <v>621</v>
      </c>
      <c r="BK416" t="s">
        <v>101</v>
      </c>
      <c r="BL416" t="s">
        <v>621</v>
      </c>
      <c r="BM416" t="s">
        <v>7241</v>
      </c>
      <c r="BN416" t="s">
        <v>74</v>
      </c>
      <c r="BO416" t="s">
        <v>74</v>
      </c>
      <c r="BP416" t="s">
        <v>74</v>
      </c>
      <c r="BQ416" t="s">
        <v>74</v>
      </c>
      <c r="BR416" t="s">
        <v>103</v>
      </c>
      <c r="BS416" t="s">
        <v>8417</v>
      </c>
      <c r="BT416" t="str">
        <f>HYPERLINK("https%3A%2F%2Fwww.webofscience.com%2Fwos%2Fwoscc%2Ffull-record%2FWOS:000360980600007","View Full Record in Web of Science")</f>
        <v>View Full Record in Web of Science</v>
      </c>
    </row>
    <row r="417" spans="1:72" x14ac:dyDescent="0.15">
      <c r="A417" t="s">
        <v>72</v>
      </c>
      <c r="B417" t="s">
        <v>8418</v>
      </c>
      <c r="C417" t="s">
        <v>74</v>
      </c>
      <c r="D417" t="s">
        <v>74</v>
      </c>
      <c r="E417" t="s">
        <v>74</v>
      </c>
      <c r="F417" t="s">
        <v>8419</v>
      </c>
      <c r="G417" t="s">
        <v>74</v>
      </c>
      <c r="H417" t="s">
        <v>74</v>
      </c>
      <c r="I417" t="s">
        <v>8420</v>
      </c>
      <c r="J417" t="s">
        <v>4716</v>
      </c>
      <c r="K417" t="s">
        <v>74</v>
      </c>
      <c r="L417" t="s">
        <v>74</v>
      </c>
      <c r="M417" t="s">
        <v>78</v>
      </c>
      <c r="N417" t="s">
        <v>79</v>
      </c>
      <c r="O417" t="s">
        <v>74</v>
      </c>
      <c r="P417" t="s">
        <v>74</v>
      </c>
      <c r="Q417" t="s">
        <v>74</v>
      </c>
      <c r="R417" t="s">
        <v>74</v>
      </c>
      <c r="S417" t="s">
        <v>74</v>
      </c>
      <c r="T417" t="s">
        <v>8421</v>
      </c>
      <c r="U417" t="s">
        <v>8422</v>
      </c>
      <c r="V417" t="s">
        <v>8423</v>
      </c>
      <c r="W417" t="s">
        <v>8424</v>
      </c>
      <c r="X417" t="s">
        <v>8425</v>
      </c>
      <c r="Y417" t="s">
        <v>8426</v>
      </c>
      <c r="Z417" t="s">
        <v>8427</v>
      </c>
      <c r="AA417" t="s">
        <v>8428</v>
      </c>
      <c r="AB417" t="s">
        <v>8429</v>
      </c>
      <c r="AC417" t="s">
        <v>74</v>
      </c>
      <c r="AD417" t="s">
        <v>74</v>
      </c>
      <c r="AE417" t="s">
        <v>74</v>
      </c>
      <c r="AF417" t="s">
        <v>74</v>
      </c>
      <c r="AG417">
        <v>98</v>
      </c>
      <c r="AH417">
        <v>14</v>
      </c>
      <c r="AI417">
        <v>14</v>
      </c>
      <c r="AJ417">
        <v>4</v>
      </c>
      <c r="AK417">
        <v>16</v>
      </c>
      <c r="AL417" t="s">
        <v>883</v>
      </c>
      <c r="AM417" t="s">
        <v>884</v>
      </c>
      <c r="AN417" t="s">
        <v>885</v>
      </c>
      <c r="AO417" t="s">
        <v>4729</v>
      </c>
      <c r="AP417" t="s">
        <v>4730</v>
      </c>
      <c r="AQ417" t="s">
        <v>74</v>
      </c>
      <c r="AR417" t="s">
        <v>4731</v>
      </c>
      <c r="AS417" t="s">
        <v>4732</v>
      </c>
      <c r="AT417" t="s">
        <v>6441</v>
      </c>
      <c r="AU417">
        <v>2015</v>
      </c>
      <c r="AV417">
        <v>433</v>
      </c>
      <c r="AW417" t="s">
        <v>74</v>
      </c>
      <c r="AX417" t="s">
        <v>74</v>
      </c>
      <c r="AY417" t="s">
        <v>74</v>
      </c>
      <c r="AZ417" t="s">
        <v>74</v>
      </c>
      <c r="BA417" t="s">
        <v>74</v>
      </c>
      <c r="BB417">
        <v>247</v>
      </c>
      <c r="BC417">
        <v>258</v>
      </c>
      <c r="BD417" t="s">
        <v>74</v>
      </c>
      <c r="BE417" t="s">
        <v>8430</v>
      </c>
      <c r="BF417" t="str">
        <f>HYPERLINK("http://dx.doi.org/10.1016/j.palaeo.2015.05.023","http://dx.doi.org/10.1016/j.palaeo.2015.05.023")</f>
        <v>http://dx.doi.org/10.1016/j.palaeo.2015.05.023</v>
      </c>
      <c r="BG417" t="s">
        <v>74</v>
      </c>
      <c r="BH417" t="s">
        <v>74</v>
      </c>
      <c r="BI417">
        <v>12</v>
      </c>
      <c r="BJ417" t="s">
        <v>4734</v>
      </c>
      <c r="BK417" t="s">
        <v>101</v>
      </c>
      <c r="BL417" t="s">
        <v>4735</v>
      </c>
      <c r="BM417" t="s">
        <v>8431</v>
      </c>
      <c r="BN417" t="s">
        <v>74</v>
      </c>
      <c r="BO417" t="s">
        <v>74</v>
      </c>
      <c r="BP417" t="s">
        <v>74</v>
      </c>
      <c r="BQ417" t="s">
        <v>74</v>
      </c>
      <c r="BR417" t="s">
        <v>103</v>
      </c>
      <c r="BS417" t="s">
        <v>8432</v>
      </c>
      <c r="BT417" t="str">
        <f>HYPERLINK("https%3A%2F%2Fwww.webofscience.com%2Fwos%2Fwoscc%2Ffull-record%2FWOS:000358466400019","View Full Record in Web of Science")</f>
        <v>View Full Record in Web of Science</v>
      </c>
    </row>
    <row r="418" spans="1:72" x14ac:dyDescent="0.15">
      <c r="A418" t="s">
        <v>72</v>
      </c>
      <c r="B418" t="s">
        <v>8433</v>
      </c>
      <c r="C418" t="s">
        <v>74</v>
      </c>
      <c r="D418" t="s">
        <v>74</v>
      </c>
      <c r="E418" t="s">
        <v>74</v>
      </c>
      <c r="F418" t="s">
        <v>8434</v>
      </c>
      <c r="G418" t="s">
        <v>74</v>
      </c>
      <c r="H418" t="s">
        <v>74</v>
      </c>
      <c r="I418" t="s">
        <v>8435</v>
      </c>
      <c r="J418" t="s">
        <v>650</v>
      </c>
      <c r="K418" t="s">
        <v>74</v>
      </c>
      <c r="L418" t="s">
        <v>74</v>
      </c>
      <c r="M418" t="s">
        <v>78</v>
      </c>
      <c r="N418" t="s">
        <v>79</v>
      </c>
      <c r="O418" t="s">
        <v>74</v>
      </c>
      <c r="P418" t="s">
        <v>74</v>
      </c>
      <c r="Q418" t="s">
        <v>74</v>
      </c>
      <c r="R418" t="s">
        <v>74</v>
      </c>
      <c r="S418" t="s">
        <v>74</v>
      </c>
      <c r="T418" t="s">
        <v>74</v>
      </c>
      <c r="U418" t="s">
        <v>8436</v>
      </c>
      <c r="V418" t="s">
        <v>8437</v>
      </c>
      <c r="W418" t="s">
        <v>8438</v>
      </c>
      <c r="X418" t="s">
        <v>8439</v>
      </c>
      <c r="Y418" t="s">
        <v>8440</v>
      </c>
      <c r="Z418" t="s">
        <v>8441</v>
      </c>
      <c r="AA418" t="s">
        <v>8442</v>
      </c>
      <c r="AB418" t="s">
        <v>8443</v>
      </c>
      <c r="AC418" t="s">
        <v>8444</v>
      </c>
      <c r="AD418" t="s">
        <v>8445</v>
      </c>
      <c r="AE418" t="s">
        <v>8446</v>
      </c>
      <c r="AF418" t="s">
        <v>74</v>
      </c>
      <c r="AG418">
        <v>57</v>
      </c>
      <c r="AH418">
        <v>23</v>
      </c>
      <c r="AI418">
        <v>24</v>
      </c>
      <c r="AJ418">
        <v>0</v>
      </c>
      <c r="AK418">
        <v>25</v>
      </c>
      <c r="AL418" t="s">
        <v>306</v>
      </c>
      <c r="AM418" t="s">
        <v>307</v>
      </c>
      <c r="AN418" t="s">
        <v>308</v>
      </c>
      <c r="AO418" t="s">
        <v>661</v>
      </c>
      <c r="AP418" t="s">
        <v>662</v>
      </c>
      <c r="AQ418" t="s">
        <v>74</v>
      </c>
      <c r="AR418" t="s">
        <v>650</v>
      </c>
      <c r="AS418" t="s">
        <v>663</v>
      </c>
      <c r="AT418" t="s">
        <v>6261</v>
      </c>
      <c r="AU418">
        <v>2015</v>
      </c>
      <c r="AV418">
        <v>30</v>
      </c>
      <c r="AW418">
        <v>9</v>
      </c>
      <c r="AX418" t="s">
        <v>74</v>
      </c>
      <c r="AY418" t="s">
        <v>74</v>
      </c>
      <c r="AZ418" t="s">
        <v>74</v>
      </c>
      <c r="BA418" t="s">
        <v>74</v>
      </c>
      <c r="BB418">
        <v>1202</v>
      </c>
      <c r="BC418">
        <v>1216</v>
      </c>
      <c r="BD418" t="s">
        <v>74</v>
      </c>
      <c r="BE418" t="s">
        <v>8447</v>
      </c>
      <c r="BF418" t="str">
        <f>HYPERLINK("http://dx.doi.org/10.1002/2015PA002786","http://dx.doi.org/10.1002/2015PA002786")</f>
        <v>http://dx.doi.org/10.1002/2015PA002786</v>
      </c>
      <c r="BG418" t="s">
        <v>74</v>
      </c>
      <c r="BH418" t="s">
        <v>74</v>
      </c>
      <c r="BI418">
        <v>15</v>
      </c>
      <c r="BJ418" t="s">
        <v>665</v>
      </c>
      <c r="BK418" t="s">
        <v>101</v>
      </c>
      <c r="BL418" t="s">
        <v>666</v>
      </c>
      <c r="BM418" t="s">
        <v>8448</v>
      </c>
      <c r="BN418" t="s">
        <v>74</v>
      </c>
      <c r="BO418" t="s">
        <v>1235</v>
      </c>
      <c r="BP418" t="s">
        <v>74</v>
      </c>
      <c r="BQ418" t="s">
        <v>74</v>
      </c>
      <c r="BR418" t="s">
        <v>103</v>
      </c>
      <c r="BS418" t="s">
        <v>8449</v>
      </c>
      <c r="BT418" t="str">
        <f>HYPERLINK("https%3A%2F%2Fwww.webofscience.com%2Fwos%2Fwoscc%2Ffull-record%2FWOS:000366062200004","View Full Record in Web of Science")</f>
        <v>View Full Record in Web of Science</v>
      </c>
    </row>
    <row r="419" spans="1:72" x14ac:dyDescent="0.15">
      <c r="A419" t="s">
        <v>72</v>
      </c>
      <c r="B419" t="s">
        <v>8450</v>
      </c>
      <c r="C419" t="s">
        <v>74</v>
      </c>
      <c r="D419" t="s">
        <v>74</v>
      </c>
      <c r="E419" t="s">
        <v>74</v>
      </c>
      <c r="F419" t="s">
        <v>8451</v>
      </c>
      <c r="G419" t="s">
        <v>74</v>
      </c>
      <c r="H419" t="s">
        <v>74</v>
      </c>
      <c r="I419" t="s">
        <v>8452</v>
      </c>
      <c r="J419" t="s">
        <v>4759</v>
      </c>
      <c r="K419" t="s">
        <v>74</v>
      </c>
      <c r="L419" t="s">
        <v>74</v>
      </c>
      <c r="M419" t="s">
        <v>78</v>
      </c>
      <c r="N419" t="s">
        <v>79</v>
      </c>
      <c r="O419" t="s">
        <v>74</v>
      </c>
      <c r="P419" t="s">
        <v>74</v>
      </c>
      <c r="Q419" t="s">
        <v>74</v>
      </c>
      <c r="R419" t="s">
        <v>74</v>
      </c>
      <c r="S419" t="s">
        <v>74</v>
      </c>
      <c r="T419" t="s">
        <v>8453</v>
      </c>
      <c r="U419" t="s">
        <v>8454</v>
      </c>
      <c r="V419" t="s">
        <v>8455</v>
      </c>
      <c r="W419" t="s">
        <v>8456</v>
      </c>
      <c r="X419" t="s">
        <v>8457</v>
      </c>
      <c r="Y419" t="s">
        <v>8458</v>
      </c>
      <c r="Z419" t="s">
        <v>6050</v>
      </c>
      <c r="AA419" t="s">
        <v>8459</v>
      </c>
      <c r="AB419" t="s">
        <v>8460</v>
      </c>
      <c r="AC419" t="s">
        <v>8461</v>
      </c>
      <c r="AD419" t="s">
        <v>8462</v>
      </c>
      <c r="AE419" t="s">
        <v>8463</v>
      </c>
      <c r="AF419" t="s">
        <v>74</v>
      </c>
      <c r="AG419">
        <v>67</v>
      </c>
      <c r="AH419">
        <v>14</v>
      </c>
      <c r="AI419">
        <v>15</v>
      </c>
      <c r="AJ419">
        <v>2</v>
      </c>
      <c r="AK419">
        <v>59</v>
      </c>
      <c r="AL419" t="s">
        <v>92</v>
      </c>
      <c r="AM419" t="s">
        <v>550</v>
      </c>
      <c r="AN419" t="s">
        <v>1398</v>
      </c>
      <c r="AO419" t="s">
        <v>4773</v>
      </c>
      <c r="AP419" t="s">
        <v>4774</v>
      </c>
      <c r="AQ419" t="s">
        <v>74</v>
      </c>
      <c r="AR419" t="s">
        <v>4775</v>
      </c>
      <c r="AS419" t="s">
        <v>4776</v>
      </c>
      <c r="AT419" t="s">
        <v>6261</v>
      </c>
      <c r="AU419">
        <v>2015</v>
      </c>
      <c r="AV419">
        <v>38</v>
      </c>
      <c r="AW419">
        <v>9</v>
      </c>
      <c r="AX419" t="s">
        <v>74</v>
      </c>
      <c r="AY419" t="s">
        <v>74</v>
      </c>
      <c r="AZ419" t="s">
        <v>74</v>
      </c>
      <c r="BA419" t="s">
        <v>74</v>
      </c>
      <c r="BB419">
        <v>1335</v>
      </c>
      <c r="BC419">
        <v>1343</v>
      </c>
      <c r="BD419" t="s">
        <v>74</v>
      </c>
      <c r="BE419" t="s">
        <v>8464</v>
      </c>
      <c r="BF419" t="str">
        <f>HYPERLINK("http://dx.doi.org/10.1007/s00300-015-1697-9","http://dx.doi.org/10.1007/s00300-015-1697-9")</f>
        <v>http://dx.doi.org/10.1007/s00300-015-1697-9</v>
      </c>
      <c r="BG419" t="s">
        <v>74</v>
      </c>
      <c r="BH419" t="s">
        <v>74</v>
      </c>
      <c r="BI419">
        <v>9</v>
      </c>
      <c r="BJ419" t="s">
        <v>4778</v>
      </c>
      <c r="BK419" t="s">
        <v>101</v>
      </c>
      <c r="BL419" t="s">
        <v>3806</v>
      </c>
      <c r="BM419" t="s">
        <v>8465</v>
      </c>
      <c r="BN419" t="s">
        <v>74</v>
      </c>
      <c r="BO419" t="s">
        <v>74</v>
      </c>
      <c r="BP419" t="s">
        <v>74</v>
      </c>
      <c r="BQ419" t="s">
        <v>74</v>
      </c>
      <c r="BR419" t="s">
        <v>103</v>
      </c>
      <c r="BS419" t="s">
        <v>8466</v>
      </c>
      <c r="BT419" t="str">
        <f>HYPERLINK("https%3A%2F%2Fwww.webofscience.com%2Fwos%2Fwoscc%2Ffull-record%2FWOS:000359188800002","View Full Record in Web of Science")</f>
        <v>View Full Record in Web of Science</v>
      </c>
    </row>
    <row r="420" spans="1:72" x14ac:dyDescent="0.15">
      <c r="A420" t="s">
        <v>72</v>
      </c>
      <c r="B420" t="s">
        <v>8467</v>
      </c>
      <c r="C420" t="s">
        <v>74</v>
      </c>
      <c r="D420" t="s">
        <v>74</v>
      </c>
      <c r="E420" t="s">
        <v>74</v>
      </c>
      <c r="F420" t="s">
        <v>8468</v>
      </c>
      <c r="G420" t="s">
        <v>74</v>
      </c>
      <c r="H420" t="s">
        <v>74</v>
      </c>
      <c r="I420" t="s">
        <v>8469</v>
      </c>
      <c r="J420" t="s">
        <v>4759</v>
      </c>
      <c r="K420" t="s">
        <v>74</v>
      </c>
      <c r="L420" t="s">
        <v>74</v>
      </c>
      <c r="M420" t="s">
        <v>78</v>
      </c>
      <c r="N420" t="s">
        <v>79</v>
      </c>
      <c r="O420" t="s">
        <v>74</v>
      </c>
      <c r="P420" t="s">
        <v>74</v>
      </c>
      <c r="Q420" t="s">
        <v>74</v>
      </c>
      <c r="R420" t="s">
        <v>74</v>
      </c>
      <c r="S420" t="s">
        <v>74</v>
      </c>
      <c r="T420" t="s">
        <v>8470</v>
      </c>
      <c r="U420" t="s">
        <v>8471</v>
      </c>
      <c r="V420" t="s">
        <v>8472</v>
      </c>
      <c r="W420" t="s">
        <v>8473</v>
      </c>
      <c r="X420" t="s">
        <v>8474</v>
      </c>
      <c r="Y420" t="s">
        <v>8475</v>
      </c>
      <c r="Z420" t="s">
        <v>8476</v>
      </c>
      <c r="AA420" t="s">
        <v>8477</v>
      </c>
      <c r="AB420" t="s">
        <v>8478</v>
      </c>
      <c r="AC420" t="s">
        <v>8479</v>
      </c>
      <c r="AD420" t="s">
        <v>8480</v>
      </c>
      <c r="AE420" t="s">
        <v>8481</v>
      </c>
      <c r="AF420" t="s">
        <v>74</v>
      </c>
      <c r="AG420">
        <v>54</v>
      </c>
      <c r="AH420">
        <v>6</v>
      </c>
      <c r="AI420">
        <v>6</v>
      </c>
      <c r="AJ420">
        <v>0</v>
      </c>
      <c r="AK420">
        <v>20</v>
      </c>
      <c r="AL420" t="s">
        <v>92</v>
      </c>
      <c r="AM420" t="s">
        <v>550</v>
      </c>
      <c r="AN420" t="s">
        <v>4772</v>
      </c>
      <c r="AO420" t="s">
        <v>4773</v>
      </c>
      <c r="AP420" t="s">
        <v>4774</v>
      </c>
      <c r="AQ420" t="s">
        <v>74</v>
      </c>
      <c r="AR420" t="s">
        <v>4775</v>
      </c>
      <c r="AS420" t="s">
        <v>4776</v>
      </c>
      <c r="AT420" t="s">
        <v>6261</v>
      </c>
      <c r="AU420">
        <v>2015</v>
      </c>
      <c r="AV420">
        <v>38</v>
      </c>
      <c r="AW420">
        <v>9</v>
      </c>
      <c r="AX420" t="s">
        <v>74</v>
      </c>
      <c r="AY420" t="s">
        <v>74</v>
      </c>
      <c r="AZ420" t="s">
        <v>74</v>
      </c>
      <c r="BA420" t="s">
        <v>74</v>
      </c>
      <c r="BB420">
        <v>1401</v>
      </c>
      <c r="BC420">
        <v>1411</v>
      </c>
      <c r="BD420" t="s">
        <v>74</v>
      </c>
      <c r="BE420" t="s">
        <v>8482</v>
      </c>
      <c r="BF420" t="str">
        <f>HYPERLINK("http://dx.doi.org/10.1007/s00300-015-1704-1","http://dx.doi.org/10.1007/s00300-015-1704-1")</f>
        <v>http://dx.doi.org/10.1007/s00300-015-1704-1</v>
      </c>
      <c r="BG420" t="s">
        <v>74</v>
      </c>
      <c r="BH420" t="s">
        <v>74</v>
      </c>
      <c r="BI420">
        <v>11</v>
      </c>
      <c r="BJ420" t="s">
        <v>4778</v>
      </c>
      <c r="BK420" t="s">
        <v>101</v>
      </c>
      <c r="BL420" t="s">
        <v>3806</v>
      </c>
      <c r="BM420" t="s">
        <v>8465</v>
      </c>
      <c r="BN420" t="s">
        <v>74</v>
      </c>
      <c r="BO420" t="s">
        <v>290</v>
      </c>
      <c r="BP420" t="s">
        <v>74</v>
      </c>
      <c r="BQ420" t="s">
        <v>74</v>
      </c>
      <c r="BR420" t="s">
        <v>103</v>
      </c>
      <c r="BS420" t="s">
        <v>8483</v>
      </c>
      <c r="BT420" t="str">
        <f>HYPERLINK("https%3A%2F%2Fwww.webofscience.com%2Fwos%2Fwoscc%2Ffull-record%2FWOS:000359188800008","View Full Record in Web of Science")</f>
        <v>View Full Record in Web of Science</v>
      </c>
    </row>
    <row r="421" spans="1:72" x14ac:dyDescent="0.15">
      <c r="A421" t="s">
        <v>72</v>
      </c>
      <c r="B421" t="s">
        <v>8484</v>
      </c>
      <c r="C421" t="s">
        <v>74</v>
      </c>
      <c r="D421" t="s">
        <v>74</v>
      </c>
      <c r="E421" t="s">
        <v>74</v>
      </c>
      <c r="F421" t="s">
        <v>8485</v>
      </c>
      <c r="G421" t="s">
        <v>74</v>
      </c>
      <c r="H421" t="s">
        <v>74</v>
      </c>
      <c r="I421" t="s">
        <v>8486</v>
      </c>
      <c r="J421" t="s">
        <v>4759</v>
      </c>
      <c r="K421" t="s">
        <v>74</v>
      </c>
      <c r="L421" t="s">
        <v>74</v>
      </c>
      <c r="M421" t="s">
        <v>78</v>
      </c>
      <c r="N421" t="s">
        <v>79</v>
      </c>
      <c r="O421" t="s">
        <v>74</v>
      </c>
      <c r="P421" t="s">
        <v>74</v>
      </c>
      <c r="Q421" t="s">
        <v>74</v>
      </c>
      <c r="R421" t="s">
        <v>74</v>
      </c>
      <c r="S421" t="s">
        <v>74</v>
      </c>
      <c r="T421" t="s">
        <v>8487</v>
      </c>
      <c r="U421" t="s">
        <v>8488</v>
      </c>
      <c r="V421" t="s">
        <v>8489</v>
      </c>
      <c r="W421" t="s">
        <v>8490</v>
      </c>
      <c r="X421" t="s">
        <v>8491</v>
      </c>
      <c r="Y421" t="s">
        <v>8492</v>
      </c>
      <c r="Z421" t="s">
        <v>8493</v>
      </c>
      <c r="AA421" t="s">
        <v>8494</v>
      </c>
      <c r="AB421" t="s">
        <v>8495</v>
      </c>
      <c r="AC421" t="s">
        <v>8496</v>
      </c>
      <c r="AD421" t="s">
        <v>8497</v>
      </c>
      <c r="AE421" t="s">
        <v>8498</v>
      </c>
      <c r="AF421" t="s">
        <v>74</v>
      </c>
      <c r="AG421">
        <v>64</v>
      </c>
      <c r="AH421">
        <v>21</v>
      </c>
      <c r="AI421">
        <v>24</v>
      </c>
      <c r="AJ421">
        <v>0</v>
      </c>
      <c r="AK421">
        <v>50</v>
      </c>
      <c r="AL421" t="s">
        <v>92</v>
      </c>
      <c r="AM421" t="s">
        <v>550</v>
      </c>
      <c r="AN421" t="s">
        <v>4772</v>
      </c>
      <c r="AO421" t="s">
        <v>4773</v>
      </c>
      <c r="AP421" t="s">
        <v>4774</v>
      </c>
      <c r="AQ421" t="s">
        <v>74</v>
      </c>
      <c r="AR421" t="s">
        <v>4775</v>
      </c>
      <c r="AS421" t="s">
        <v>4776</v>
      </c>
      <c r="AT421" t="s">
        <v>6261</v>
      </c>
      <c r="AU421">
        <v>2015</v>
      </c>
      <c r="AV421">
        <v>38</v>
      </c>
      <c r="AW421">
        <v>9</v>
      </c>
      <c r="AX421" t="s">
        <v>74</v>
      </c>
      <c r="AY421" t="s">
        <v>74</v>
      </c>
      <c r="AZ421" t="s">
        <v>74</v>
      </c>
      <c r="BA421" t="s">
        <v>74</v>
      </c>
      <c r="BB421">
        <v>1493</v>
      </c>
      <c r="BC421">
        <v>1502</v>
      </c>
      <c r="BD421" t="s">
        <v>74</v>
      </c>
      <c r="BE421" t="s">
        <v>8499</v>
      </c>
      <c r="BF421" t="str">
        <f>HYPERLINK("http://dx.doi.org/10.1007/s00300-015-1711-2","http://dx.doi.org/10.1007/s00300-015-1711-2")</f>
        <v>http://dx.doi.org/10.1007/s00300-015-1711-2</v>
      </c>
      <c r="BG421" t="s">
        <v>74</v>
      </c>
      <c r="BH421" t="s">
        <v>74</v>
      </c>
      <c r="BI421">
        <v>10</v>
      </c>
      <c r="BJ421" t="s">
        <v>4778</v>
      </c>
      <c r="BK421" t="s">
        <v>101</v>
      </c>
      <c r="BL421" t="s">
        <v>3806</v>
      </c>
      <c r="BM421" t="s">
        <v>8465</v>
      </c>
      <c r="BN421" t="s">
        <v>74</v>
      </c>
      <c r="BO421" t="s">
        <v>74</v>
      </c>
      <c r="BP421" t="s">
        <v>74</v>
      </c>
      <c r="BQ421" t="s">
        <v>74</v>
      </c>
      <c r="BR421" t="s">
        <v>103</v>
      </c>
      <c r="BS421" t="s">
        <v>8500</v>
      </c>
      <c r="BT421" t="str">
        <f>HYPERLINK("https%3A%2F%2Fwww.webofscience.com%2Fwos%2Fwoscc%2Ffull-record%2FWOS:000359188800015","View Full Record in Web of Science")</f>
        <v>View Full Record in Web of Science</v>
      </c>
    </row>
    <row r="422" spans="1:72" x14ac:dyDescent="0.15">
      <c r="A422" t="s">
        <v>72</v>
      </c>
      <c r="B422" t="s">
        <v>8501</v>
      </c>
      <c r="C422" t="s">
        <v>74</v>
      </c>
      <c r="D422" t="s">
        <v>74</v>
      </c>
      <c r="E422" t="s">
        <v>74</v>
      </c>
      <c r="F422" t="s">
        <v>8502</v>
      </c>
      <c r="G422" t="s">
        <v>74</v>
      </c>
      <c r="H422" t="s">
        <v>74</v>
      </c>
      <c r="I422" t="s">
        <v>8503</v>
      </c>
      <c r="J422" t="s">
        <v>4759</v>
      </c>
      <c r="K422" t="s">
        <v>74</v>
      </c>
      <c r="L422" t="s">
        <v>74</v>
      </c>
      <c r="M422" t="s">
        <v>78</v>
      </c>
      <c r="N422" t="s">
        <v>79</v>
      </c>
      <c r="O422" t="s">
        <v>74</v>
      </c>
      <c r="P422" t="s">
        <v>74</v>
      </c>
      <c r="Q422" t="s">
        <v>74</v>
      </c>
      <c r="R422" t="s">
        <v>74</v>
      </c>
      <c r="S422" t="s">
        <v>74</v>
      </c>
      <c r="T422" t="s">
        <v>8504</v>
      </c>
      <c r="U422" t="s">
        <v>8505</v>
      </c>
      <c r="V422" t="s">
        <v>8506</v>
      </c>
      <c r="W422" t="s">
        <v>8507</v>
      </c>
      <c r="X422" t="s">
        <v>112</v>
      </c>
      <c r="Y422" t="s">
        <v>8508</v>
      </c>
      <c r="Z422" t="s">
        <v>8509</v>
      </c>
      <c r="AA422" t="s">
        <v>74</v>
      </c>
      <c r="AB422" t="s">
        <v>8510</v>
      </c>
      <c r="AC422" t="s">
        <v>8511</v>
      </c>
      <c r="AD422" t="s">
        <v>8512</v>
      </c>
      <c r="AE422" t="s">
        <v>8513</v>
      </c>
      <c r="AF422" t="s">
        <v>74</v>
      </c>
      <c r="AG422">
        <v>15</v>
      </c>
      <c r="AH422">
        <v>13</v>
      </c>
      <c r="AI422">
        <v>14</v>
      </c>
      <c r="AJ422">
        <v>1</v>
      </c>
      <c r="AK422">
        <v>21</v>
      </c>
      <c r="AL422" t="s">
        <v>92</v>
      </c>
      <c r="AM422" t="s">
        <v>550</v>
      </c>
      <c r="AN422" t="s">
        <v>4772</v>
      </c>
      <c r="AO422" t="s">
        <v>4773</v>
      </c>
      <c r="AP422" t="s">
        <v>4774</v>
      </c>
      <c r="AQ422" t="s">
        <v>74</v>
      </c>
      <c r="AR422" t="s">
        <v>4775</v>
      </c>
      <c r="AS422" t="s">
        <v>4776</v>
      </c>
      <c r="AT422" t="s">
        <v>6261</v>
      </c>
      <c r="AU422">
        <v>2015</v>
      </c>
      <c r="AV422">
        <v>38</v>
      </c>
      <c r="AW422">
        <v>9</v>
      </c>
      <c r="AX422" t="s">
        <v>74</v>
      </c>
      <c r="AY422" t="s">
        <v>74</v>
      </c>
      <c r="AZ422" t="s">
        <v>74</v>
      </c>
      <c r="BA422" t="s">
        <v>74</v>
      </c>
      <c r="BB422">
        <v>1553</v>
      </c>
      <c r="BC422">
        <v>1558</v>
      </c>
      <c r="BD422" t="s">
        <v>74</v>
      </c>
      <c r="BE422" t="s">
        <v>8514</v>
      </c>
      <c r="BF422" t="str">
        <f>HYPERLINK("http://dx.doi.org/10.1007/s00300-015-1702-3","http://dx.doi.org/10.1007/s00300-015-1702-3")</f>
        <v>http://dx.doi.org/10.1007/s00300-015-1702-3</v>
      </c>
      <c r="BG422" t="s">
        <v>74</v>
      </c>
      <c r="BH422" t="s">
        <v>74</v>
      </c>
      <c r="BI422">
        <v>6</v>
      </c>
      <c r="BJ422" t="s">
        <v>4778</v>
      </c>
      <c r="BK422" t="s">
        <v>101</v>
      </c>
      <c r="BL422" t="s">
        <v>3806</v>
      </c>
      <c r="BM422" t="s">
        <v>8465</v>
      </c>
      <c r="BN422" t="s">
        <v>74</v>
      </c>
      <c r="BO422" t="s">
        <v>74</v>
      </c>
      <c r="BP422" t="s">
        <v>74</v>
      </c>
      <c r="BQ422" t="s">
        <v>74</v>
      </c>
      <c r="BR422" t="s">
        <v>103</v>
      </c>
      <c r="BS422" t="s">
        <v>8515</v>
      </c>
      <c r="BT422" t="str">
        <f>HYPERLINK("https%3A%2F%2Fwww.webofscience.com%2Fwos%2Fwoscc%2Ffull-record%2FWOS:000359188800020","View Full Record in Web of Science")</f>
        <v>View Full Record in Web of Science</v>
      </c>
    </row>
    <row r="423" spans="1:72" x14ac:dyDescent="0.15">
      <c r="A423" t="s">
        <v>72</v>
      </c>
      <c r="B423" t="s">
        <v>8516</v>
      </c>
      <c r="C423" t="s">
        <v>74</v>
      </c>
      <c r="D423" t="s">
        <v>74</v>
      </c>
      <c r="E423" t="s">
        <v>74</v>
      </c>
      <c r="F423" t="s">
        <v>8517</v>
      </c>
      <c r="G423" t="s">
        <v>74</v>
      </c>
      <c r="H423" t="s">
        <v>74</v>
      </c>
      <c r="I423" t="s">
        <v>8518</v>
      </c>
      <c r="J423" t="s">
        <v>7330</v>
      </c>
      <c r="K423" t="s">
        <v>74</v>
      </c>
      <c r="L423" t="s">
        <v>74</v>
      </c>
      <c r="M423" t="s">
        <v>78</v>
      </c>
      <c r="N423" t="s">
        <v>79</v>
      </c>
      <c r="O423" t="s">
        <v>74</v>
      </c>
      <c r="P423" t="s">
        <v>74</v>
      </c>
      <c r="Q423" t="s">
        <v>74</v>
      </c>
      <c r="R423" t="s">
        <v>74</v>
      </c>
      <c r="S423" t="s">
        <v>74</v>
      </c>
      <c r="T423" t="s">
        <v>8519</v>
      </c>
      <c r="U423" t="s">
        <v>8520</v>
      </c>
      <c r="V423" t="s">
        <v>8521</v>
      </c>
      <c r="W423" t="s">
        <v>8522</v>
      </c>
      <c r="X423" t="s">
        <v>8523</v>
      </c>
      <c r="Y423" t="s">
        <v>8524</v>
      </c>
      <c r="Z423" t="s">
        <v>8525</v>
      </c>
      <c r="AA423" t="s">
        <v>8526</v>
      </c>
      <c r="AB423" t="s">
        <v>8527</v>
      </c>
      <c r="AC423" t="s">
        <v>8528</v>
      </c>
      <c r="AD423" t="s">
        <v>206</v>
      </c>
      <c r="AE423" t="s">
        <v>8529</v>
      </c>
      <c r="AF423" t="s">
        <v>74</v>
      </c>
      <c r="AG423">
        <v>48</v>
      </c>
      <c r="AH423">
        <v>7</v>
      </c>
      <c r="AI423">
        <v>10</v>
      </c>
      <c r="AJ423">
        <v>1</v>
      </c>
      <c r="AK423">
        <v>29</v>
      </c>
      <c r="AL423" t="s">
        <v>883</v>
      </c>
      <c r="AM423" t="s">
        <v>884</v>
      </c>
      <c r="AN423" t="s">
        <v>885</v>
      </c>
      <c r="AO423" t="s">
        <v>7341</v>
      </c>
      <c r="AP423" t="s">
        <v>7342</v>
      </c>
      <c r="AQ423" t="s">
        <v>74</v>
      </c>
      <c r="AR423" t="s">
        <v>7343</v>
      </c>
      <c r="AS423" t="s">
        <v>7344</v>
      </c>
      <c r="AT423" t="s">
        <v>6261</v>
      </c>
      <c r="AU423">
        <v>2015</v>
      </c>
      <c r="AV423">
        <v>9</v>
      </c>
      <c r="AW423">
        <v>3</v>
      </c>
      <c r="AX423" t="s">
        <v>74</v>
      </c>
      <c r="AY423" t="s">
        <v>74</v>
      </c>
      <c r="AZ423" t="s">
        <v>74</v>
      </c>
      <c r="BA423" t="s">
        <v>74</v>
      </c>
      <c r="BB423">
        <v>311</v>
      </c>
      <c r="BC423">
        <v>318</v>
      </c>
      <c r="BD423" t="s">
        <v>74</v>
      </c>
      <c r="BE423" t="s">
        <v>8530</v>
      </c>
      <c r="BF423" t="str">
        <f>HYPERLINK("http://dx.doi.org/10.1016/j.polar.2015.07.001","http://dx.doi.org/10.1016/j.polar.2015.07.001")</f>
        <v>http://dx.doi.org/10.1016/j.polar.2015.07.001</v>
      </c>
      <c r="BG423" t="s">
        <v>74</v>
      </c>
      <c r="BH423" t="s">
        <v>74</v>
      </c>
      <c r="BI423">
        <v>8</v>
      </c>
      <c r="BJ423" t="s">
        <v>7346</v>
      </c>
      <c r="BK423" t="s">
        <v>101</v>
      </c>
      <c r="BL423" t="s">
        <v>7347</v>
      </c>
      <c r="BM423" t="s">
        <v>7348</v>
      </c>
      <c r="BN423" t="s">
        <v>74</v>
      </c>
      <c r="BO423" t="s">
        <v>290</v>
      </c>
      <c r="BP423" t="s">
        <v>74</v>
      </c>
      <c r="BQ423" t="s">
        <v>74</v>
      </c>
      <c r="BR423" t="s">
        <v>103</v>
      </c>
      <c r="BS423" t="s">
        <v>8531</v>
      </c>
      <c r="BT423" t="str">
        <f>HYPERLINK("https%3A%2F%2Fwww.webofscience.com%2Fwos%2Fwoscc%2Ffull-record%2FWOS:000360565200003","View Full Record in Web of Science")</f>
        <v>View Full Record in Web of Science</v>
      </c>
    </row>
    <row r="424" spans="1:72" x14ac:dyDescent="0.15">
      <c r="A424" t="s">
        <v>72</v>
      </c>
      <c r="B424" t="s">
        <v>8532</v>
      </c>
      <c r="C424" t="s">
        <v>74</v>
      </c>
      <c r="D424" t="s">
        <v>74</v>
      </c>
      <c r="E424" t="s">
        <v>74</v>
      </c>
      <c r="F424" t="s">
        <v>8533</v>
      </c>
      <c r="G424" t="s">
        <v>74</v>
      </c>
      <c r="H424" t="s">
        <v>74</v>
      </c>
      <c r="I424" t="s">
        <v>8534</v>
      </c>
      <c r="J424" t="s">
        <v>8535</v>
      </c>
      <c r="K424" t="s">
        <v>74</v>
      </c>
      <c r="L424" t="s">
        <v>74</v>
      </c>
      <c r="M424" t="s">
        <v>78</v>
      </c>
      <c r="N424" t="s">
        <v>79</v>
      </c>
      <c r="O424" t="s">
        <v>74</v>
      </c>
      <c r="P424" t="s">
        <v>74</v>
      </c>
      <c r="Q424" t="s">
        <v>74</v>
      </c>
      <c r="R424" t="s">
        <v>74</v>
      </c>
      <c r="S424" t="s">
        <v>74</v>
      </c>
      <c r="T424" t="s">
        <v>8536</v>
      </c>
      <c r="U424" t="s">
        <v>8537</v>
      </c>
      <c r="V424" t="s">
        <v>8538</v>
      </c>
      <c r="W424" t="s">
        <v>8539</v>
      </c>
      <c r="X424" t="s">
        <v>8540</v>
      </c>
      <c r="Y424" t="s">
        <v>8541</v>
      </c>
      <c r="Z424" t="s">
        <v>74</v>
      </c>
      <c r="AA424" t="s">
        <v>8542</v>
      </c>
      <c r="AB424" t="s">
        <v>8543</v>
      </c>
      <c r="AC424" t="s">
        <v>8544</v>
      </c>
      <c r="AD424" t="s">
        <v>8545</v>
      </c>
      <c r="AE424" t="s">
        <v>8546</v>
      </c>
      <c r="AF424" t="s">
        <v>74</v>
      </c>
      <c r="AG424">
        <v>144</v>
      </c>
      <c r="AH424">
        <v>53</v>
      </c>
      <c r="AI424">
        <v>57</v>
      </c>
      <c r="AJ424">
        <v>0</v>
      </c>
      <c r="AK424">
        <v>18</v>
      </c>
      <c r="AL424" t="s">
        <v>883</v>
      </c>
      <c r="AM424" t="s">
        <v>884</v>
      </c>
      <c r="AN424" t="s">
        <v>885</v>
      </c>
      <c r="AO424" t="s">
        <v>8547</v>
      </c>
      <c r="AP424" t="s">
        <v>8548</v>
      </c>
      <c r="AQ424" t="s">
        <v>74</v>
      </c>
      <c r="AR424" t="s">
        <v>8549</v>
      </c>
      <c r="AS424" t="s">
        <v>8550</v>
      </c>
      <c r="AT424" t="s">
        <v>6261</v>
      </c>
      <c r="AU424">
        <v>2015</v>
      </c>
      <c r="AV424">
        <v>267</v>
      </c>
      <c r="AW424" t="s">
        <v>74</v>
      </c>
      <c r="AX424" t="s">
        <v>74</v>
      </c>
      <c r="AY424" t="s">
        <v>74</v>
      </c>
      <c r="AZ424" t="s">
        <v>74</v>
      </c>
      <c r="BA424" t="s">
        <v>74</v>
      </c>
      <c r="BB424">
        <v>137</v>
      </c>
      <c r="BC424">
        <v>163</v>
      </c>
      <c r="BD424" t="s">
        <v>74</v>
      </c>
      <c r="BE424" t="s">
        <v>8551</v>
      </c>
      <c r="BF424" t="str">
        <f>HYPERLINK("http://dx.doi.org/10.1016/j.precamres.2015.06.003","http://dx.doi.org/10.1016/j.precamres.2015.06.003")</f>
        <v>http://dx.doi.org/10.1016/j.precamres.2015.06.003</v>
      </c>
      <c r="BG424" t="s">
        <v>74</v>
      </c>
      <c r="BH424" t="s">
        <v>74</v>
      </c>
      <c r="BI424">
        <v>27</v>
      </c>
      <c r="BJ424" t="s">
        <v>314</v>
      </c>
      <c r="BK424" t="s">
        <v>101</v>
      </c>
      <c r="BL424" t="s">
        <v>315</v>
      </c>
      <c r="BM424" t="s">
        <v>8552</v>
      </c>
      <c r="BN424" t="s">
        <v>74</v>
      </c>
      <c r="BO424" t="s">
        <v>74</v>
      </c>
      <c r="BP424" t="s">
        <v>74</v>
      </c>
      <c r="BQ424" t="s">
        <v>74</v>
      </c>
      <c r="BR424" t="s">
        <v>103</v>
      </c>
      <c r="BS424" t="s">
        <v>8553</v>
      </c>
      <c r="BT424" t="str">
        <f>HYPERLINK("https%3A%2F%2Fwww.webofscience.com%2Fwos%2Fwoscc%2Ffull-record%2FWOS:000359874800008","View Full Record in Web of Science")</f>
        <v>View Full Record in Web of Science</v>
      </c>
    </row>
    <row r="425" spans="1:72" x14ac:dyDescent="0.15">
      <c r="A425" t="s">
        <v>72</v>
      </c>
      <c r="B425" t="s">
        <v>8554</v>
      </c>
      <c r="C425" t="s">
        <v>74</v>
      </c>
      <c r="D425" t="s">
        <v>74</v>
      </c>
      <c r="E425" t="s">
        <v>74</v>
      </c>
      <c r="F425" t="s">
        <v>8555</v>
      </c>
      <c r="G425" t="s">
        <v>74</v>
      </c>
      <c r="H425" t="s">
        <v>74</v>
      </c>
      <c r="I425" t="s">
        <v>8556</v>
      </c>
      <c r="J425" t="s">
        <v>8557</v>
      </c>
      <c r="K425" t="s">
        <v>74</v>
      </c>
      <c r="L425" t="s">
        <v>74</v>
      </c>
      <c r="M425" t="s">
        <v>78</v>
      </c>
      <c r="N425" t="s">
        <v>581</v>
      </c>
      <c r="O425" t="s">
        <v>74</v>
      </c>
      <c r="P425" t="s">
        <v>74</v>
      </c>
      <c r="Q425" t="s">
        <v>74</v>
      </c>
      <c r="R425" t="s">
        <v>74</v>
      </c>
      <c r="S425" t="s">
        <v>74</v>
      </c>
      <c r="T425" t="s">
        <v>74</v>
      </c>
      <c r="U425" t="s">
        <v>8558</v>
      </c>
      <c r="V425" t="s">
        <v>8559</v>
      </c>
      <c r="W425" t="s">
        <v>8560</v>
      </c>
      <c r="X425" t="s">
        <v>8561</v>
      </c>
      <c r="Y425" t="s">
        <v>8562</v>
      </c>
      <c r="Z425" t="s">
        <v>8563</v>
      </c>
      <c r="AA425" t="s">
        <v>8564</v>
      </c>
      <c r="AB425" t="s">
        <v>8565</v>
      </c>
      <c r="AC425" t="s">
        <v>8566</v>
      </c>
      <c r="AD425" t="s">
        <v>8567</v>
      </c>
      <c r="AE425" t="s">
        <v>8568</v>
      </c>
      <c r="AF425" t="s">
        <v>74</v>
      </c>
      <c r="AG425">
        <v>49</v>
      </c>
      <c r="AH425">
        <v>16</v>
      </c>
      <c r="AI425">
        <v>16</v>
      </c>
      <c r="AJ425">
        <v>1</v>
      </c>
      <c r="AK425">
        <v>88</v>
      </c>
      <c r="AL425" t="s">
        <v>397</v>
      </c>
      <c r="AM425" t="s">
        <v>398</v>
      </c>
      <c r="AN425" t="s">
        <v>399</v>
      </c>
      <c r="AO425" t="s">
        <v>8569</v>
      </c>
      <c r="AP425" t="s">
        <v>74</v>
      </c>
      <c r="AQ425" t="s">
        <v>74</v>
      </c>
      <c r="AR425" t="s">
        <v>8570</v>
      </c>
      <c r="AS425" t="s">
        <v>8571</v>
      </c>
      <c r="AT425" t="s">
        <v>6261</v>
      </c>
      <c r="AU425">
        <v>2015</v>
      </c>
      <c r="AV425">
        <v>137</v>
      </c>
      <c r="AW425" t="s">
        <v>74</v>
      </c>
      <c r="AX425" t="s">
        <v>4816</v>
      </c>
      <c r="AY425" t="s">
        <v>74</v>
      </c>
      <c r="AZ425" t="s">
        <v>74</v>
      </c>
      <c r="BA425" t="s">
        <v>74</v>
      </c>
      <c r="BB425">
        <v>12</v>
      </c>
      <c r="BC425">
        <v>23</v>
      </c>
      <c r="BD425" t="s">
        <v>74</v>
      </c>
      <c r="BE425" t="s">
        <v>8572</v>
      </c>
      <c r="BF425" t="str">
        <f>HYPERLINK("http://dx.doi.org/10.1016/j.pocean.2014.12.016","http://dx.doi.org/10.1016/j.pocean.2014.12.016")</f>
        <v>http://dx.doi.org/10.1016/j.pocean.2014.12.016</v>
      </c>
      <c r="BG425" t="s">
        <v>74</v>
      </c>
      <c r="BH425" t="s">
        <v>74</v>
      </c>
      <c r="BI425">
        <v>12</v>
      </c>
      <c r="BJ425" t="s">
        <v>339</v>
      </c>
      <c r="BK425" t="s">
        <v>101</v>
      </c>
      <c r="BL425" t="s">
        <v>339</v>
      </c>
      <c r="BM425" t="s">
        <v>8573</v>
      </c>
      <c r="BN425" t="s">
        <v>74</v>
      </c>
      <c r="BO425" t="s">
        <v>74</v>
      </c>
      <c r="BP425" t="s">
        <v>74</v>
      </c>
      <c r="BQ425" t="s">
        <v>74</v>
      </c>
      <c r="BR425" t="s">
        <v>103</v>
      </c>
      <c r="BS425" t="s">
        <v>8574</v>
      </c>
      <c r="BT425" t="str">
        <f>HYPERLINK("https%3A%2F%2Fwww.webofscience.com%2Fwos%2Fwoscc%2Ffull-record%2FWOS:000362141500002","View Full Record in Web of Science")</f>
        <v>View Full Record in Web of Science</v>
      </c>
    </row>
    <row r="426" spans="1:72" x14ac:dyDescent="0.15">
      <c r="A426" t="s">
        <v>72</v>
      </c>
      <c r="B426" t="s">
        <v>8575</v>
      </c>
      <c r="C426" t="s">
        <v>74</v>
      </c>
      <c r="D426" t="s">
        <v>74</v>
      </c>
      <c r="E426" t="s">
        <v>74</v>
      </c>
      <c r="F426" t="s">
        <v>8576</v>
      </c>
      <c r="G426" t="s">
        <v>74</v>
      </c>
      <c r="H426" t="s">
        <v>74</v>
      </c>
      <c r="I426" t="s">
        <v>8577</v>
      </c>
      <c r="J426" t="s">
        <v>8557</v>
      </c>
      <c r="K426" t="s">
        <v>74</v>
      </c>
      <c r="L426" t="s">
        <v>74</v>
      </c>
      <c r="M426" t="s">
        <v>78</v>
      </c>
      <c r="N426" t="s">
        <v>581</v>
      </c>
      <c r="O426" t="s">
        <v>74</v>
      </c>
      <c r="P426" t="s">
        <v>74</v>
      </c>
      <c r="Q426" t="s">
        <v>74</v>
      </c>
      <c r="R426" t="s">
        <v>74</v>
      </c>
      <c r="S426" t="s">
        <v>74</v>
      </c>
      <c r="T426" t="s">
        <v>74</v>
      </c>
      <c r="U426" t="s">
        <v>8578</v>
      </c>
      <c r="V426" t="s">
        <v>8579</v>
      </c>
      <c r="W426" t="s">
        <v>8580</v>
      </c>
      <c r="X426" t="s">
        <v>8581</v>
      </c>
      <c r="Y426" t="s">
        <v>8582</v>
      </c>
      <c r="Z426" t="s">
        <v>8583</v>
      </c>
      <c r="AA426" t="s">
        <v>8584</v>
      </c>
      <c r="AB426" t="s">
        <v>8585</v>
      </c>
      <c r="AC426" t="s">
        <v>8586</v>
      </c>
      <c r="AD426" t="s">
        <v>8587</v>
      </c>
      <c r="AE426" t="s">
        <v>8588</v>
      </c>
      <c r="AF426" t="s">
        <v>74</v>
      </c>
      <c r="AG426">
        <v>102</v>
      </c>
      <c r="AH426">
        <v>35</v>
      </c>
      <c r="AI426">
        <v>36</v>
      </c>
      <c r="AJ426">
        <v>1</v>
      </c>
      <c r="AK426">
        <v>62</v>
      </c>
      <c r="AL426" t="s">
        <v>397</v>
      </c>
      <c r="AM426" t="s">
        <v>398</v>
      </c>
      <c r="AN426" t="s">
        <v>399</v>
      </c>
      <c r="AO426" t="s">
        <v>8569</v>
      </c>
      <c r="AP426" t="s">
        <v>74</v>
      </c>
      <c r="AQ426" t="s">
        <v>74</v>
      </c>
      <c r="AR426" t="s">
        <v>8570</v>
      </c>
      <c r="AS426" t="s">
        <v>8571</v>
      </c>
      <c r="AT426" t="s">
        <v>6261</v>
      </c>
      <c r="AU426">
        <v>2015</v>
      </c>
      <c r="AV426">
        <v>137</v>
      </c>
      <c r="AW426" t="s">
        <v>74</v>
      </c>
      <c r="AX426" t="s">
        <v>4816</v>
      </c>
      <c r="AY426" t="s">
        <v>74</v>
      </c>
      <c r="AZ426" t="s">
        <v>74</v>
      </c>
      <c r="BA426" t="s">
        <v>74</v>
      </c>
      <c r="BB426">
        <v>52</v>
      </c>
      <c r="BC426">
        <v>68</v>
      </c>
      <c r="BD426" t="s">
        <v>74</v>
      </c>
      <c r="BE426" t="s">
        <v>8589</v>
      </c>
      <c r="BF426" t="str">
        <f>HYPERLINK("http://dx.doi.org/10.1016/j.pocean.2015.05.023","http://dx.doi.org/10.1016/j.pocean.2015.05.023")</f>
        <v>http://dx.doi.org/10.1016/j.pocean.2015.05.023</v>
      </c>
      <c r="BG426" t="s">
        <v>74</v>
      </c>
      <c r="BH426" t="s">
        <v>74</v>
      </c>
      <c r="BI426">
        <v>17</v>
      </c>
      <c r="BJ426" t="s">
        <v>339</v>
      </c>
      <c r="BK426" t="s">
        <v>101</v>
      </c>
      <c r="BL426" t="s">
        <v>339</v>
      </c>
      <c r="BM426" t="s">
        <v>8573</v>
      </c>
      <c r="BN426" t="s">
        <v>74</v>
      </c>
      <c r="BO426" t="s">
        <v>290</v>
      </c>
      <c r="BP426" t="s">
        <v>74</v>
      </c>
      <c r="BQ426" t="s">
        <v>74</v>
      </c>
      <c r="BR426" t="s">
        <v>103</v>
      </c>
      <c r="BS426" t="s">
        <v>8590</v>
      </c>
      <c r="BT426" t="str">
        <f>HYPERLINK("https%3A%2F%2Fwww.webofscience.com%2Fwos%2Fwoscc%2Ffull-record%2FWOS:000362141500005","View Full Record in Web of Science")</f>
        <v>View Full Record in Web of Science</v>
      </c>
    </row>
    <row r="427" spans="1:72" x14ac:dyDescent="0.15">
      <c r="A427" t="s">
        <v>72</v>
      </c>
      <c r="B427" t="s">
        <v>8591</v>
      </c>
      <c r="C427" t="s">
        <v>74</v>
      </c>
      <c r="D427" t="s">
        <v>74</v>
      </c>
      <c r="E427" t="s">
        <v>74</v>
      </c>
      <c r="F427" t="s">
        <v>8592</v>
      </c>
      <c r="G427" t="s">
        <v>74</v>
      </c>
      <c r="H427" t="s">
        <v>74</v>
      </c>
      <c r="I427" t="s">
        <v>8593</v>
      </c>
      <c r="J427" t="s">
        <v>8594</v>
      </c>
      <c r="K427" t="s">
        <v>74</v>
      </c>
      <c r="L427" t="s">
        <v>74</v>
      </c>
      <c r="M427" t="s">
        <v>78</v>
      </c>
      <c r="N427" t="s">
        <v>79</v>
      </c>
      <c r="O427" t="s">
        <v>74</v>
      </c>
      <c r="P427" t="s">
        <v>74</v>
      </c>
      <c r="Q427" t="s">
        <v>74</v>
      </c>
      <c r="R427" t="s">
        <v>74</v>
      </c>
      <c r="S427" t="s">
        <v>74</v>
      </c>
      <c r="T427" t="s">
        <v>8595</v>
      </c>
      <c r="U427" t="s">
        <v>8596</v>
      </c>
      <c r="V427" t="s">
        <v>8597</v>
      </c>
      <c r="W427" t="s">
        <v>8598</v>
      </c>
      <c r="X427" t="s">
        <v>8599</v>
      </c>
      <c r="Y427" t="s">
        <v>8600</v>
      </c>
      <c r="Z427" t="s">
        <v>8601</v>
      </c>
      <c r="AA427" t="s">
        <v>8602</v>
      </c>
      <c r="AB427" t="s">
        <v>8603</v>
      </c>
      <c r="AC427" t="s">
        <v>8604</v>
      </c>
      <c r="AD427" t="s">
        <v>8605</v>
      </c>
      <c r="AE427" t="s">
        <v>8606</v>
      </c>
      <c r="AF427" t="s">
        <v>74</v>
      </c>
      <c r="AG427">
        <v>73</v>
      </c>
      <c r="AH427">
        <v>28</v>
      </c>
      <c r="AI427">
        <v>30</v>
      </c>
      <c r="AJ427">
        <v>2</v>
      </c>
      <c r="AK427">
        <v>43</v>
      </c>
      <c r="AL427" t="s">
        <v>1321</v>
      </c>
      <c r="AM427" t="s">
        <v>180</v>
      </c>
      <c r="AN427" t="s">
        <v>1322</v>
      </c>
      <c r="AO427" t="s">
        <v>8607</v>
      </c>
      <c r="AP427" t="s">
        <v>74</v>
      </c>
      <c r="AQ427" t="s">
        <v>74</v>
      </c>
      <c r="AR427" t="s">
        <v>8608</v>
      </c>
      <c r="AS427" t="s">
        <v>8609</v>
      </c>
      <c r="AT427" t="s">
        <v>6261</v>
      </c>
      <c r="AU427">
        <v>2015</v>
      </c>
      <c r="AV427">
        <v>2</v>
      </c>
      <c r="AW427">
        <v>9</v>
      </c>
      <c r="AX427" t="s">
        <v>74</v>
      </c>
      <c r="AY427" t="s">
        <v>74</v>
      </c>
      <c r="AZ427" t="s">
        <v>74</v>
      </c>
      <c r="BA427" t="s">
        <v>74</v>
      </c>
      <c r="BB427" t="s">
        <v>74</v>
      </c>
      <c r="BC427" t="s">
        <v>74</v>
      </c>
      <c r="BD427">
        <v>150156</v>
      </c>
      <c r="BE427" t="s">
        <v>8610</v>
      </c>
      <c r="BF427" t="str">
        <f>HYPERLINK("http://dx.doi.org/10.1098/rsos.150156","http://dx.doi.org/10.1098/rsos.150156")</f>
        <v>http://dx.doi.org/10.1098/rsos.150156</v>
      </c>
      <c r="BG427" t="s">
        <v>74</v>
      </c>
      <c r="BH427" t="s">
        <v>74</v>
      </c>
      <c r="BI427">
        <v>10</v>
      </c>
      <c r="BJ427" t="s">
        <v>530</v>
      </c>
      <c r="BK427" t="s">
        <v>101</v>
      </c>
      <c r="BL427" t="s">
        <v>531</v>
      </c>
      <c r="BM427" t="s">
        <v>8611</v>
      </c>
      <c r="BN427">
        <v>26473040</v>
      </c>
      <c r="BO427" t="s">
        <v>533</v>
      </c>
      <c r="BP427" t="s">
        <v>74</v>
      </c>
      <c r="BQ427" t="s">
        <v>74</v>
      </c>
      <c r="BR427" t="s">
        <v>103</v>
      </c>
      <c r="BS427" t="s">
        <v>8612</v>
      </c>
      <c r="BT427" t="str">
        <f>HYPERLINK("https%3A%2F%2Fwww.webofscience.com%2Fwos%2Fwoscc%2Ffull-record%2FWOS:000377966900004","View Full Record in Web of Science")</f>
        <v>View Full Record in Web of Science</v>
      </c>
    </row>
    <row r="428" spans="1:72" x14ac:dyDescent="0.15">
      <c r="A428" t="s">
        <v>72</v>
      </c>
      <c r="B428" t="s">
        <v>8613</v>
      </c>
      <c r="C428" t="s">
        <v>74</v>
      </c>
      <c r="D428" t="s">
        <v>74</v>
      </c>
      <c r="E428" t="s">
        <v>74</v>
      </c>
      <c r="F428" t="s">
        <v>8614</v>
      </c>
      <c r="G428" t="s">
        <v>74</v>
      </c>
      <c r="H428" t="s">
        <v>74</v>
      </c>
      <c r="I428" t="s">
        <v>8615</v>
      </c>
      <c r="J428" t="s">
        <v>764</v>
      </c>
      <c r="K428" t="s">
        <v>74</v>
      </c>
      <c r="L428" t="s">
        <v>74</v>
      </c>
      <c r="M428" t="s">
        <v>78</v>
      </c>
      <c r="N428" t="s">
        <v>79</v>
      </c>
      <c r="O428" t="s">
        <v>74</v>
      </c>
      <c r="P428" t="s">
        <v>74</v>
      </c>
      <c r="Q428" t="s">
        <v>74</v>
      </c>
      <c r="R428" t="s">
        <v>74</v>
      </c>
      <c r="S428" t="s">
        <v>74</v>
      </c>
      <c r="T428" t="s">
        <v>74</v>
      </c>
      <c r="U428" t="s">
        <v>8616</v>
      </c>
      <c r="V428" t="s">
        <v>8617</v>
      </c>
      <c r="W428" t="s">
        <v>8618</v>
      </c>
      <c r="X428" t="s">
        <v>8619</v>
      </c>
      <c r="Y428" t="s">
        <v>8620</v>
      </c>
      <c r="Z428" t="s">
        <v>8621</v>
      </c>
      <c r="AA428" t="s">
        <v>8622</v>
      </c>
      <c r="AB428" t="s">
        <v>8623</v>
      </c>
      <c r="AC428" t="s">
        <v>8624</v>
      </c>
      <c r="AD428" t="s">
        <v>8625</v>
      </c>
      <c r="AE428" t="s">
        <v>8626</v>
      </c>
      <c r="AF428" t="s">
        <v>74</v>
      </c>
      <c r="AG428">
        <v>40</v>
      </c>
      <c r="AH428">
        <v>84</v>
      </c>
      <c r="AI428">
        <v>94</v>
      </c>
      <c r="AJ428">
        <v>3</v>
      </c>
      <c r="AK428">
        <v>24</v>
      </c>
      <c r="AL428" t="s">
        <v>776</v>
      </c>
      <c r="AM428" t="s">
        <v>307</v>
      </c>
      <c r="AN428" t="s">
        <v>777</v>
      </c>
      <c r="AO428" t="s">
        <v>778</v>
      </c>
      <c r="AP428" t="s">
        <v>74</v>
      </c>
      <c r="AQ428" t="s">
        <v>74</v>
      </c>
      <c r="AR428" t="s">
        <v>779</v>
      </c>
      <c r="AS428" t="s">
        <v>780</v>
      </c>
      <c r="AT428" t="s">
        <v>6261</v>
      </c>
      <c r="AU428">
        <v>2015</v>
      </c>
      <c r="AV428">
        <v>1</v>
      </c>
      <c r="AW428">
        <v>8</v>
      </c>
      <c r="AX428" t="s">
        <v>74</v>
      </c>
      <c r="AY428" t="s">
        <v>74</v>
      </c>
      <c r="AZ428" t="s">
        <v>74</v>
      </c>
      <c r="BA428" t="s">
        <v>74</v>
      </c>
      <c r="BB428" t="s">
        <v>74</v>
      </c>
      <c r="BC428" t="s">
        <v>74</v>
      </c>
      <c r="BD428" t="s">
        <v>8627</v>
      </c>
      <c r="BE428" t="s">
        <v>8628</v>
      </c>
      <c r="BF428" t="str">
        <f>HYPERLINK("http://dx.doi.org/10.1126/sciadv.1500589","http://dx.doi.org/10.1126/sciadv.1500589")</f>
        <v>http://dx.doi.org/10.1126/sciadv.1500589</v>
      </c>
      <c r="BG428" t="s">
        <v>74</v>
      </c>
      <c r="BH428" t="s">
        <v>74</v>
      </c>
      <c r="BI428">
        <v>5</v>
      </c>
      <c r="BJ428" t="s">
        <v>530</v>
      </c>
      <c r="BK428" t="s">
        <v>101</v>
      </c>
      <c r="BL428" t="s">
        <v>531</v>
      </c>
      <c r="BM428" t="s">
        <v>8629</v>
      </c>
      <c r="BN428">
        <v>26601273</v>
      </c>
      <c r="BO428" t="s">
        <v>533</v>
      </c>
      <c r="BP428" t="s">
        <v>74</v>
      </c>
      <c r="BQ428" t="s">
        <v>74</v>
      </c>
      <c r="BR428" t="s">
        <v>103</v>
      </c>
      <c r="BS428" t="s">
        <v>8630</v>
      </c>
      <c r="BT428" t="str">
        <f>HYPERLINK("https%3A%2F%2Fwww.webofscience.com%2Fwos%2Fwoscc%2Ffull-record%2FWOS:000216596900009","View Full Record in Web of Science")</f>
        <v>View Full Record in Web of Science</v>
      </c>
    </row>
    <row r="429" spans="1:72" x14ac:dyDescent="0.15">
      <c r="A429" t="s">
        <v>72</v>
      </c>
      <c r="B429" t="s">
        <v>8631</v>
      </c>
      <c r="C429" t="s">
        <v>74</v>
      </c>
      <c r="D429" t="s">
        <v>74</v>
      </c>
      <c r="E429" t="s">
        <v>74</v>
      </c>
      <c r="F429" t="s">
        <v>8632</v>
      </c>
      <c r="G429" t="s">
        <v>74</v>
      </c>
      <c r="H429" t="s">
        <v>74</v>
      </c>
      <c r="I429" t="s">
        <v>8633</v>
      </c>
      <c r="J429" t="s">
        <v>8634</v>
      </c>
      <c r="K429" t="s">
        <v>74</v>
      </c>
      <c r="L429" t="s">
        <v>74</v>
      </c>
      <c r="M429" t="s">
        <v>78</v>
      </c>
      <c r="N429" t="s">
        <v>79</v>
      </c>
      <c r="O429" t="s">
        <v>74</v>
      </c>
      <c r="P429" t="s">
        <v>74</v>
      </c>
      <c r="Q429" t="s">
        <v>74</v>
      </c>
      <c r="R429" t="s">
        <v>74</v>
      </c>
      <c r="S429" t="s">
        <v>74</v>
      </c>
      <c r="T429" t="s">
        <v>8635</v>
      </c>
      <c r="U429" t="s">
        <v>8636</v>
      </c>
      <c r="V429" t="s">
        <v>8637</v>
      </c>
      <c r="W429" t="s">
        <v>8638</v>
      </c>
      <c r="X429" t="s">
        <v>8639</v>
      </c>
      <c r="Y429" t="s">
        <v>8640</v>
      </c>
      <c r="Z429" t="s">
        <v>8641</v>
      </c>
      <c r="AA429" t="s">
        <v>8642</v>
      </c>
      <c r="AB429" t="s">
        <v>8643</v>
      </c>
      <c r="AC429" t="s">
        <v>8644</v>
      </c>
      <c r="AD429" t="s">
        <v>8645</v>
      </c>
      <c r="AE429" t="s">
        <v>8646</v>
      </c>
      <c r="AF429" t="s">
        <v>74</v>
      </c>
      <c r="AG429">
        <v>47</v>
      </c>
      <c r="AH429">
        <v>27</v>
      </c>
      <c r="AI429">
        <v>31</v>
      </c>
      <c r="AJ429">
        <v>2</v>
      </c>
      <c r="AK429">
        <v>99</v>
      </c>
      <c r="AL429" t="s">
        <v>397</v>
      </c>
      <c r="AM429" t="s">
        <v>398</v>
      </c>
      <c r="AN429" t="s">
        <v>399</v>
      </c>
      <c r="AO429" t="s">
        <v>8647</v>
      </c>
      <c r="AP429" t="s">
        <v>8648</v>
      </c>
      <c r="AQ429" t="s">
        <v>74</v>
      </c>
      <c r="AR429" t="s">
        <v>8649</v>
      </c>
      <c r="AS429" t="s">
        <v>8650</v>
      </c>
      <c r="AT429" t="s">
        <v>6261</v>
      </c>
      <c r="AU429">
        <v>2015</v>
      </c>
      <c r="AV429">
        <v>88</v>
      </c>
      <c r="AW429" t="s">
        <v>74</v>
      </c>
      <c r="AX429" t="s">
        <v>74</v>
      </c>
      <c r="AY429" t="s">
        <v>74</v>
      </c>
      <c r="AZ429" t="s">
        <v>74</v>
      </c>
      <c r="BA429" t="s">
        <v>74</v>
      </c>
      <c r="BB429">
        <v>83</v>
      </c>
      <c r="BC429">
        <v>89</v>
      </c>
      <c r="BD429" t="s">
        <v>74</v>
      </c>
      <c r="BE429" t="s">
        <v>8651</v>
      </c>
      <c r="BF429" t="str">
        <f>HYPERLINK("http://dx.doi.org/10.1016/j.soilbio.2015.05.003","http://dx.doi.org/10.1016/j.soilbio.2015.05.003")</f>
        <v>http://dx.doi.org/10.1016/j.soilbio.2015.05.003</v>
      </c>
      <c r="BG429" t="s">
        <v>74</v>
      </c>
      <c r="BH429" t="s">
        <v>74</v>
      </c>
      <c r="BI429">
        <v>7</v>
      </c>
      <c r="BJ429" t="s">
        <v>8652</v>
      </c>
      <c r="BK429" t="s">
        <v>101</v>
      </c>
      <c r="BL429" t="s">
        <v>8653</v>
      </c>
      <c r="BM429" t="s">
        <v>8654</v>
      </c>
      <c r="BN429" t="s">
        <v>74</v>
      </c>
      <c r="BO429" t="s">
        <v>8655</v>
      </c>
      <c r="BP429" t="s">
        <v>74</v>
      </c>
      <c r="BQ429" t="s">
        <v>74</v>
      </c>
      <c r="BR429" t="s">
        <v>103</v>
      </c>
      <c r="BS429" t="s">
        <v>8656</v>
      </c>
      <c r="BT429" t="str">
        <f>HYPERLINK("https%3A%2F%2Fwww.webofscience.com%2Fwos%2Fwoscc%2Ffull-record%2FWOS:000359880600011","View Full Record in Web of Science")</f>
        <v>View Full Record in Web of Science</v>
      </c>
    </row>
    <row r="430" spans="1:72" x14ac:dyDescent="0.15">
      <c r="A430" t="s">
        <v>72</v>
      </c>
      <c r="B430" t="s">
        <v>8657</v>
      </c>
      <c r="C430" t="s">
        <v>74</v>
      </c>
      <c r="D430" t="s">
        <v>74</v>
      </c>
      <c r="E430" t="s">
        <v>74</v>
      </c>
      <c r="F430" t="s">
        <v>8658</v>
      </c>
      <c r="G430" t="s">
        <v>74</v>
      </c>
      <c r="H430" t="s">
        <v>74</v>
      </c>
      <c r="I430" t="s">
        <v>8659</v>
      </c>
      <c r="J430" t="s">
        <v>8164</v>
      </c>
      <c r="K430" t="s">
        <v>74</v>
      </c>
      <c r="L430" t="s">
        <v>74</v>
      </c>
      <c r="M430" t="s">
        <v>78</v>
      </c>
      <c r="N430" t="s">
        <v>79</v>
      </c>
      <c r="O430" t="s">
        <v>74</v>
      </c>
      <c r="P430" t="s">
        <v>74</v>
      </c>
      <c r="Q430" t="s">
        <v>74</v>
      </c>
      <c r="R430" t="s">
        <v>74</v>
      </c>
      <c r="S430" t="s">
        <v>74</v>
      </c>
      <c r="T430" t="s">
        <v>8660</v>
      </c>
      <c r="U430" t="s">
        <v>8661</v>
      </c>
      <c r="V430" t="s">
        <v>8662</v>
      </c>
      <c r="W430" t="s">
        <v>8663</v>
      </c>
      <c r="X430" t="s">
        <v>8664</v>
      </c>
      <c r="Y430" t="s">
        <v>8665</v>
      </c>
      <c r="Z430" t="s">
        <v>8666</v>
      </c>
      <c r="AA430" t="s">
        <v>8667</v>
      </c>
      <c r="AB430" t="s">
        <v>8668</v>
      </c>
      <c r="AC430" t="s">
        <v>8669</v>
      </c>
      <c r="AD430" t="s">
        <v>8670</v>
      </c>
      <c r="AE430" t="s">
        <v>8671</v>
      </c>
      <c r="AF430" t="s">
        <v>74</v>
      </c>
      <c r="AG430">
        <v>81</v>
      </c>
      <c r="AH430">
        <v>19</v>
      </c>
      <c r="AI430">
        <v>20</v>
      </c>
      <c r="AJ430">
        <v>0</v>
      </c>
      <c r="AK430">
        <v>56</v>
      </c>
      <c r="AL430" t="s">
        <v>208</v>
      </c>
      <c r="AM430" t="s">
        <v>209</v>
      </c>
      <c r="AN430" t="s">
        <v>210</v>
      </c>
      <c r="AO430" t="s">
        <v>8177</v>
      </c>
      <c r="AP430" t="s">
        <v>8178</v>
      </c>
      <c r="AQ430" t="s">
        <v>74</v>
      </c>
      <c r="AR430" t="s">
        <v>8179</v>
      </c>
      <c r="AS430" t="s">
        <v>8180</v>
      </c>
      <c r="AT430" t="s">
        <v>6261</v>
      </c>
      <c r="AU430">
        <v>2015</v>
      </c>
      <c r="AV430">
        <v>36</v>
      </c>
      <c r="AW430">
        <v>3</v>
      </c>
      <c r="AX430" t="s">
        <v>74</v>
      </c>
      <c r="AY430" t="s">
        <v>74</v>
      </c>
      <c r="AZ430" t="s">
        <v>74</v>
      </c>
      <c r="BA430" t="s">
        <v>74</v>
      </c>
      <c r="BB430">
        <v>347</v>
      </c>
      <c r="BC430">
        <v>367</v>
      </c>
      <c r="BD430" t="s">
        <v>74</v>
      </c>
      <c r="BE430" t="s">
        <v>8672</v>
      </c>
      <c r="BF430" t="str">
        <f>HYPERLINK("http://dx.doi.org/10.1111/maec.12145","http://dx.doi.org/10.1111/maec.12145")</f>
        <v>http://dx.doi.org/10.1111/maec.12145</v>
      </c>
      <c r="BG430" t="s">
        <v>74</v>
      </c>
      <c r="BH430" t="s">
        <v>74</v>
      </c>
      <c r="BI430">
        <v>21</v>
      </c>
      <c r="BJ430" t="s">
        <v>100</v>
      </c>
      <c r="BK430" t="s">
        <v>101</v>
      </c>
      <c r="BL430" t="s">
        <v>100</v>
      </c>
      <c r="BM430" t="s">
        <v>8182</v>
      </c>
      <c r="BN430" t="s">
        <v>74</v>
      </c>
      <c r="BO430" t="s">
        <v>74</v>
      </c>
      <c r="BP430" t="s">
        <v>74</v>
      </c>
      <c r="BQ430" t="s">
        <v>74</v>
      </c>
      <c r="BR430" t="s">
        <v>103</v>
      </c>
      <c r="BS430" t="s">
        <v>8673</v>
      </c>
      <c r="BT430" t="str">
        <f>HYPERLINK("https%3A%2F%2Fwww.webofscience.com%2Fwos%2Fwoscc%2Ffull-record%2FWOS:000358729600008","View Full Record in Web of Science")</f>
        <v>View Full Record in Web of Science</v>
      </c>
    </row>
    <row r="431" spans="1:72" x14ac:dyDescent="0.15">
      <c r="A431" t="s">
        <v>72</v>
      </c>
      <c r="B431" t="s">
        <v>8674</v>
      </c>
      <c r="C431" t="s">
        <v>74</v>
      </c>
      <c r="D431" t="s">
        <v>74</v>
      </c>
      <c r="E431" t="s">
        <v>74</v>
      </c>
      <c r="F431" t="s">
        <v>8675</v>
      </c>
      <c r="G431" t="s">
        <v>74</v>
      </c>
      <c r="H431" t="s">
        <v>74</v>
      </c>
      <c r="I431" t="s">
        <v>8676</v>
      </c>
      <c r="J431" t="s">
        <v>4759</v>
      </c>
      <c r="K431" t="s">
        <v>74</v>
      </c>
      <c r="L431" t="s">
        <v>74</v>
      </c>
      <c r="M431" t="s">
        <v>78</v>
      </c>
      <c r="N431" t="s">
        <v>79</v>
      </c>
      <c r="O431" t="s">
        <v>74</v>
      </c>
      <c r="P431" t="s">
        <v>74</v>
      </c>
      <c r="Q431" t="s">
        <v>74</v>
      </c>
      <c r="R431" t="s">
        <v>74</v>
      </c>
      <c r="S431" t="s">
        <v>74</v>
      </c>
      <c r="T431" t="s">
        <v>8677</v>
      </c>
      <c r="U431" t="s">
        <v>8678</v>
      </c>
      <c r="V431" t="s">
        <v>8679</v>
      </c>
      <c r="W431" t="s">
        <v>8680</v>
      </c>
      <c r="X431" t="s">
        <v>8681</v>
      </c>
      <c r="Y431" t="s">
        <v>8682</v>
      </c>
      <c r="Z431" t="s">
        <v>8683</v>
      </c>
      <c r="AA431" t="s">
        <v>8684</v>
      </c>
      <c r="AB431" t="s">
        <v>8685</v>
      </c>
      <c r="AC431" t="s">
        <v>8686</v>
      </c>
      <c r="AD431" t="s">
        <v>8687</v>
      </c>
      <c r="AE431" t="s">
        <v>8688</v>
      </c>
      <c r="AF431" t="s">
        <v>74</v>
      </c>
      <c r="AG431">
        <v>61</v>
      </c>
      <c r="AH431">
        <v>5</v>
      </c>
      <c r="AI431">
        <v>5</v>
      </c>
      <c r="AJ431">
        <v>1</v>
      </c>
      <c r="AK431">
        <v>17</v>
      </c>
      <c r="AL431" t="s">
        <v>92</v>
      </c>
      <c r="AM431" t="s">
        <v>550</v>
      </c>
      <c r="AN431" t="s">
        <v>1398</v>
      </c>
      <c r="AO431" t="s">
        <v>4773</v>
      </c>
      <c r="AP431" t="s">
        <v>4774</v>
      </c>
      <c r="AQ431" t="s">
        <v>74</v>
      </c>
      <c r="AR431" t="s">
        <v>4775</v>
      </c>
      <c r="AS431" t="s">
        <v>4776</v>
      </c>
      <c r="AT431" t="s">
        <v>6261</v>
      </c>
      <c r="AU431">
        <v>2015</v>
      </c>
      <c r="AV431">
        <v>38</v>
      </c>
      <c r="AW431">
        <v>9</v>
      </c>
      <c r="AX431" t="s">
        <v>74</v>
      </c>
      <c r="AY431" t="s">
        <v>74</v>
      </c>
      <c r="AZ431" t="s">
        <v>74</v>
      </c>
      <c r="BA431" t="s">
        <v>74</v>
      </c>
      <c r="BB431">
        <v>1345</v>
      </c>
      <c r="BC431">
        <v>1356</v>
      </c>
      <c r="BD431" t="s">
        <v>74</v>
      </c>
      <c r="BE431" t="s">
        <v>8689</v>
      </c>
      <c r="BF431" t="str">
        <f>HYPERLINK("http://dx.doi.org/10.1007/s00300-015-1698-8","http://dx.doi.org/10.1007/s00300-015-1698-8")</f>
        <v>http://dx.doi.org/10.1007/s00300-015-1698-8</v>
      </c>
      <c r="BG431" t="s">
        <v>74</v>
      </c>
      <c r="BH431" t="s">
        <v>74</v>
      </c>
      <c r="BI431">
        <v>12</v>
      </c>
      <c r="BJ431" t="s">
        <v>4778</v>
      </c>
      <c r="BK431" t="s">
        <v>101</v>
      </c>
      <c r="BL431" t="s">
        <v>3806</v>
      </c>
      <c r="BM431" t="s">
        <v>8465</v>
      </c>
      <c r="BN431" t="s">
        <v>74</v>
      </c>
      <c r="BO431" t="s">
        <v>74</v>
      </c>
      <c r="BP431" t="s">
        <v>74</v>
      </c>
      <c r="BQ431" t="s">
        <v>74</v>
      </c>
      <c r="BR431" t="s">
        <v>103</v>
      </c>
      <c r="BS431" t="s">
        <v>8690</v>
      </c>
      <c r="BT431" t="str">
        <f>HYPERLINK("https%3A%2F%2Fwww.webofscience.com%2Fwos%2Fwoscc%2Ffull-record%2FWOS:000359188800003","View Full Record in Web of Science")</f>
        <v>View Full Record in Web of Science</v>
      </c>
    </row>
    <row r="432" spans="1:72" x14ac:dyDescent="0.15">
      <c r="A432" t="s">
        <v>72</v>
      </c>
      <c r="B432" t="s">
        <v>8691</v>
      </c>
      <c r="C432" t="s">
        <v>74</v>
      </c>
      <c r="D432" t="s">
        <v>74</v>
      </c>
      <c r="E432" t="s">
        <v>74</v>
      </c>
      <c r="F432" t="s">
        <v>8692</v>
      </c>
      <c r="G432" t="s">
        <v>74</v>
      </c>
      <c r="H432" t="s">
        <v>74</v>
      </c>
      <c r="I432" t="s">
        <v>8693</v>
      </c>
      <c r="J432" t="s">
        <v>4759</v>
      </c>
      <c r="K432" t="s">
        <v>74</v>
      </c>
      <c r="L432" t="s">
        <v>74</v>
      </c>
      <c r="M432" t="s">
        <v>78</v>
      </c>
      <c r="N432" t="s">
        <v>79</v>
      </c>
      <c r="O432" t="s">
        <v>74</v>
      </c>
      <c r="P432" t="s">
        <v>74</v>
      </c>
      <c r="Q432" t="s">
        <v>74</v>
      </c>
      <c r="R432" t="s">
        <v>74</v>
      </c>
      <c r="S432" t="s">
        <v>74</v>
      </c>
      <c r="T432" t="s">
        <v>8694</v>
      </c>
      <c r="U432" t="s">
        <v>8695</v>
      </c>
      <c r="V432" t="s">
        <v>8696</v>
      </c>
      <c r="W432" t="s">
        <v>8697</v>
      </c>
      <c r="X432" t="s">
        <v>8698</v>
      </c>
      <c r="Y432" t="s">
        <v>8699</v>
      </c>
      <c r="Z432" t="s">
        <v>8700</v>
      </c>
      <c r="AA432" t="s">
        <v>7531</v>
      </c>
      <c r="AB432" t="s">
        <v>8701</v>
      </c>
      <c r="AC432" t="s">
        <v>8702</v>
      </c>
      <c r="AD432" t="s">
        <v>8703</v>
      </c>
      <c r="AE432" t="s">
        <v>8704</v>
      </c>
      <c r="AF432" t="s">
        <v>74</v>
      </c>
      <c r="AG432">
        <v>55</v>
      </c>
      <c r="AH432">
        <v>9</v>
      </c>
      <c r="AI432">
        <v>11</v>
      </c>
      <c r="AJ432">
        <v>0</v>
      </c>
      <c r="AK432">
        <v>66</v>
      </c>
      <c r="AL432" t="s">
        <v>92</v>
      </c>
      <c r="AM432" t="s">
        <v>550</v>
      </c>
      <c r="AN432" t="s">
        <v>1398</v>
      </c>
      <c r="AO432" t="s">
        <v>4773</v>
      </c>
      <c r="AP432" t="s">
        <v>4774</v>
      </c>
      <c r="AQ432" t="s">
        <v>74</v>
      </c>
      <c r="AR432" t="s">
        <v>4775</v>
      </c>
      <c r="AS432" t="s">
        <v>4776</v>
      </c>
      <c r="AT432" t="s">
        <v>6261</v>
      </c>
      <c r="AU432">
        <v>2015</v>
      </c>
      <c r="AV432">
        <v>38</v>
      </c>
      <c r="AW432">
        <v>9</v>
      </c>
      <c r="AX432" t="s">
        <v>74</v>
      </c>
      <c r="AY432" t="s">
        <v>74</v>
      </c>
      <c r="AZ432" t="s">
        <v>74</v>
      </c>
      <c r="BA432" t="s">
        <v>74</v>
      </c>
      <c r="BB432">
        <v>1391</v>
      </c>
      <c r="BC432">
        <v>1400</v>
      </c>
      <c r="BD432" t="s">
        <v>74</v>
      </c>
      <c r="BE432" t="s">
        <v>8705</v>
      </c>
      <c r="BF432" t="str">
        <f>HYPERLINK("http://dx.doi.org/10.1007/s00300-015-1703-2","http://dx.doi.org/10.1007/s00300-015-1703-2")</f>
        <v>http://dx.doi.org/10.1007/s00300-015-1703-2</v>
      </c>
      <c r="BG432" t="s">
        <v>74</v>
      </c>
      <c r="BH432" t="s">
        <v>74</v>
      </c>
      <c r="BI432">
        <v>10</v>
      </c>
      <c r="BJ432" t="s">
        <v>4778</v>
      </c>
      <c r="BK432" t="s">
        <v>101</v>
      </c>
      <c r="BL432" t="s">
        <v>3806</v>
      </c>
      <c r="BM432" t="s">
        <v>8465</v>
      </c>
      <c r="BN432" t="s">
        <v>74</v>
      </c>
      <c r="BO432" t="s">
        <v>74</v>
      </c>
      <c r="BP432" t="s">
        <v>74</v>
      </c>
      <c r="BQ432" t="s">
        <v>74</v>
      </c>
      <c r="BR432" t="s">
        <v>103</v>
      </c>
      <c r="BS432" t="s">
        <v>8706</v>
      </c>
      <c r="BT432" t="str">
        <f>HYPERLINK("https%3A%2F%2Fwww.webofscience.com%2Fwos%2Fwoscc%2Ffull-record%2FWOS:000359188800007","View Full Record in Web of Science")</f>
        <v>View Full Record in Web of Science</v>
      </c>
    </row>
    <row r="433" spans="1:72" x14ac:dyDescent="0.15">
      <c r="A433" t="s">
        <v>72</v>
      </c>
      <c r="B433" t="s">
        <v>8707</v>
      </c>
      <c r="C433" t="s">
        <v>74</v>
      </c>
      <c r="D433" t="s">
        <v>74</v>
      </c>
      <c r="E433" t="s">
        <v>74</v>
      </c>
      <c r="F433" t="s">
        <v>8708</v>
      </c>
      <c r="G433" t="s">
        <v>74</v>
      </c>
      <c r="H433" t="s">
        <v>74</v>
      </c>
      <c r="I433" t="s">
        <v>8709</v>
      </c>
      <c r="J433" t="s">
        <v>4759</v>
      </c>
      <c r="K433" t="s">
        <v>74</v>
      </c>
      <c r="L433" t="s">
        <v>74</v>
      </c>
      <c r="M433" t="s">
        <v>78</v>
      </c>
      <c r="N433" t="s">
        <v>79</v>
      </c>
      <c r="O433" t="s">
        <v>74</v>
      </c>
      <c r="P433" t="s">
        <v>74</v>
      </c>
      <c r="Q433" t="s">
        <v>74</v>
      </c>
      <c r="R433" t="s">
        <v>74</v>
      </c>
      <c r="S433" t="s">
        <v>74</v>
      </c>
      <c r="T433" t="s">
        <v>8710</v>
      </c>
      <c r="U433" t="s">
        <v>8711</v>
      </c>
      <c r="V433" t="s">
        <v>8712</v>
      </c>
      <c r="W433" t="s">
        <v>8713</v>
      </c>
      <c r="X433" t="s">
        <v>8714</v>
      </c>
      <c r="Y433" t="s">
        <v>8715</v>
      </c>
      <c r="Z433" t="s">
        <v>8716</v>
      </c>
      <c r="AA433" t="s">
        <v>8717</v>
      </c>
      <c r="AB433" t="s">
        <v>8718</v>
      </c>
      <c r="AC433" t="s">
        <v>8719</v>
      </c>
      <c r="AD433" t="s">
        <v>8720</v>
      </c>
      <c r="AE433" t="s">
        <v>8721</v>
      </c>
      <c r="AF433" t="s">
        <v>74</v>
      </c>
      <c r="AG433">
        <v>63</v>
      </c>
      <c r="AH433">
        <v>18</v>
      </c>
      <c r="AI433">
        <v>18</v>
      </c>
      <c r="AJ433">
        <v>0</v>
      </c>
      <c r="AK433">
        <v>23</v>
      </c>
      <c r="AL433" t="s">
        <v>92</v>
      </c>
      <c r="AM433" t="s">
        <v>550</v>
      </c>
      <c r="AN433" t="s">
        <v>1398</v>
      </c>
      <c r="AO433" t="s">
        <v>4773</v>
      </c>
      <c r="AP433" t="s">
        <v>4774</v>
      </c>
      <c r="AQ433" t="s">
        <v>74</v>
      </c>
      <c r="AR433" t="s">
        <v>4775</v>
      </c>
      <c r="AS433" t="s">
        <v>4776</v>
      </c>
      <c r="AT433" t="s">
        <v>6261</v>
      </c>
      <c r="AU433">
        <v>2015</v>
      </c>
      <c r="AV433">
        <v>38</v>
      </c>
      <c r="AW433">
        <v>9</v>
      </c>
      <c r="AX433" t="s">
        <v>74</v>
      </c>
      <c r="AY433" t="s">
        <v>74</v>
      </c>
      <c r="AZ433" t="s">
        <v>74</v>
      </c>
      <c r="BA433" t="s">
        <v>74</v>
      </c>
      <c r="BB433">
        <v>1429</v>
      </c>
      <c r="BC433">
        <v>1437</v>
      </c>
      <c r="BD433" t="s">
        <v>74</v>
      </c>
      <c r="BE433" t="s">
        <v>8722</v>
      </c>
      <c r="BF433" t="str">
        <f>HYPERLINK("http://dx.doi.org/10.1007/s00300-015-1706-z","http://dx.doi.org/10.1007/s00300-015-1706-z")</f>
        <v>http://dx.doi.org/10.1007/s00300-015-1706-z</v>
      </c>
      <c r="BG433" t="s">
        <v>74</v>
      </c>
      <c r="BH433" t="s">
        <v>74</v>
      </c>
      <c r="BI433">
        <v>9</v>
      </c>
      <c r="BJ433" t="s">
        <v>4778</v>
      </c>
      <c r="BK433" t="s">
        <v>101</v>
      </c>
      <c r="BL433" t="s">
        <v>3806</v>
      </c>
      <c r="BM433" t="s">
        <v>8465</v>
      </c>
      <c r="BN433" t="s">
        <v>74</v>
      </c>
      <c r="BO433" t="s">
        <v>1235</v>
      </c>
      <c r="BP433" t="s">
        <v>74</v>
      </c>
      <c r="BQ433" t="s">
        <v>74</v>
      </c>
      <c r="BR433" t="s">
        <v>103</v>
      </c>
      <c r="BS433" t="s">
        <v>8723</v>
      </c>
      <c r="BT433" t="str">
        <f>HYPERLINK("https%3A%2F%2Fwww.webofscience.com%2Fwos%2Fwoscc%2Ffull-record%2FWOS:000359188800010","View Full Record in Web of Science")</f>
        <v>View Full Record in Web of Science</v>
      </c>
    </row>
    <row r="434" spans="1:72" x14ac:dyDescent="0.15">
      <c r="A434" t="s">
        <v>72</v>
      </c>
      <c r="B434" t="s">
        <v>8724</v>
      </c>
      <c r="C434" t="s">
        <v>74</v>
      </c>
      <c r="D434" t="s">
        <v>74</v>
      </c>
      <c r="E434" t="s">
        <v>74</v>
      </c>
      <c r="F434" t="s">
        <v>8725</v>
      </c>
      <c r="G434" t="s">
        <v>74</v>
      </c>
      <c r="H434" t="s">
        <v>74</v>
      </c>
      <c r="I434" t="s">
        <v>8726</v>
      </c>
      <c r="J434" t="s">
        <v>4759</v>
      </c>
      <c r="K434" t="s">
        <v>74</v>
      </c>
      <c r="L434" t="s">
        <v>74</v>
      </c>
      <c r="M434" t="s">
        <v>78</v>
      </c>
      <c r="N434" t="s">
        <v>79</v>
      </c>
      <c r="O434" t="s">
        <v>74</v>
      </c>
      <c r="P434" t="s">
        <v>74</v>
      </c>
      <c r="Q434" t="s">
        <v>74</v>
      </c>
      <c r="R434" t="s">
        <v>74</v>
      </c>
      <c r="S434" t="s">
        <v>74</v>
      </c>
      <c r="T434" t="s">
        <v>8727</v>
      </c>
      <c r="U434" t="s">
        <v>8728</v>
      </c>
      <c r="V434" t="s">
        <v>8729</v>
      </c>
      <c r="W434" t="s">
        <v>8730</v>
      </c>
      <c r="X434" t="s">
        <v>8731</v>
      </c>
      <c r="Y434" t="s">
        <v>8732</v>
      </c>
      <c r="Z434" t="s">
        <v>8733</v>
      </c>
      <c r="AA434" t="s">
        <v>8734</v>
      </c>
      <c r="AB434" t="s">
        <v>8735</v>
      </c>
      <c r="AC434" t="s">
        <v>8736</v>
      </c>
      <c r="AD434" t="s">
        <v>8737</v>
      </c>
      <c r="AE434" t="s">
        <v>8738</v>
      </c>
      <c r="AF434" t="s">
        <v>74</v>
      </c>
      <c r="AG434">
        <v>41</v>
      </c>
      <c r="AH434">
        <v>4</v>
      </c>
      <c r="AI434">
        <v>4</v>
      </c>
      <c r="AJ434">
        <v>0</v>
      </c>
      <c r="AK434">
        <v>18</v>
      </c>
      <c r="AL434" t="s">
        <v>92</v>
      </c>
      <c r="AM434" t="s">
        <v>550</v>
      </c>
      <c r="AN434" t="s">
        <v>1398</v>
      </c>
      <c r="AO434" t="s">
        <v>4773</v>
      </c>
      <c r="AP434" t="s">
        <v>4774</v>
      </c>
      <c r="AQ434" t="s">
        <v>74</v>
      </c>
      <c r="AR434" t="s">
        <v>4775</v>
      </c>
      <c r="AS434" t="s">
        <v>4776</v>
      </c>
      <c r="AT434" t="s">
        <v>6261</v>
      </c>
      <c r="AU434">
        <v>2015</v>
      </c>
      <c r="AV434">
        <v>38</v>
      </c>
      <c r="AW434">
        <v>9</v>
      </c>
      <c r="AX434" t="s">
        <v>74</v>
      </c>
      <c r="AY434" t="s">
        <v>74</v>
      </c>
      <c r="AZ434" t="s">
        <v>74</v>
      </c>
      <c r="BA434" t="s">
        <v>74</v>
      </c>
      <c r="BB434">
        <v>1559</v>
      </c>
      <c r="BC434">
        <v>1564</v>
      </c>
      <c r="BD434" t="s">
        <v>74</v>
      </c>
      <c r="BE434" t="s">
        <v>8739</v>
      </c>
      <c r="BF434" t="str">
        <f>HYPERLINK("http://dx.doi.org/10.1007/s00300-015-1713-0","http://dx.doi.org/10.1007/s00300-015-1713-0")</f>
        <v>http://dx.doi.org/10.1007/s00300-015-1713-0</v>
      </c>
      <c r="BG434" t="s">
        <v>74</v>
      </c>
      <c r="BH434" t="s">
        <v>74</v>
      </c>
      <c r="BI434">
        <v>6</v>
      </c>
      <c r="BJ434" t="s">
        <v>4778</v>
      </c>
      <c r="BK434" t="s">
        <v>101</v>
      </c>
      <c r="BL434" t="s">
        <v>3806</v>
      </c>
      <c r="BM434" t="s">
        <v>8465</v>
      </c>
      <c r="BN434" t="s">
        <v>74</v>
      </c>
      <c r="BO434" t="s">
        <v>74</v>
      </c>
      <c r="BP434" t="s">
        <v>74</v>
      </c>
      <c r="BQ434" t="s">
        <v>74</v>
      </c>
      <c r="BR434" t="s">
        <v>103</v>
      </c>
      <c r="BS434" t="s">
        <v>8740</v>
      </c>
      <c r="BT434" t="str">
        <f>HYPERLINK("https%3A%2F%2Fwww.webofscience.com%2Fwos%2Fwoscc%2Ffull-record%2FWOS:000359188800021","View Full Record in Web of Science")</f>
        <v>View Full Record in Web of Science</v>
      </c>
    </row>
    <row r="435" spans="1:72" x14ac:dyDescent="0.15">
      <c r="A435" t="s">
        <v>72</v>
      </c>
      <c r="B435" t="s">
        <v>8741</v>
      </c>
      <c r="C435" t="s">
        <v>74</v>
      </c>
      <c r="D435" t="s">
        <v>74</v>
      </c>
      <c r="E435" t="s">
        <v>74</v>
      </c>
      <c r="F435" t="s">
        <v>8742</v>
      </c>
      <c r="G435" t="s">
        <v>74</v>
      </c>
      <c r="H435" t="s">
        <v>74</v>
      </c>
      <c r="I435" t="s">
        <v>8743</v>
      </c>
      <c r="J435" t="s">
        <v>8744</v>
      </c>
      <c r="K435" t="s">
        <v>74</v>
      </c>
      <c r="L435" t="s">
        <v>74</v>
      </c>
      <c r="M435" t="s">
        <v>78</v>
      </c>
      <c r="N435" t="s">
        <v>79</v>
      </c>
      <c r="O435" t="s">
        <v>74</v>
      </c>
      <c r="P435" t="s">
        <v>74</v>
      </c>
      <c r="Q435" t="s">
        <v>74</v>
      </c>
      <c r="R435" t="s">
        <v>74</v>
      </c>
      <c r="S435" t="s">
        <v>74</v>
      </c>
      <c r="T435" t="s">
        <v>8745</v>
      </c>
      <c r="U435" t="s">
        <v>8746</v>
      </c>
      <c r="V435" t="s">
        <v>8747</v>
      </c>
      <c r="W435" t="s">
        <v>8748</v>
      </c>
      <c r="X435" t="s">
        <v>8749</v>
      </c>
      <c r="Y435" t="s">
        <v>8750</v>
      </c>
      <c r="Z435" t="s">
        <v>8751</v>
      </c>
      <c r="AA435" t="s">
        <v>8752</v>
      </c>
      <c r="AB435" t="s">
        <v>8753</v>
      </c>
      <c r="AC435" t="s">
        <v>8754</v>
      </c>
      <c r="AD435" t="s">
        <v>8755</v>
      </c>
      <c r="AE435" t="s">
        <v>8756</v>
      </c>
      <c r="AF435" t="s">
        <v>74</v>
      </c>
      <c r="AG435">
        <v>70</v>
      </c>
      <c r="AH435">
        <v>26</v>
      </c>
      <c r="AI435">
        <v>30</v>
      </c>
      <c r="AJ435">
        <v>3</v>
      </c>
      <c r="AK435">
        <v>42</v>
      </c>
      <c r="AL435" t="s">
        <v>6897</v>
      </c>
      <c r="AM435" t="s">
        <v>550</v>
      </c>
      <c r="AN435" t="s">
        <v>8757</v>
      </c>
      <c r="AO435" t="s">
        <v>8758</v>
      </c>
      <c r="AP435" t="s">
        <v>8759</v>
      </c>
      <c r="AQ435" t="s">
        <v>74</v>
      </c>
      <c r="AR435" t="s">
        <v>8760</v>
      </c>
      <c r="AS435" t="s">
        <v>8761</v>
      </c>
      <c r="AT435" t="s">
        <v>6441</v>
      </c>
      <c r="AU435">
        <v>2015</v>
      </c>
      <c r="AV435">
        <v>166</v>
      </c>
      <c r="AW435" t="s">
        <v>74</v>
      </c>
      <c r="AX435" t="s">
        <v>74</v>
      </c>
      <c r="AY435" t="s">
        <v>74</v>
      </c>
      <c r="AZ435" t="s">
        <v>74</v>
      </c>
      <c r="BA435" t="s">
        <v>74</v>
      </c>
      <c r="BB435">
        <v>214</v>
      </c>
      <c r="BC435">
        <v>232</v>
      </c>
      <c r="BD435" t="s">
        <v>74</v>
      </c>
      <c r="BE435" t="s">
        <v>8762</v>
      </c>
      <c r="BF435" t="str">
        <f>HYPERLINK("http://dx.doi.org/10.1016/j.rse.2015.05.028","http://dx.doi.org/10.1016/j.rse.2015.05.028")</f>
        <v>http://dx.doi.org/10.1016/j.rse.2015.05.028</v>
      </c>
      <c r="BG435" t="s">
        <v>74</v>
      </c>
      <c r="BH435" t="s">
        <v>74</v>
      </c>
      <c r="BI435">
        <v>19</v>
      </c>
      <c r="BJ435" t="s">
        <v>8763</v>
      </c>
      <c r="BK435" t="s">
        <v>101</v>
      </c>
      <c r="BL435" t="s">
        <v>8764</v>
      </c>
      <c r="BM435" t="s">
        <v>8765</v>
      </c>
      <c r="BN435" t="s">
        <v>74</v>
      </c>
      <c r="BO435" t="s">
        <v>74</v>
      </c>
      <c r="BP435" t="s">
        <v>74</v>
      </c>
      <c r="BQ435" t="s">
        <v>74</v>
      </c>
      <c r="BR435" t="s">
        <v>103</v>
      </c>
      <c r="BS435" t="s">
        <v>8766</v>
      </c>
      <c r="BT435" t="str">
        <f>HYPERLINK("https%3A%2F%2Fwww.webofscience.com%2Fwos%2Fwoscc%2Ffull-record%2FWOS:000358632500018","View Full Record in Web of Science")</f>
        <v>View Full Record in Web of Science</v>
      </c>
    </row>
    <row r="436" spans="1:72" x14ac:dyDescent="0.15">
      <c r="A436" t="s">
        <v>72</v>
      </c>
      <c r="B436" t="s">
        <v>8767</v>
      </c>
      <c r="C436" t="s">
        <v>74</v>
      </c>
      <c r="D436" t="s">
        <v>74</v>
      </c>
      <c r="E436" t="s">
        <v>74</v>
      </c>
      <c r="F436" t="s">
        <v>8768</v>
      </c>
      <c r="G436" t="s">
        <v>74</v>
      </c>
      <c r="H436" t="s">
        <v>74</v>
      </c>
      <c r="I436" t="s">
        <v>8769</v>
      </c>
      <c r="J436" t="s">
        <v>8770</v>
      </c>
      <c r="K436" t="s">
        <v>74</v>
      </c>
      <c r="L436" t="s">
        <v>74</v>
      </c>
      <c r="M436" t="s">
        <v>78</v>
      </c>
      <c r="N436" t="s">
        <v>79</v>
      </c>
      <c r="O436" t="s">
        <v>74</v>
      </c>
      <c r="P436" t="s">
        <v>74</v>
      </c>
      <c r="Q436" t="s">
        <v>74</v>
      </c>
      <c r="R436" t="s">
        <v>74</v>
      </c>
      <c r="S436" t="s">
        <v>74</v>
      </c>
      <c r="T436" t="s">
        <v>8771</v>
      </c>
      <c r="U436" t="s">
        <v>8772</v>
      </c>
      <c r="V436" t="s">
        <v>8773</v>
      </c>
      <c r="W436" t="s">
        <v>8774</v>
      </c>
      <c r="X436" t="s">
        <v>8775</v>
      </c>
      <c r="Y436" t="s">
        <v>8776</v>
      </c>
      <c r="Z436" t="s">
        <v>8777</v>
      </c>
      <c r="AA436" t="s">
        <v>8778</v>
      </c>
      <c r="AB436" t="s">
        <v>8779</v>
      </c>
      <c r="AC436" t="s">
        <v>8780</v>
      </c>
      <c r="AD436" t="s">
        <v>8781</v>
      </c>
      <c r="AE436" t="s">
        <v>8782</v>
      </c>
      <c r="AF436" t="s">
        <v>74</v>
      </c>
      <c r="AG436">
        <v>63</v>
      </c>
      <c r="AH436">
        <v>17</v>
      </c>
      <c r="AI436">
        <v>20</v>
      </c>
      <c r="AJ436">
        <v>0</v>
      </c>
      <c r="AK436">
        <v>57</v>
      </c>
      <c r="AL436" t="s">
        <v>6897</v>
      </c>
      <c r="AM436" t="s">
        <v>550</v>
      </c>
      <c r="AN436" t="s">
        <v>8757</v>
      </c>
      <c r="AO436" t="s">
        <v>8783</v>
      </c>
      <c r="AP436" t="s">
        <v>8784</v>
      </c>
      <c r="AQ436" t="s">
        <v>74</v>
      </c>
      <c r="AR436" t="s">
        <v>8785</v>
      </c>
      <c r="AS436" t="s">
        <v>8786</v>
      </c>
      <c r="AT436" t="s">
        <v>6261</v>
      </c>
      <c r="AU436">
        <v>2015</v>
      </c>
      <c r="AV436">
        <v>187</v>
      </c>
      <c r="AW436" t="s">
        <v>74</v>
      </c>
      <c r="AX436" t="s">
        <v>74</v>
      </c>
      <c r="AY436" t="s">
        <v>74</v>
      </c>
      <c r="AZ436" t="s">
        <v>74</v>
      </c>
      <c r="BA436" t="s">
        <v>74</v>
      </c>
      <c r="BB436">
        <v>160</v>
      </c>
      <c r="BC436">
        <v>167</v>
      </c>
      <c r="BD436" t="s">
        <v>74</v>
      </c>
      <c r="BE436" t="s">
        <v>8787</v>
      </c>
      <c r="BF436" t="str">
        <f>HYPERLINK("http://dx.doi.org/10.1016/j.cbpa.2015.05.009","http://dx.doi.org/10.1016/j.cbpa.2015.05.009")</f>
        <v>http://dx.doi.org/10.1016/j.cbpa.2015.05.009</v>
      </c>
      <c r="BG436" t="s">
        <v>74</v>
      </c>
      <c r="BH436" t="s">
        <v>74</v>
      </c>
      <c r="BI436">
        <v>8</v>
      </c>
      <c r="BJ436" t="s">
        <v>8788</v>
      </c>
      <c r="BK436" t="s">
        <v>101</v>
      </c>
      <c r="BL436" t="s">
        <v>8788</v>
      </c>
      <c r="BM436" t="s">
        <v>8789</v>
      </c>
      <c r="BN436">
        <v>26005104</v>
      </c>
      <c r="BO436" t="s">
        <v>74</v>
      </c>
      <c r="BP436" t="s">
        <v>74</v>
      </c>
      <c r="BQ436" t="s">
        <v>74</v>
      </c>
      <c r="BR436" t="s">
        <v>103</v>
      </c>
      <c r="BS436" t="s">
        <v>8790</v>
      </c>
      <c r="BT436" t="str">
        <f>HYPERLINK("https%3A%2F%2Fwww.webofscience.com%2Fwos%2Fwoscc%2Ffull-record%2FWOS:000358096100020","View Full Record in Web of Science")</f>
        <v>View Full Record in Web of Science</v>
      </c>
    </row>
    <row r="437" spans="1:72" x14ac:dyDescent="0.15">
      <c r="A437" t="s">
        <v>72</v>
      </c>
      <c r="B437" t="s">
        <v>8791</v>
      </c>
      <c r="C437" t="s">
        <v>74</v>
      </c>
      <c r="D437" t="s">
        <v>74</v>
      </c>
      <c r="E437" t="s">
        <v>74</v>
      </c>
      <c r="F437" t="s">
        <v>8792</v>
      </c>
      <c r="G437" t="s">
        <v>74</v>
      </c>
      <c r="H437" t="s">
        <v>74</v>
      </c>
      <c r="I437" t="s">
        <v>8793</v>
      </c>
      <c r="J437" t="s">
        <v>8770</v>
      </c>
      <c r="K437" t="s">
        <v>74</v>
      </c>
      <c r="L437" t="s">
        <v>74</v>
      </c>
      <c r="M437" t="s">
        <v>78</v>
      </c>
      <c r="N437" t="s">
        <v>79</v>
      </c>
      <c r="O437" t="s">
        <v>74</v>
      </c>
      <c r="P437" t="s">
        <v>74</v>
      </c>
      <c r="Q437" t="s">
        <v>74</v>
      </c>
      <c r="R437" t="s">
        <v>74</v>
      </c>
      <c r="S437" t="s">
        <v>74</v>
      </c>
      <c r="T437" t="s">
        <v>8794</v>
      </c>
      <c r="U437" t="s">
        <v>8795</v>
      </c>
      <c r="V437" t="s">
        <v>8796</v>
      </c>
      <c r="W437" t="s">
        <v>8797</v>
      </c>
      <c r="X437" t="s">
        <v>8798</v>
      </c>
      <c r="Y437" t="s">
        <v>8799</v>
      </c>
      <c r="Z437" t="s">
        <v>8800</v>
      </c>
      <c r="AA437" t="s">
        <v>74</v>
      </c>
      <c r="AB437" t="s">
        <v>74</v>
      </c>
      <c r="AC437" t="s">
        <v>8801</v>
      </c>
      <c r="AD437" t="s">
        <v>8802</v>
      </c>
      <c r="AE437" t="s">
        <v>8803</v>
      </c>
      <c r="AF437" t="s">
        <v>74</v>
      </c>
      <c r="AG437">
        <v>59</v>
      </c>
      <c r="AH437">
        <v>9</v>
      </c>
      <c r="AI437">
        <v>10</v>
      </c>
      <c r="AJ437">
        <v>0</v>
      </c>
      <c r="AK437">
        <v>26</v>
      </c>
      <c r="AL437" t="s">
        <v>6897</v>
      </c>
      <c r="AM437" t="s">
        <v>550</v>
      </c>
      <c r="AN437" t="s">
        <v>6898</v>
      </c>
      <c r="AO437" t="s">
        <v>8783</v>
      </c>
      <c r="AP437" t="s">
        <v>8784</v>
      </c>
      <c r="AQ437" t="s">
        <v>74</v>
      </c>
      <c r="AR437" t="s">
        <v>8785</v>
      </c>
      <c r="AS437" t="s">
        <v>8786</v>
      </c>
      <c r="AT437" t="s">
        <v>6261</v>
      </c>
      <c r="AU437">
        <v>2015</v>
      </c>
      <c r="AV437">
        <v>187</v>
      </c>
      <c r="AW437" t="s">
        <v>74</v>
      </c>
      <c r="AX437" t="s">
        <v>74</v>
      </c>
      <c r="AY437" t="s">
        <v>74</v>
      </c>
      <c r="AZ437" t="s">
        <v>74</v>
      </c>
      <c r="BA437" t="s">
        <v>74</v>
      </c>
      <c r="BB437">
        <v>177</v>
      </c>
      <c r="BC437">
        <v>183</v>
      </c>
      <c r="BD437" t="s">
        <v>74</v>
      </c>
      <c r="BE437" t="s">
        <v>8804</v>
      </c>
      <c r="BF437" t="str">
        <f>HYPERLINK("http://dx.doi.org/10.1016/j.cbpa.2015.05.026","http://dx.doi.org/10.1016/j.cbpa.2015.05.026")</f>
        <v>http://dx.doi.org/10.1016/j.cbpa.2015.05.026</v>
      </c>
      <c r="BG437" t="s">
        <v>74</v>
      </c>
      <c r="BH437" t="s">
        <v>74</v>
      </c>
      <c r="BI437">
        <v>7</v>
      </c>
      <c r="BJ437" t="s">
        <v>8788</v>
      </c>
      <c r="BK437" t="s">
        <v>101</v>
      </c>
      <c r="BL437" t="s">
        <v>8788</v>
      </c>
      <c r="BM437" t="s">
        <v>8789</v>
      </c>
      <c r="BN437">
        <v>26051614</v>
      </c>
      <c r="BO437" t="s">
        <v>74</v>
      </c>
      <c r="BP437" t="s">
        <v>74</v>
      </c>
      <c r="BQ437" t="s">
        <v>74</v>
      </c>
      <c r="BR437" t="s">
        <v>103</v>
      </c>
      <c r="BS437" t="s">
        <v>8805</v>
      </c>
      <c r="BT437" t="str">
        <f>HYPERLINK("https%3A%2F%2Fwww.webofscience.com%2Fwos%2Fwoscc%2Ffull-record%2FWOS:000358096100022","View Full Record in Web of Science")</f>
        <v>View Full Record in Web of Science</v>
      </c>
    </row>
    <row r="438" spans="1:72" x14ac:dyDescent="0.15">
      <c r="A438" t="s">
        <v>72</v>
      </c>
      <c r="B438" t="s">
        <v>8806</v>
      </c>
      <c r="C438" t="s">
        <v>74</v>
      </c>
      <c r="D438" t="s">
        <v>74</v>
      </c>
      <c r="E438" t="s">
        <v>74</v>
      </c>
      <c r="F438" t="s">
        <v>8807</v>
      </c>
      <c r="G438" t="s">
        <v>74</v>
      </c>
      <c r="H438" t="s">
        <v>74</v>
      </c>
      <c r="I438" t="s">
        <v>8808</v>
      </c>
      <c r="J438" t="s">
        <v>3495</v>
      </c>
      <c r="K438" t="s">
        <v>74</v>
      </c>
      <c r="L438" t="s">
        <v>74</v>
      </c>
      <c r="M438" t="s">
        <v>78</v>
      </c>
      <c r="N438" t="s">
        <v>79</v>
      </c>
      <c r="O438" t="s">
        <v>74</v>
      </c>
      <c r="P438" t="s">
        <v>74</v>
      </c>
      <c r="Q438" t="s">
        <v>74</v>
      </c>
      <c r="R438" t="s">
        <v>74</v>
      </c>
      <c r="S438" t="s">
        <v>74</v>
      </c>
      <c r="T438" t="s">
        <v>8809</v>
      </c>
      <c r="U438" t="s">
        <v>8810</v>
      </c>
      <c r="V438" t="s">
        <v>8811</v>
      </c>
      <c r="W438" t="s">
        <v>8812</v>
      </c>
      <c r="X438" t="s">
        <v>8813</v>
      </c>
      <c r="Y438" t="s">
        <v>8814</v>
      </c>
      <c r="Z438" t="s">
        <v>8815</v>
      </c>
      <c r="AA438" t="s">
        <v>8816</v>
      </c>
      <c r="AB438" t="s">
        <v>8817</v>
      </c>
      <c r="AC438" t="s">
        <v>8818</v>
      </c>
      <c r="AD438" t="s">
        <v>8819</v>
      </c>
      <c r="AE438" t="s">
        <v>8820</v>
      </c>
      <c r="AF438" t="s">
        <v>74</v>
      </c>
      <c r="AG438">
        <v>54</v>
      </c>
      <c r="AH438">
        <v>2</v>
      </c>
      <c r="AI438">
        <v>2</v>
      </c>
      <c r="AJ438">
        <v>0</v>
      </c>
      <c r="AK438">
        <v>10</v>
      </c>
      <c r="AL438" t="s">
        <v>925</v>
      </c>
      <c r="AM438" t="s">
        <v>884</v>
      </c>
      <c r="AN438" t="s">
        <v>926</v>
      </c>
      <c r="AO438" t="s">
        <v>3508</v>
      </c>
      <c r="AP438" t="s">
        <v>3509</v>
      </c>
      <c r="AQ438" t="s">
        <v>74</v>
      </c>
      <c r="AR438" t="s">
        <v>3510</v>
      </c>
      <c r="AS438" t="s">
        <v>3511</v>
      </c>
      <c r="AT438" t="s">
        <v>6261</v>
      </c>
      <c r="AU438">
        <v>2015</v>
      </c>
      <c r="AV438">
        <v>220</v>
      </c>
      <c r="AW438" t="s">
        <v>74</v>
      </c>
      <c r="AX438" t="s">
        <v>74</v>
      </c>
      <c r="AY438" t="s">
        <v>74</v>
      </c>
      <c r="AZ438" t="s">
        <v>74</v>
      </c>
      <c r="BA438" t="s">
        <v>74</v>
      </c>
      <c r="BB438">
        <v>88</v>
      </c>
      <c r="BC438">
        <v>97</v>
      </c>
      <c r="BD438" t="s">
        <v>74</v>
      </c>
      <c r="BE438" t="s">
        <v>8821</v>
      </c>
      <c r="BF438" t="str">
        <f>HYPERLINK("http://dx.doi.org/10.1016/j.revpalbo.2015.05.004","http://dx.doi.org/10.1016/j.revpalbo.2015.05.004")</f>
        <v>http://dx.doi.org/10.1016/j.revpalbo.2015.05.004</v>
      </c>
      <c r="BG438" t="s">
        <v>74</v>
      </c>
      <c r="BH438" t="s">
        <v>74</v>
      </c>
      <c r="BI438">
        <v>10</v>
      </c>
      <c r="BJ438" t="s">
        <v>3513</v>
      </c>
      <c r="BK438" t="s">
        <v>101</v>
      </c>
      <c r="BL438" t="s">
        <v>3513</v>
      </c>
      <c r="BM438" t="s">
        <v>8822</v>
      </c>
      <c r="BN438" t="s">
        <v>74</v>
      </c>
      <c r="BO438" t="s">
        <v>74</v>
      </c>
      <c r="BP438" t="s">
        <v>74</v>
      </c>
      <c r="BQ438" t="s">
        <v>74</v>
      </c>
      <c r="BR438" t="s">
        <v>103</v>
      </c>
      <c r="BS438" t="s">
        <v>8823</v>
      </c>
      <c r="BT438" t="str">
        <f>HYPERLINK("https%3A%2F%2Fwww.webofscience.com%2Fwos%2Fwoscc%2Ffull-record%2FWOS:000357438800007","View Full Record in Web of Science")</f>
        <v>View Full Record in Web of Science</v>
      </c>
    </row>
    <row r="439" spans="1:72" x14ac:dyDescent="0.15">
      <c r="A439" t="s">
        <v>72</v>
      </c>
      <c r="B439" t="s">
        <v>8824</v>
      </c>
      <c r="C439" t="s">
        <v>74</v>
      </c>
      <c r="D439" t="s">
        <v>74</v>
      </c>
      <c r="E439" t="s">
        <v>74</v>
      </c>
      <c r="F439" t="s">
        <v>8825</v>
      </c>
      <c r="G439" t="s">
        <v>74</v>
      </c>
      <c r="H439" t="s">
        <v>74</v>
      </c>
      <c r="I439" t="s">
        <v>8826</v>
      </c>
      <c r="J439" t="s">
        <v>1690</v>
      </c>
      <c r="K439" t="s">
        <v>74</v>
      </c>
      <c r="L439" t="s">
        <v>74</v>
      </c>
      <c r="M439" t="s">
        <v>78</v>
      </c>
      <c r="N439" t="s">
        <v>79</v>
      </c>
      <c r="O439" t="s">
        <v>74</v>
      </c>
      <c r="P439" t="s">
        <v>74</v>
      </c>
      <c r="Q439" t="s">
        <v>74</v>
      </c>
      <c r="R439" t="s">
        <v>74</v>
      </c>
      <c r="S439" t="s">
        <v>74</v>
      </c>
      <c r="T439" t="s">
        <v>8827</v>
      </c>
      <c r="U439" t="s">
        <v>8828</v>
      </c>
      <c r="V439" t="s">
        <v>8829</v>
      </c>
      <c r="W439" t="s">
        <v>8830</v>
      </c>
      <c r="X439" t="s">
        <v>8831</v>
      </c>
      <c r="Y439" t="s">
        <v>8832</v>
      </c>
      <c r="Z439" t="s">
        <v>8833</v>
      </c>
      <c r="AA439" t="s">
        <v>8834</v>
      </c>
      <c r="AB439" t="s">
        <v>8835</v>
      </c>
      <c r="AC439" t="s">
        <v>8836</v>
      </c>
      <c r="AD439" t="s">
        <v>8837</v>
      </c>
      <c r="AE439" t="s">
        <v>8838</v>
      </c>
      <c r="AF439" t="s">
        <v>74</v>
      </c>
      <c r="AG439">
        <v>76</v>
      </c>
      <c r="AH439">
        <v>9</v>
      </c>
      <c r="AI439">
        <v>10</v>
      </c>
      <c r="AJ439">
        <v>0</v>
      </c>
      <c r="AK439">
        <v>37</v>
      </c>
      <c r="AL439" t="s">
        <v>883</v>
      </c>
      <c r="AM439" t="s">
        <v>884</v>
      </c>
      <c r="AN439" t="s">
        <v>885</v>
      </c>
      <c r="AO439" t="s">
        <v>1702</v>
      </c>
      <c r="AP439" t="s">
        <v>1703</v>
      </c>
      <c r="AQ439" t="s">
        <v>74</v>
      </c>
      <c r="AR439" t="s">
        <v>1704</v>
      </c>
      <c r="AS439" t="s">
        <v>1705</v>
      </c>
      <c r="AT439" t="s">
        <v>6441</v>
      </c>
      <c r="AU439">
        <v>2015</v>
      </c>
      <c r="AV439">
        <v>425</v>
      </c>
      <c r="AW439" t="s">
        <v>74</v>
      </c>
      <c r="AX439" t="s">
        <v>74</v>
      </c>
      <c r="AY439" t="s">
        <v>74</v>
      </c>
      <c r="AZ439" t="s">
        <v>74</v>
      </c>
      <c r="BA439" t="s">
        <v>74</v>
      </c>
      <c r="BB439">
        <v>256</v>
      </c>
      <c r="BC439">
        <v>267</v>
      </c>
      <c r="BD439" t="s">
        <v>74</v>
      </c>
      <c r="BE439" t="s">
        <v>8839</v>
      </c>
      <c r="BF439" t="str">
        <f>HYPERLINK("http://dx.doi.org/10.1016/j.epsl.2015.05.009","http://dx.doi.org/10.1016/j.epsl.2015.05.009")</f>
        <v>http://dx.doi.org/10.1016/j.epsl.2015.05.009</v>
      </c>
      <c r="BG439" t="s">
        <v>74</v>
      </c>
      <c r="BH439" t="s">
        <v>74</v>
      </c>
      <c r="BI439">
        <v>12</v>
      </c>
      <c r="BJ439" t="s">
        <v>1707</v>
      </c>
      <c r="BK439" t="s">
        <v>101</v>
      </c>
      <c r="BL439" t="s">
        <v>1707</v>
      </c>
      <c r="BM439" t="s">
        <v>8840</v>
      </c>
      <c r="BN439" t="s">
        <v>74</v>
      </c>
      <c r="BO439" t="s">
        <v>74</v>
      </c>
      <c r="BP439" t="s">
        <v>74</v>
      </c>
      <c r="BQ439" t="s">
        <v>74</v>
      </c>
      <c r="BR439" t="s">
        <v>103</v>
      </c>
      <c r="BS439" t="s">
        <v>8841</v>
      </c>
      <c r="BT439" t="str">
        <f>HYPERLINK("https%3A%2F%2Fwww.webofscience.com%2Fwos%2Fwoscc%2Ffull-record%2FWOS:000357755300024","View Full Record in Web of Science")</f>
        <v>View Full Record in Web of Science</v>
      </c>
    </row>
    <row r="440" spans="1:72" x14ac:dyDescent="0.15">
      <c r="A440" t="s">
        <v>72</v>
      </c>
      <c r="B440" t="s">
        <v>8842</v>
      </c>
      <c r="C440" t="s">
        <v>74</v>
      </c>
      <c r="D440" t="s">
        <v>74</v>
      </c>
      <c r="E440" t="s">
        <v>74</v>
      </c>
      <c r="F440" t="s">
        <v>8843</v>
      </c>
      <c r="G440" t="s">
        <v>74</v>
      </c>
      <c r="H440" t="s">
        <v>74</v>
      </c>
      <c r="I440" t="s">
        <v>8844</v>
      </c>
      <c r="J440" t="s">
        <v>8845</v>
      </c>
      <c r="K440" t="s">
        <v>74</v>
      </c>
      <c r="L440" t="s">
        <v>74</v>
      </c>
      <c r="M440" t="s">
        <v>78</v>
      </c>
      <c r="N440" t="s">
        <v>79</v>
      </c>
      <c r="O440" t="s">
        <v>74</v>
      </c>
      <c r="P440" t="s">
        <v>74</v>
      </c>
      <c r="Q440" t="s">
        <v>74</v>
      </c>
      <c r="R440" t="s">
        <v>74</v>
      </c>
      <c r="S440" t="s">
        <v>74</v>
      </c>
      <c r="T440" t="s">
        <v>8846</v>
      </c>
      <c r="U440" t="s">
        <v>8847</v>
      </c>
      <c r="V440" t="s">
        <v>8848</v>
      </c>
      <c r="W440" t="s">
        <v>8849</v>
      </c>
      <c r="X440" t="s">
        <v>8850</v>
      </c>
      <c r="Y440" t="s">
        <v>8851</v>
      </c>
      <c r="Z440" t="s">
        <v>8852</v>
      </c>
      <c r="AA440" t="s">
        <v>8853</v>
      </c>
      <c r="AB440" t="s">
        <v>8854</v>
      </c>
      <c r="AC440" t="s">
        <v>8855</v>
      </c>
      <c r="AD440" t="s">
        <v>8856</v>
      </c>
      <c r="AE440" t="s">
        <v>8857</v>
      </c>
      <c r="AF440" t="s">
        <v>74</v>
      </c>
      <c r="AG440">
        <v>58</v>
      </c>
      <c r="AH440">
        <v>32</v>
      </c>
      <c r="AI440">
        <v>36</v>
      </c>
      <c r="AJ440">
        <v>1</v>
      </c>
      <c r="AK440">
        <v>86</v>
      </c>
      <c r="AL440" t="s">
        <v>925</v>
      </c>
      <c r="AM440" t="s">
        <v>884</v>
      </c>
      <c r="AN440" t="s">
        <v>926</v>
      </c>
      <c r="AO440" t="s">
        <v>8858</v>
      </c>
      <c r="AP440" t="s">
        <v>8859</v>
      </c>
      <c r="AQ440" t="s">
        <v>74</v>
      </c>
      <c r="AR440" t="s">
        <v>8860</v>
      </c>
      <c r="AS440" t="s">
        <v>8861</v>
      </c>
      <c r="AT440" t="s">
        <v>6261</v>
      </c>
      <c r="AU440">
        <v>2015</v>
      </c>
      <c r="AV440">
        <v>141</v>
      </c>
      <c r="AW440" t="s">
        <v>74</v>
      </c>
      <c r="AX440" t="s">
        <v>74</v>
      </c>
      <c r="AY440" t="s">
        <v>74</v>
      </c>
      <c r="AZ440" t="s">
        <v>74</v>
      </c>
      <c r="BA440" t="s">
        <v>74</v>
      </c>
      <c r="BB440">
        <v>11</v>
      </c>
      <c r="BC440">
        <v>23</v>
      </c>
      <c r="BD440" t="s">
        <v>74</v>
      </c>
      <c r="BE440" t="s">
        <v>8862</v>
      </c>
      <c r="BF440" t="str">
        <f>HYPERLINK("http://dx.doi.org/10.1016/j.landurbplan.2015.04.008","http://dx.doi.org/10.1016/j.landurbplan.2015.04.008")</f>
        <v>http://dx.doi.org/10.1016/j.landurbplan.2015.04.008</v>
      </c>
      <c r="BG440" t="s">
        <v>74</v>
      </c>
      <c r="BH440" t="s">
        <v>74</v>
      </c>
      <c r="BI440">
        <v>13</v>
      </c>
      <c r="BJ440" t="s">
        <v>8863</v>
      </c>
      <c r="BK440" t="s">
        <v>1482</v>
      </c>
      <c r="BL440" t="s">
        <v>8864</v>
      </c>
      <c r="BM440" t="s">
        <v>8865</v>
      </c>
      <c r="BN440" t="s">
        <v>74</v>
      </c>
      <c r="BO440" t="s">
        <v>74</v>
      </c>
      <c r="BP440" t="s">
        <v>74</v>
      </c>
      <c r="BQ440" t="s">
        <v>74</v>
      </c>
      <c r="BR440" t="s">
        <v>103</v>
      </c>
      <c r="BS440" t="s">
        <v>8866</v>
      </c>
      <c r="BT440" t="str">
        <f>HYPERLINK("https%3A%2F%2Fwww.webofscience.com%2Fwos%2Fwoscc%2Ffull-record%2FWOS:000357548300002","View Full Record in Web of Science")</f>
        <v>View Full Record in Web of Science</v>
      </c>
    </row>
    <row r="441" spans="1:72" x14ac:dyDescent="0.15">
      <c r="A441" t="s">
        <v>72</v>
      </c>
      <c r="B441" t="s">
        <v>8867</v>
      </c>
      <c r="C441" t="s">
        <v>74</v>
      </c>
      <c r="D441" t="s">
        <v>74</v>
      </c>
      <c r="E441" t="s">
        <v>74</v>
      </c>
      <c r="F441" t="s">
        <v>8868</v>
      </c>
      <c r="G441" t="s">
        <v>74</v>
      </c>
      <c r="H441" t="s">
        <v>74</v>
      </c>
      <c r="I441" t="s">
        <v>8869</v>
      </c>
      <c r="J441" t="s">
        <v>913</v>
      </c>
      <c r="K441" t="s">
        <v>74</v>
      </c>
      <c r="L441" t="s">
        <v>74</v>
      </c>
      <c r="M441" t="s">
        <v>78</v>
      </c>
      <c r="N441" t="s">
        <v>79</v>
      </c>
      <c r="O441" t="s">
        <v>74</v>
      </c>
      <c r="P441" t="s">
        <v>74</v>
      </c>
      <c r="Q441" t="s">
        <v>74</v>
      </c>
      <c r="R441" t="s">
        <v>74</v>
      </c>
      <c r="S441" t="s">
        <v>74</v>
      </c>
      <c r="T441" t="s">
        <v>8870</v>
      </c>
      <c r="U441" t="s">
        <v>8871</v>
      </c>
      <c r="V441" t="s">
        <v>8872</v>
      </c>
      <c r="W441" t="s">
        <v>8873</v>
      </c>
      <c r="X441" t="s">
        <v>8874</v>
      </c>
      <c r="Y441" t="s">
        <v>8875</v>
      </c>
      <c r="Z441" t="s">
        <v>8876</v>
      </c>
      <c r="AA441" t="s">
        <v>8877</v>
      </c>
      <c r="AB441" t="s">
        <v>8878</v>
      </c>
      <c r="AC441" t="s">
        <v>8879</v>
      </c>
      <c r="AD441" t="s">
        <v>8880</v>
      </c>
      <c r="AE441" t="s">
        <v>8881</v>
      </c>
      <c r="AF441" t="s">
        <v>74</v>
      </c>
      <c r="AG441">
        <v>73</v>
      </c>
      <c r="AH441">
        <v>15</v>
      </c>
      <c r="AI441">
        <v>18</v>
      </c>
      <c r="AJ441">
        <v>0</v>
      </c>
      <c r="AK441">
        <v>54</v>
      </c>
      <c r="AL441" t="s">
        <v>925</v>
      </c>
      <c r="AM441" t="s">
        <v>884</v>
      </c>
      <c r="AN441" t="s">
        <v>926</v>
      </c>
      <c r="AO441" t="s">
        <v>927</v>
      </c>
      <c r="AP441" t="s">
        <v>928</v>
      </c>
      <c r="AQ441" t="s">
        <v>74</v>
      </c>
      <c r="AR441" t="s">
        <v>929</v>
      </c>
      <c r="AS441" t="s">
        <v>930</v>
      </c>
      <c r="AT441" t="s">
        <v>6261</v>
      </c>
      <c r="AU441">
        <v>2015</v>
      </c>
      <c r="AV441">
        <v>169</v>
      </c>
      <c r="AW441" t="s">
        <v>74</v>
      </c>
      <c r="AX441" t="s">
        <v>74</v>
      </c>
      <c r="AY441" t="s">
        <v>74</v>
      </c>
      <c r="AZ441" t="s">
        <v>74</v>
      </c>
      <c r="BA441" t="s">
        <v>74</v>
      </c>
      <c r="BB441">
        <v>26</v>
      </c>
      <c r="BC441">
        <v>36</v>
      </c>
      <c r="BD441" t="s">
        <v>74</v>
      </c>
      <c r="BE441" t="s">
        <v>8882</v>
      </c>
      <c r="BF441" t="str">
        <f>HYPERLINK("http://dx.doi.org/10.1016/j.fishres.2015.04.009","http://dx.doi.org/10.1016/j.fishres.2015.04.009")</f>
        <v>http://dx.doi.org/10.1016/j.fishres.2015.04.009</v>
      </c>
      <c r="BG441" t="s">
        <v>74</v>
      </c>
      <c r="BH441" t="s">
        <v>74</v>
      </c>
      <c r="BI441">
        <v>11</v>
      </c>
      <c r="BJ441" t="s">
        <v>933</v>
      </c>
      <c r="BK441" t="s">
        <v>101</v>
      </c>
      <c r="BL441" t="s">
        <v>933</v>
      </c>
      <c r="BM441" t="s">
        <v>8883</v>
      </c>
      <c r="BN441" t="s">
        <v>74</v>
      </c>
      <c r="BO441" t="s">
        <v>74</v>
      </c>
      <c r="BP441" t="s">
        <v>74</v>
      </c>
      <c r="BQ441" t="s">
        <v>74</v>
      </c>
      <c r="BR441" t="s">
        <v>103</v>
      </c>
      <c r="BS441" t="s">
        <v>8884</v>
      </c>
      <c r="BT441" t="str">
        <f>HYPERLINK("https%3A%2F%2Fwww.webofscience.com%2Fwos%2Fwoscc%2Ffull-record%2FWOS:000357351300004","View Full Record in Web of Science")</f>
        <v>View Full Record in Web of Science</v>
      </c>
    </row>
    <row r="442" spans="1:72" x14ac:dyDescent="0.15">
      <c r="A442" t="s">
        <v>72</v>
      </c>
      <c r="B442" t="s">
        <v>8885</v>
      </c>
      <c r="C442" t="s">
        <v>74</v>
      </c>
      <c r="D442" t="s">
        <v>74</v>
      </c>
      <c r="E442" t="s">
        <v>74</v>
      </c>
      <c r="F442" t="s">
        <v>8886</v>
      </c>
      <c r="G442" t="s">
        <v>74</v>
      </c>
      <c r="H442" t="s">
        <v>74</v>
      </c>
      <c r="I442" t="s">
        <v>8887</v>
      </c>
      <c r="J442" t="s">
        <v>3726</v>
      </c>
      <c r="K442" t="s">
        <v>74</v>
      </c>
      <c r="L442" t="s">
        <v>74</v>
      </c>
      <c r="M442" t="s">
        <v>78</v>
      </c>
      <c r="N442" t="s">
        <v>79</v>
      </c>
      <c r="O442" t="s">
        <v>74</v>
      </c>
      <c r="P442" t="s">
        <v>74</v>
      </c>
      <c r="Q442" t="s">
        <v>74</v>
      </c>
      <c r="R442" t="s">
        <v>74</v>
      </c>
      <c r="S442" t="s">
        <v>74</v>
      </c>
      <c r="T442" t="s">
        <v>8888</v>
      </c>
      <c r="U442" t="s">
        <v>8889</v>
      </c>
      <c r="V442" t="s">
        <v>8890</v>
      </c>
      <c r="W442" t="s">
        <v>8891</v>
      </c>
      <c r="X442" t="s">
        <v>8892</v>
      </c>
      <c r="Y442" t="s">
        <v>8893</v>
      </c>
      <c r="Z442" t="s">
        <v>8894</v>
      </c>
      <c r="AA442" t="s">
        <v>8895</v>
      </c>
      <c r="AB442" t="s">
        <v>8896</v>
      </c>
      <c r="AC442" t="s">
        <v>8897</v>
      </c>
      <c r="AD442" t="s">
        <v>8898</v>
      </c>
      <c r="AE442" t="s">
        <v>8899</v>
      </c>
      <c r="AF442" t="s">
        <v>74</v>
      </c>
      <c r="AG442">
        <v>66</v>
      </c>
      <c r="AH442">
        <v>4</v>
      </c>
      <c r="AI442">
        <v>5</v>
      </c>
      <c r="AJ442">
        <v>0</v>
      </c>
      <c r="AK442">
        <v>20</v>
      </c>
      <c r="AL442" t="s">
        <v>397</v>
      </c>
      <c r="AM442" t="s">
        <v>398</v>
      </c>
      <c r="AN442" t="s">
        <v>399</v>
      </c>
      <c r="AO442" t="s">
        <v>3738</v>
      </c>
      <c r="AP442" t="s">
        <v>3739</v>
      </c>
      <c r="AQ442" t="s">
        <v>74</v>
      </c>
      <c r="AR442" t="s">
        <v>3726</v>
      </c>
      <c r="AS442" t="s">
        <v>3740</v>
      </c>
      <c r="AT442" t="s">
        <v>6261</v>
      </c>
      <c r="AU442">
        <v>2015</v>
      </c>
      <c r="AV442">
        <v>134</v>
      </c>
      <c r="AW442" t="s">
        <v>74</v>
      </c>
      <c r="AX442" t="s">
        <v>74</v>
      </c>
      <c r="AY442" t="s">
        <v>74</v>
      </c>
      <c r="AZ442" t="s">
        <v>74</v>
      </c>
      <c r="BA442" t="s">
        <v>74</v>
      </c>
      <c r="BB442">
        <v>294</v>
      </c>
      <c r="BC442">
        <v>300</v>
      </c>
      <c r="BD442" t="s">
        <v>74</v>
      </c>
      <c r="BE442" t="s">
        <v>8900</v>
      </c>
      <c r="BF442" t="str">
        <f>HYPERLINK("http://dx.doi.org/10.1016/j.chemosphere.2015.04.067","http://dx.doi.org/10.1016/j.chemosphere.2015.04.067")</f>
        <v>http://dx.doi.org/10.1016/j.chemosphere.2015.04.067</v>
      </c>
      <c r="BG442" t="s">
        <v>74</v>
      </c>
      <c r="BH442" t="s">
        <v>74</v>
      </c>
      <c r="BI442">
        <v>7</v>
      </c>
      <c r="BJ442" t="s">
        <v>3267</v>
      </c>
      <c r="BK442" t="s">
        <v>101</v>
      </c>
      <c r="BL442" t="s">
        <v>644</v>
      </c>
      <c r="BM442" t="s">
        <v>8901</v>
      </c>
      <c r="BN442">
        <v>25966460</v>
      </c>
      <c r="BO442" t="s">
        <v>1213</v>
      </c>
      <c r="BP442" t="s">
        <v>74</v>
      </c>
      <c r="BQ442" t="s">
        <v>74</v>
      </c>
      <c r="BR442" t="s">
        <v>103</v>
      </c>
      <c r="BS442" t="s">
        <v>8902</v>
      </c>
      <c r="BT442" t="str">
        <f>HYPERLINK("https%3A%2F%2Fwww.webofscience.com%2Fwos%2Fwoscc%2Ffull-record%2FWOS:000356549500040","View Full Record in Web of Science")</f>
        <v>View Full Record in Web of Science</v>
      </c>
    </row>
    <row r="443" spans="1:72" x14ac:dyDescent="0.15">
      <c r="A443" t="s">
        <v>72</v>
      </c>
      <c r="B443" t="s">
        <v>8903</v>
      </c>
      <c r="C443" t="s">
        <v>74</v>
      </c>
      <c r="D443" t="s">
        <v>74</v>
      </c>
      <c r="E443" t="s">
        <v>74</v>
      </c>
      <c r="F443" t="s">
        <v>8904</v>
      </c>
      <c r="G443" t="s">
        <v>74</v>
      </c>
      <c r="H443" t="s">
        <v>74</v>
      </c>
      <c r="I443" t="s">
        <v>8905</v>
      </c>
      <c r="J443" t="s">
        <v>8209</v>
      </c>
      <c r="K443" t="s">
        <v>74</v>
      </c>
      <c r="L443" t="s">
        <v>74</v>
      </c>
      <c r="M443" t="s">
        <v>78</v>
      </c>
      <c r="N443" t="s">
        <v>79</v>
      </c>
      <c r="O443" t="s">
        <v>74</v>
      </c>
      <c r="P443" t="s">
        <v>74</v>
      </c>
      <c r="Q443" t="s">
        <v>74</v>
      </c>
      <c r="R443" t="s">
        <v>74</v>
      </c>
      <c r="S443" t="s">
        <v>74</v>
      </c>
      <c r="T443" t="s">
        <v>8906</v>
      </c>
      <c r="U443" t="s">
        <v>8907</v>
      </c>
      <c r="V443" t="s">
        <v>8908</v>
      </c>
      <c r="W443" t="s">
        <v>8909</v>
      </c>
      <c r="X443" t="s">
        <v>8910</v>
      </c>
      <c r="Y443" t="s">
        <v>8911</v>
      </c>
      <c r="Z443" t="s">
        <v>8912</v>
      </c>
      <c r="AA443" t="s">
        <v>74</v>
      </c>
      <c r="AB443" t="s">
        <v>74</v>
      </c>
      <c r="AC443" t="s">
        <v>8913</v>
      </c>
      <c r="AD443" t="s">
        <v>8914</v>
      </c>
      <c r="AE443" t="s">
        <v>8915</v>
      </c>
      <c r="AF443" t="s">
        <v>74</v>
      </c>
      <c r="AG443">
        <v>25</v>
      </c>
      <c r="AH443">
        <v>14</v>
      </c>
      <c r="AI443">
        <v>14</v>
      </c>
      <c r="AJ443">
        <v>1</v>
      </c>
      <c r="AK443">
        <v>36</v>
      </c>
      <c r="AL443" t="s">
        <v>925</v>
      </c>
      <c r="AM443" t="s">
        <v>884</v>
      </c>
      <c r="AN443" t="s">
        <v>926</v>
      </c>
      <c r="AO443" t="s">
        <v>8222</v>
      </c>
      <c r="AP443" t="s">
        <v>8223</v>
      </c>
      <c r="AQ443" t="s">
        <v>74</v>
      </c>
      <c r="AR443" t="s">
        <v>8224</v>
      </c>
      <c r="AS443" t="s">
        <v>8225</v>
      </c>
      <c r="AT443" t="s">
        <v>6261</v>
      </c>
      <c r="AU443">
        <v>2015</v>
      </c>
      <c r="AV443">
        <v>122</v>
      </c>
      <c r="AW443" t="s">
        <v>74</v>
      </c>
      <c r="AX443" t="s">
        <v>74</v>
      </c>
      <c r="AY443" t="s">
        <v>74</v>
      </c>
      <c r="AZ443" t="s">
        <v>74</v>
      </c>
      <c r="BA443" t="s">
        <v>74</v>
      </c>
      <c r="BB443">
        <v>70</v>
      </c>
      <c r="BC443">
        <v>75</v>
      </c>
      <c r="BD443" t="s">
        <v>74</v>
      </c>
      <c r="BE443" t="s">
        <v>8916</v>
      </c>
      <c r="BF443" t="str">
        <f>HYPERLINK("http://dx.doi.org/10.1016/j.microc.2015.04.014","http://dx.doi.org/10.1016/j.microc.2015.04.014")</f>
        <v>http://dx.doi.org/10.1016/j.microc.2015.04.014</v>
      </c>
      <c r="BG443" t="s">
        <v>74</v>
      </c>
      <c r="BH443" t="s">
        <v>74</v>
      </c>
      <c r="BI443">
        <v>6</v>
      </c>
      <c r="BJ443" t="s">
        <v>8227</v>
      </c>
      <c r="BK443" t="s">
        <v>101</v>
      </c>
      <c r="BL443" t="s">
        <v>2442</v>
      </c>
      <c r="BM443" t="s">
        <v>8228</v>
      </c>
      <c r="BN443" t="s">
        <v>74</v>
      </c>
      <c r="BO443" t="s">
        <v>1213</v>
      </c>
      <c r="BP443" t="s">
        <v>74</v>
      </c>
      <c r="BQ443" t="s">
        <v>74</v>
      </c>
      <c r="BR443" t="s">
        <v>103</v>
      </c>
      <c r="BS443" t="s">
        <v>8917</v>
      </c>
      <c r="BT443" t="str">
        <f>HYPERLINK("https%3A%2F%2Fwww.webofscience.com%2Fwos%2Fwoscc%2Ffull-record%2FWOS:000356748200013","View Full Record in Web of Science")</f>
        <v>View Full Record in Web of Science</v>
      </c>
    </row>
    <row r="444" spans="1:72" x14ac:dyDescent="0.15">
      <c r="A444" t="s">
        <v>72</v>
      </c>
      <c r="B444" t="s">
        <v>8918</v>
      </c>
      <c r="C444" t="s">
        <v>74</v>
      </c>
      <c r="D444" t="s">
        <v>74</v>
      </c>
      <c r="E444" t="s">
        <v>74</v>
      </c>
      <c r="F444" t="s">
        <v>8919</v>
      </c>
      <c r="G444" t="s">
        <v>74</v>
      </c>
      <c r="H444" t="s">
        <v>74</v>
      </c>
      <c r="I444" t="s">
        <v>8920</v>
      </c>
      <c r="J444" t="s">
        <v>8921</v>
      </c>
      <c r="K444" t="s">
        <v>74</v>
      </c>
      <c r="L444" t="s">
        <v>74</v>
      </c>
      <c r="M444" t="s">
        <v>78</v>
      </c>
      <c r="N444" t="s">
        <v>79</v>
      </c>
      <c r="O444" t="s">
        <v>74</v>
      </c>
      <c r="P444" t="s">
        <v>74</v>
      </c>
      <c r="Q444" t="s">
        <v>74</v>
      </c>
      <c r="R444" t="s">
        <v>74</v>
      </c>
      <c r="S444" t="s">
        <v>74</v>
      </c>
      <c r="T444" t="s">
        <v>8922</v>
      </c>
      <c r="U444" t="s">
        <v>8923</v>
      </c>
      <c r="V444" t="s">
        <v>8924</v>
      </c>
      <c r="W444" t="s">
        <v>8925</v>
      </c>
      <c r="X444" t="s">
        <v>8926</v>
      </c>
      <c r="Y444" t="s">
        <v>8927</v>
      </c>
      <c r="Z444" t="s">
        <v>8928</v>
      </c>
      <c r="AA444" t="s">
        <v>8929</v>
      </c>
      <c r="AB444" t="s">
        <v>8930</v>
      </c>
      <c r="AC444" t="s">
        <v>74</v>
      </c>
      <c r="AD444" t="s">
        <v>74</v>
      </c>
      <c r="AE444" t="s">
        <v>74</v>
      </c>
      <c r="AF444" t="s">
        <v>74</v>
      </c>
      <c r="AG444">
        <v>73</v>
      </c>
      <c r="AH444">
        <v>10</v>
      </c>
      <c r="AI444">
        <v>13</v>
      </c>
      <c r="AJ444">
        <v>0</v>
      </c>
      <c r="AK444">
        <v>34</v>
      </c>
      <c r="AL444" t="s">
        <v>883</v>
      </c>
      <c r="AM444" t="s">
        <v>884</v>
      </c>
      <c r="AN444" t="s">
        <v>885</v>
      </c>
      <c r="AO444" t="s">
        <v>8931</v>
      </c>
      <c r="AP444" t="s">
        <v>8932</v>
      </c>
      <c r="AQ444" t="s">
        <v>74</v>
      </c>
      <c r="AR444" t="s">
        <v>8921</v>
      </c>
      <c r="AS444" t="s">
        <v>8933</v>
      </c>
      <c r="AT444" t="s">
        <v>6441</v>
      </c>
      <c r="AU444">
        <v>2015</v>
      </c>
      <c r="AV444">
        <v>446</v>
      </c>
      <c r="AW444" t="s">
        <v>74</v>
      </c>
      <c r="AX444" t="s">
        <v>74</v>
      </c>
      <c r="AY444" t="s">
        <v>74</v>
      </c>
      <c r="AZ444" t="s">
        <v>74</v>
      </c>
      <c r="BA444" t="s">
        <v>74</v>
      </c>
      <c r="BB444">
        <v>242</v>
      </c>
      <c r="BC444">
        <v>249</v>
      </c>
      <c r="BD444" t="s">
        <v>74</v>
      </c>
      <c r="BE444" t="s">
        <v>8934</v>
      </c>
      <c r="BF444" t="str">
        <f>HYPERLINK("http://dx.doi.org/10.1016/j.aquaculture.2015.04.035","http://dx.doi.org/10.1016/j.aquaculture.2015.04.035")</f>
        <v>http://dx.doi.org/10.1016/j.aquaculture.2015.04.035</v>
      </c>
      <c r="BG444" t="s">
        <v>74</v>
      </c>
      <c r="BH444" t="s">
        <v>74</v>
      </c>
      <c r="BI444">
        <v>8</v>
      </c>
      <c r="BJ444" t="s">
        <v>4273</v>
      </c>
      <c r="BK444" t="s">
        <v>101</v>
      </c>
      <c r="BL444" t="s">
        <v>4273</v>
      </c>
      <c r="BM444" t="s">
        <v>8935</v>
      </c>
      <c r="BN444" t="s">
        <v>74</v>
      </c>
      <c r="BO444" t="s">
        <v>74</v>
      </c>
      <c r="BP444" t="s">
        <v>74</v>
      </c>
      <c r="BQ444" t="s">
        <v>74</v>
      </c>
      <c r="BR444" t="s">
        <v>103</v>
      </c>
      <c r="BS444" t="s">
        <v>8936</v>
      </c>
      <c r="BT444" t="str">
        <f>HYPERLINK("https%3A%2F%2Fwww.webofscience.com%2Fwos%2Fwoscc%2Ffull-record%2FWOS:000355672000032","View Full Record in Web of Science")</f>
        <v>View Full Record in Web of Science</v>
      </c>
    </row>
    <row r="445" spans="1:72" x14ac:dyDescent="0.15">
      <c r="A445" t="s">
        <v>72</v>
      </c>
      <c r="B445" t="s">
        <v>8937</v>
      </c>
      <c r="C445" t="s">
        <v>74</v>
      </c>
      <c r="D445" t="s">
        <v>74</v>
      </c>
      <c r="E445" t="s">
        <v>74</v>
      </c>
      <c r="F445" t="s">
        <v>8938</v>
      </c>
      <c r="G445" t="s">
        <v>74</v>
      </c>
      <c r="H445" t="s">
        <v>74</v>
      </c>
      <c r="I445" t="s">
        <v>8939</v>
      </c>
      <c r="J445" t="s">
        <v>949</v>
      </c>
      <c r="K445" t="s">
        <v>74</v>
      </c>
      <c r="L445" t="s">
        <v>74</v>
      </c>
      <c r="M445" t="s">
        <v>78</v>
      </c>
      <c r="N445" t="s">
        <v>79</v>
      </c>
      <c r="O445" t="s">
        <v>74</v>
      </c>
      <c r="P445" t="s">
        <v>74</v>
      </c>
      <c r="Q445" t="s">
        <v>74</v>
      </c>
      <c r="R445" t="s">
        <v>74</v>
      </c>
      <c r="S445" t="s">
        <v>74</v>
      </c>
      <c r="T445" t="s">
        <v>8940</v>
      </c>
      <c r="U445" t="s">
        <v>8941</v>
      </c>
      <c r="V445" t="s">
        <v>8942</v>
      </c>
      <c r="W445" t="s">
        <v>8943</v>
      </c>
      <c r="X445" t="s">
        <v>8944</v>
      </c>
      <c r="Y445" t="s">
        <v>8945</v>
      </c>
      <c r="Z445" t="s">
        <v>8946</v>
      </c>
      <c r="AA445" t="s">
        <v>8947</v>
      </c>
      <c r="AB445" t="s">
        <v>8948</v>
      </c>
      <c r="AC445" t="s">
        <v>8949</v>
      </c>
      <c r="AD445" t="s">
        <v>8950</v>
      </c>
      <c r="AE445" t="s">
        <v>8951</v>
      </c>
      <c r="AF445" t="s">
        <v>74</v>
      </c>
      <c r="AG445">
        <v>85</v>
      </c>
      <c r="AH445">
        <v>18</v>
      </c>
      <c r="AI445">
        <v>19</v>
      </c>
      <c r="AJ445">
        <v>0</v>
      </c>
      <c r="AK445">
        <v>69</v>
      </c>
      <c r="AL445" t="s">
        <v>883</v>
      </c>
      <c r="AM445" t="s">
        <v>884</v>
      </c>
      <c r="AN445" t="s">
        <v>885</v>
      </c>
      <c r="AO445" t="s">
        <v>960</v>
      </c>
      <c r="AP445" t="s">
        <v>961</v>
      </c>
      <c r="AQ445" t="s">
        <v>74</v>
      </c>
      <c r="AR445" t="s">
        <v>949</v>
      </c>
      <c r="AS445" t="s">
        <v>962</v>
      </c>
      <c r="AT445" t="s">
        <v>6261</v>
      </c>
      <c r="AU445">
        <v>2015</v>
      </c>
      <c r="AV445">
        <v>132</v>
      </c>
      <c r="AW445" t="s">
        <v>74</v>
      </c>
      <c r="AX445" t="s">
        <v>74</v>
      </c>
      <c r="AY445" t="s">
        <v>74</v>
      </c>
      <c r="AZ445" t="s">
        <v>74</v>
      </c>
      <c r="BA445" t="s">
        <v>74</v>
      </c>
      <c r="BB445">
        <v>56</v>
      </c>
      <c r="BC445">
        <v>67</v>
      </c>
      <c r="BD445" t="s">
        <v>74</v>
      </c>
      <c r="BE445" t="s">
        <v>8952</v>
      </c>
      <c r="BF445" t="str">
        <f>HYPERLINK("http://dx.doi.org/10.1016/j.catena.2015.04.011","http://dx.doi.org/10.1016/j.catena.2015.04.011")</f>
        <v>http://dx.doi.org/10.1016/j.catena.2015.04.011</v>
      </c>
      <c r="BG445" t="s">
        <v>74</v>
      </c>
      <c r="BH445" t="s">
        <v>74</v>
      </c>
      <c r="BI445">
        <v>12</v>
      </c>
      <c r="BJ445" t="s">
        <v>964</v>
      </c>
      <c r="BK445" t="s">
        <v>101</v>
      </c>
      <c r="BL445" t="s">
        <v>965</v>
      </c>
      <c r="BM445" t="s">
        <v>8953</v>
      </c>
      <c r="BN445" t="s">
        <v>74</v>
      </c>
      <c r="BO445" t="s">
        <v>74</v>
      </c>
      <c r="BP445" t="s">
        <v>74</v>
      </c>
      <c r="BQ445" t="s">
        <v>74</v>
      </c>
      <c r="BR445" t="s">
        <v>103</v>
      </c>
      <c r="BS445" t="s">
        <v>8954</v>
      </c>
      <c r="BT445" t="str">
        <f>HYPERLINK("https%3A%2F%2Fwww.webofscience.com%2Fwos%2Fwoscc%2Ffull-record%2FWOS:000355894200007","View Full Record in Web of Science")</f>
        <v>View Full Record in Web of Science</v>
      </c>
    </row>
    <row r="446" spans="1:72" x14ac:dyDescent="0.15">
      <c r="A446" t="s">
        <v>72</v>
      </c>
      <c r="B446" t="s">
        <v>8955</v>
      </c>
      <c r="C446" t="s">
        <v>74</v>
      </c>
      <c r="D446" t="s">
        <v>74</v>
      </c>
      <c r="E446" t="s">
        <v>74</v>
      </c>
      <c r="F446" t="s">
        <v>8956</v>
      </c>
      <c r="G446" t="s">
        <v>74</v>
      </c>
      <c r="H446" t="s">
        <v>74</v>
      </c>
      <c r="I446" t="s">
        <v>8957</v>
      </c>
      <c r="J446" t="s">
        <v>8958</v>
      </c>
      <c r="K446" t="s">
        <v>74</v>
      </c>
      <c r="L446" t="s">
        <v>74</v>
      </c>
      <c r="M446" t="s">
        <v>78</v>
      </c>
      <c r="N446" t="s">
        <v>79</v>
      </c>
      <c r="O446" t="s">
        <v>74</v>
      </c>
      <c r="P446" t="s">
        <v>74</v>
      </c>
      <c r="Q446" t="s">
        <v>74</v>
      </c>
      <c r="R446" t="s">
        <v>74</v>
      </c>
      <c r="S446" t="s">
        <v>74</v>
      </c>
      <c r="T446" t="s">
        <v>8959</v>
      </c>
      <c r="U446" t="s">
        <v>8960</v>
      </c>
      <c r="V446" t="s">
        <v>8961</v>
      </c>
      <c r="W446" t="s">
        <v>8962</v>
      </c>
      <c r="X446" t="s">
        <v>74</v>
      </c>
      <c r="Y446" t="s">
        <v>6514</v>
      </c>
      <c r="Z446" t="s">
        <v>6515</v>
      </c>
      <c r="AA446" t="s">
        <v>74</v>
      </c>
      <c r="AB446" t="s">
        <v>74</v>
      </c>
      <c r="AC446" t="s">
        <v>74</v>
      </c>
      <c r="AD446" t="s">
        <v>74</v>
      </c>
      <c r="AE446" t="s">
        <v>74</v>
      </c>
      <c r="AF446" t="s">
        <v>74</v>
      </c>
      <c r="AG446">
        <v>20</v>
      </c>
      <c r="AH446">
        <v>5</v>
      </c>
      <c r="AI446">
        <v>5</v>
      </c>
      <c r="AJ446">
        <v>0</v>
      </c>
      <c r="AK446">
        <v>4</v>
      </c>
      <c r="AL446" t="s">
        <v>8963</v>
      </c>
      <c r="AM446" t="s">
        <v>8964</v>
      </c>
      <c r="AN446" t="s">
        <v>8965</v>
      </c>
      <c r="AO446" t="s">
        <v>8966</v>
      </c>
      <c r="AP446" t="s">
        <v>74</v>
      </c>
      <c r="AQ446" t="s">
        <v>74</v>
      </c>
      <c r="AR446" t="s">
        <v>8967</v>
      </c>
      <c r="AS446" t="s">
        <v>8968</v>
      </c>
      <c r="AT446" t="s">
        <v>8969</v>
      </c>
      <c r="AU446">
        <v>2015</v>
      </c>
      <c r="AV446">
        <v>135</v>
      </c>
      <c r="AW446" t="s">
        <v>74</v>
      </c>
      <c r="AX446" t="s">
        <v>74</v>
      </c>
      <c r="AY446" t="s">
        <v>74</v>
      </c>
      <c r="AZ446" t="s">
        <v>74</v>
      </c>
      <c r="BA446" t="s">
        <v>74</v>
      </c>
      <c r="BB446">
        <v>1</v>
      </c>
      <c r="BC446">
        <v>19</v>
      </c>
      <c r="BD446" t="s">
        <v>74</v>
      </c>
      <c r="BE446" t="s">
        <v>8970</v>
      </c>
      <c r="BF446" t="str">
        <f>HYPERLINK("http://dx.doi.org/10.5852/ejt.2015.135","http://dx.doi.org/10.5852/ejt.2015.135")</f>
        <v>http://dx.doi.org/10.5852/ejt.2015.135</v>
      </c>
      <c r="BG446" t="s">
        <v>74</v>
      </c>
      <c r="BH446" t="s">
        <v>74</v>
      </c>
      <c r="BI446">
        <v>19</v>
      </c>
      <c r="BJ446" t="s">
        <v>8971</v>
      </c>
      <c r="BK446" t="s">
        <v>101</v>
      </c>
      <c r="BL446" t="s">
        <v>8971</v>
      </c>
      <c r="BM446" t="s">
        <v>8972</v>
      </c>
      <c r="BN446" t="s">
        <v>74</v>
      </c>
      <c r="BO446" t="s">
        <v>8973</v>
      </c>
      <c r="BP446" t="s">
        <v>74</v>
      </c>
      <c r="BQ446" t="s">
        <v>74</v>
      </c>
      <c r="BR446" t="s">
        <v>103</v>
      </c>
      <c r="BS446" t="s">
        <v>8974</v>
      </c>
      <c r="BT446" t="str">
        <f>HYPERLINK("https%3A%2F%2Fwww.webofscience.com%2Fwos%2Fwoscc%2Ffull-record%2FWOS:000360547600001","View Full Record in Web of Science")</f>
        <v>View Full Record in Web of Science</v>
      </c>
    </row>
    <row r="447" spans="1:72" x14ac:dyDescent="0.15">
      <c r="A447" t="s">
        <v>72</v>
      </c>
      <c r="B447" t="s">
        <v>8975</v>
      </c>
      <c r="C447" t="s">
        <v>74</v>
      </c>
      <c r="D447" t="s">
        <v>74</v>
      </c>
      <c r="E447" t="s">
        <v>74</v>
      </c>
      <c r="F447" t="s">
        <v>8976</v>
      </c>
      <c r="G447" t="s">
        <v>74</v>
      </c>
      <c r="H447" t="s">
        <v>74</v>
      </c>
      <c r="I447" t="s">
        <v>8977</v>
      </c>
      <c r="J447" t="s">
        <v>8978</v>
      </c>
      <c r="K447" t="s">
        <v>74</v>
      </c>
      <c r="L447" t="s">
        <v>74</v>
      </c>
      <c r="M447" t="s">
        <v>78</v>
      </c>
      <c r="N447" t="s">
        <v>79</v>
      </c>
      <c r="O447" t="s">
        <v>74</v>
      </c>
      <c r="P447" t="s">
        <v>74</v>
      </c>
      <c r="Q447" t="s">
        <v>74</v>
      </c>
      <c r="R447" t="s">
        <v>74</v>
      </c>
      <c r="S447" t="s">
        <v>74</v>
      </c>
      <c r="T447" t="s">
        <v>74</v>
      </c>
      <c r="U447" t="s">
        <v>8979</v>
      </c>
      <c r="V447" t="s">
        <v>8980</v>
      </c>
      <c r="W447" t="s">
        <v>8981</v>
      </c>
      <c r="X447" t="s">
        <v>8982</v>
      </c>
      <c r="Y447" t="s">
        <v>8983</v>
      </c>
      <c r="Z447" t="s">
        <v>8984</v>
      </c>
      <c r="AA447" t="s">
        <v>8985</v>
      </c>
      <c r="AB447" t="s">
        <v>74</v>
      </c>
      <c r="AC447" t="s">
        <v>8986</v>
      </c>
      <c r="AD447" t="s">
        <v>8987</v>
      </c>
      <c r="AE447" t="s">
        <v>8988</v>
      </c>
      <c r="AF447" t="s">
        <v>74</v>
      </c>
      <c r="AG447">
        <v>43</v>
      </c>
      <c r="AH447">
        <v>21</v>
      </c>
      <c r="AI447">
        <v>24</v>
      </c>
      <c r="AJ447">
        <v>0</v>
      </c>
      <c r="AK447">
        <v>20</v>
      </c>
      <c r="AL447" t="s">
        <v>208</v>
      </c>
      <c r="AM447" t="s">
        <v>209</v>
      </c>
      <c r="AN447" t="s">
        <v>210</v>
      </c>
      <c r="AO447" t="s">
        <v>8989</v>
      </c>
      <c r="AP447" t="s">
        <v>8990</v>
      </c>
      <c r="AQ447" t="s">
        <v>74</v>
      </c>
      <c r="AR447" t="s">
        <v>8991</v>
      </c>
      <c r="AS447" t="s">
        <v>8992</v>
      </c>
      <c r="AT447" t="s">
        <v>8993</v>
      </c>
      <c r="AU447">
        <v>2015</v>
      </c>
      <c r="AV447">
        <v>29</v>
      </c>
      <c r="AW447">
        <v>16</v>
      </c>
      <c r="AX447" t="s">
        <v>74</v>
      </c>
      <c r="AY447" t="s">
        <v>74</v>
      </c>
      <c r="AZ447" t="s">
        <v>74</v>
      </c>
      <c r="BA447" t="s">
        <v>74</v>
      </c>
      <c r="BB447">
        <v>1485</v>
      </c>
      <c r="BC447">
        <v>1490</v>
      </c>
      <c r="BD447" t="s">
        <v>74</v>
      </c>
      <c r="BE447" t="s">
        <v>8994</v>
      </c>
      <c r="BF447" t="str">
        <f>HYPERLINK("http://dx.doi.org/10.1002/rcm.7243","http://dx.doi.org/10.1002/rcm.7243")</f>
        <v>http://dx.doi.org/10.1002/rcm.7243</v>
      </c>
      <c r="BG447" t="s">
        <v>74</v>
      </c>
      <c r="BH447" t="s">
        <v>74</v>
      </c>
      <c r="BI447">
        <v>6</v>
      </c>
      <c r="BJ447" t="s">
        <v>8995</v>
      </c>
      <c r="BK447" t="s">
        <v>101</v>
      </c>
      <c r="BL447" t="s">
        <v>8996</v>
      </c>
      <c r="BM447" t="s">
        <v>8997</v>
      </c>
      <c r="BN447">
        <v>26212163</v>
      </c>
      <c r="BO447" t="s">
        <v>74</v>
      </c>
      <c r="BP447" t="s">
        <v>74</v>
      </c>
      <c r="BQ447" t="s">
        <v>74</v>
      </c>
      <c r="BR447" t="s">
        <v>103</v>
      </c>
      <c r="BS447" t="s">
        <v>8998</v>
      </c>
      <c r="BT447" t="str">
        <f>HYPERLINK("https%3A%2F%2Fwww.webofscience.com%2Fwos%2Fwoscc%2Ffull-record%2FWOS:000358690400004","View Full Record in Web of Science")</f>
        <v>View Full Record in Web of Science</v>
      </c>
    </row>
    <row r="448" spans="1:72" x14ac:dyDescent="0.15">
      <c r="A448" t="s">
        <v>72</v>
      </c>
      <c r="B448" t="s">
        <v>8999</v>
      </c>
      <c r="C448" t="s">
        <v>74</v>
      </c>
      <c r="D448" t="s">
        <v>74</v>
      </c>
      <c r="E448" t="s">
        <v>74</v>
      </c>
      <c r="F448" t="s">
        <v>9000</v>
      </c>
      <c r="G448" t="s">
        <v>74</v>
      </c>
      <c r="H448" t="s">
        <v>74</v>
      </c>
      <c r="I448" t="s">
        <v>9001</v>
      </c>
      <c r="J448" t="s">
        <v>1078</v>
      </c>
      <c r="K448" t="s">
        <v>74</v>
      </c>
      <c r="L448" t="s">
        <v>74</v>
      </c>
      <c r="M448" t="s">
        <v>78</v>
      </c>
      <c r="N448" t="s">
        <v>79</v>
      </c>
      <c r="O448" t="s">
        <v>74</v>
      </c>
      <c r="P448" t="s">
        <v>74</v>
      </c>
      <c r="Q448" t="s">
        <v>74</v>
      </c>
      <c r="R448" t="s">
        <v>74</v>
      </c>
      <c r="S448" t="s">
        <v>74</v>
      </c>
      <c r="T448" t="s">
        <v>74</v>
      </c>
      <c r="U448" t="s">
        <v>9002</v>
      </c>
      <c r="V448" t="s">
        <v>9003</v>
      </c>
      <c r="W448" t="s">
        <v>9004</v>
      </c>
      <c r="X448" t="s">
        <v>9005</v>
      </c>
      <c r="Y448" t="s">
        <v>9006</v>
      </c>
      <c r="Z448" t="s">
        <v>9007</v>
      </c>
      <c r="AA448" t="s">
        <v>9008</v>
      </c>
      <c r="AB448" t="s">
        <v>9009</v>
      </c>
      <c r="AC448" t="s">
        <v>74</v>
      </c>
      <c r="AD448" t="s">
        <v>74</v>
      </c>
      <c r="AE448" t="s">
        <v>74</v>
      </c>
      <c r="AF448" t="s">
        <v>74</v>
      </c>
      <c r="AG448">
        <v>31</v>
      </c>
      <c r="AH448">
        <v>12</v>
      </c>
      <c r="AI448">
        <v>12</v>
      </c>
      <c r="AJ448">
        <v>2</v>
      </c>
      <c r="AK448">
        <v>28</v>
      </c>
      <c r="AL448" t="s">
        <v>1089</v>
      </c>
      <c r="AM448" t="s">
        <v>1090</v>
      </c>
      <c r="AN448" t="s">
        <v>1091</v>
      </c>
      <c r="AO448" t="s">
        <v>1092</v>
      </c>
      <c r="AP448" t="s">
        <v>74</v>
      </c>
      <c r="AQ448" t="s">
        <v>74</v>
      </c>
      <c r="AR448" t="s">
        <v>1078</v>
      </c>
      <c r="AS448" t="s">
        <v>1093</v>
      </c>
      <c r="AT448" t="s">
        <v>9010</v>
      </c>
      <c r="AU448">
        <v>2015</v>
      </c>
      <c r="AV448">
        <v>10</v>
      </c>
      <c r="AW448">
        <v>8</v>
      </c>
      <c r="AX448" t="s">
        <v>74</v>
      </c>
      <c r="AY448" t="s">
        <v>74</v>
      </c>
      <c r="AZ448" t="s">
        <v>74</v>
      </c>
      <c r="BA448" t="s">
        <v>74</v>
      </c>
      <c r="BB448" t="s">
        <v>74</v>
      </c>
      <c r="BC448" t="s">
        <v>74</v>
      </c>
      <c r="BD448" t="s">
        <v>9011</v>
      </c>
      <c r="BE448" t="s">
        <v>9012</v>
      </c>
      <c r="BF448" t="str">
        <f>HYPERLINK("http://dx.doi.org/10.1371/journal.pone.0133778","http://dx.doi.org/10.1371/journal.pone.0133778")</f>
        <v>http://dx.doi.org/10.1371/journal.pone.0133778</v>
      </c>
      <c r="BG448" t="s">
        <v>74</v>
      </c>
      <c r="BH448" t="s">
        <v>74</v>
      </c>
      <c r="BI448">
        <v>12</v>
      </c>
      <c r="BJ448" t="s">
        <v>530</v>
      </c>
      <c r="BK448" t="s">
        <v>101</v>
      </c>
      <c r="BL448" t="s">
        <v>531</v>
      </c>
      <c r="BM448" t="s">
        <v>9013</v>
      </c>
      <c r="BN448">
        <v>26317341</v>
      </c>
      <c r="BO448" t="s">
        <v>9014</v>
      </c>
      <c r="BP448" t="s">
        <v>74</v>
      </c>
      <c r="BQ448" t="s">
        <v>74</v>
      </c>
      <c r="BR448" t="s">
        <v>103</v>
      </c>
      <c r="BS448" t="s">
        <v>9015</v>
      </c>
      <c r="BT448" t="str">
        <f>HYPERLINK("https%3A%2F%2Fwww.webofscience.com%2Fwos%2Fwoscc%2Ffull-record%2FWOS:000360299100011","View Full Record in Web of Science")</f>
        <v>View Full Record in Web of Science</v>
      </c>
    </row>
    <row r="449" spans="1:72" x14ac:dyDescent="0.15">
      <c r="A449" t="s">
        <v>72</v>
      </c>
      <c r="B449" t="s">
        <v>9016</v>
      </c>
      <c r="C449" t="s">
        <v>74</v>
      </c>
      <c r="D449" t="s">
        <v>74</v>
      </c>
      <c r="E449" t="s">
        <v>74</v>
      </c>
      <c r="F449" t="s">
        <v>9017</v>
      </c>
      <c r="G449" t="s">
        <v>74</v>
      </c>
      <c r="H449" t="s">
        <v>74</v>
      </c>
      <c r="I449" t="s">
        <v>9018</v>
      </c>
      <c r="J449" t="s">
        <v>1078</v>
      </c>
      <c r="K449" t="s">
        <v>74</v>
      </c>
      <c r="L449" t="s">
        <v>74</v>
      </c>
      <c r="M449" t="s">
        <v>78</v>
      </c>
      <c r="N449" t="s">
        <v>79</v>
      </c>
      <c r="O449" t="s">
        <v>74</v>
      </c>
      <c r="P449" t="s">
        <v>74</v>
      </c>
      <c r="Q449" t="s">
        <v>74</v>
      </c>
      <c r="R449" t="s">
        <v>74</v>
      </c>
      <c r="S449" t="s">
        <v>74</v>
      </c>
      <c r="T449" t="s">
        <v>74</v>
      </c>
      <c r="U449" t="s">
        <v>9019</v>
      </c>
      <c r="V449" t="s">
        <v>9020</v>
      </c>
      <c r="W449" t="s">
        <v>9021</v>
      </c>
      <c r="X449" t="s">
        <v>9022</v>
      </c>
      <c r="Y449" t="s">
        <v>9023</v>
      </c>
      <c r="Z449" t="s">
        <v>9024</v>
      </c>
      <c r="AA449" t="s">
        <v>9025</v>
      </c>
      <c r="AB449" t="s">
        <v>9026</v>
      </c>
      <c r="AC449" t="s">
        <v>9027</v>
      </c>
      <c r="AD449" t="s">
        <v>9028</v>
      </c>
      <c r="AE449" t="s">
        <v>9029</v>
      </c>
      <c r="AF449" t="s">
        <v>74</v>
      </c>
      <c r="AG449">
        <v>57</v>
      </c>
      <c r="AH449">
        <v>9</v>
      </c>
      <c r="AI449">
        <v>10</v>
      </c>
      <c r="AJ449">
        <v>0</v>
      </c>
      <c r="AK449">
        <v>17</v>
      </c>
      <c r="AL449" t="s">
        <v>1089</v>
      </c>
      <c r="AM449" t="s">
        <v>1090</v>
      </c>
      <c r="AN449" t="s">
        <v>1091</v>
      </c>
      <c r="AO449" t="s">
        <v>1092</v>
      </c>
      <c r="AP449" t="s">
        <v>74</v>
      </c>
      <c r="AQ449" t="s">
        <v>74</v>
      </c>
      <c r="AR449" t="s">
        <v>1078</v>
      </c>
      <c r="AS449" t="s">
        <v>1093</v>
      </c>
      <c r="AT449" t="s">
        <v>9010</v>
      </c>
      <c r="AU449">
        <v>2015</v>
      </c>
      <c r="AV449">
        <v>10</v>
      </c>
      <c r="AW449">
        <v>8</v>
      </c>
      <c r="AX449" t="s">
        <v>74</v>
      </c>
      <c r="AY449" t="s">
        <v>74</v>
      </c>
      <c r="AZ449" t="s">
        <v>74</v>
      </c>
      <c r="BA449" t="s">
        <v>74</v>
      </c>
      <c r="BB449" t="s">
        <v>74</v>
      </c>
      <c r="BC449" t="s">
        <v>74</v>
      </c>
      <c r="BD449" t="s">
        <v>9030</v>
      </c>
      <c r="BE449" t="s">
        <v>9031</v>
      </c>
      <c r="BF449" t="str">
        <f>HYPERLINK("http://dx.doi.org/10.1371/journal.pone.0136799","http://dx.doi.org/10.1371/journal.pone.0136799")</f>
        <v>http://dx.doi.org/10.1371/journal.pone.0136799</v>
      </c>
      <c r="BG449" t="s">
        <v>74</v>
      </c>
      <c r="BH449" t="s">
        <v>74</v>
      </c>
      <c r="BI449">
        <v>19</v>
      </c>
      <c r="BJ449" t="s">
        <v>530</v>
      </c>
      <c r="BK449" t="s">
        <v>101</v>
      </c>
      <c r="BL449" t="s">
        <v>531</v>
      </c>
      <c r="BM449" t="s">
        <v>9013</v>
      </c>
      <c r="BN449">
        <v>26317655</v>
      </c>
      <c r="BO449" t="s">
        <v>1430</v>
      </c>
      <c r="BP449" t="s">
        <v>74</v>
      </c>
      <c r="BQ449" t="s">
        <v>74</v>
      </c>
      <c r="BR449" t="s">
        <v>103</v>
      </c>
      <c r="BS449" t="s">
        <v>9032</v>
      </c>
      <c r="BT449" t="str">
        <f>HYPERLINK("https%3A%2F%2Fwww.webofscience.com%2Fwos%2Fwoscc%2Ffull-record%2FWOS:000360299100142","View Full Record in Web of Science")</f>
        <v>View Full Record in Web of Science</v>
      </c>
    </row>
    <row r="450" spans="1:72" x14ac:dyDescent="0.15">
      <c r="A450" t="s">
        <v>72</v>
      </c>
      <c r="B450" t="s">
        <v>9033</v>
      </c>
      <c r="C450" t="s">
        <v>74</v>
      </c>
      <c r="D450" t="s">
        <v>74</v>
      </c>
      <c r="E450" t="s">
        <v>74</v>
      </c>
      <c r="F450" t="s">
        <v>9034</v>
      </c>
      <c r="G450" t="s">
        <v>74</v>
      </c>
      <c r="H450" t="s">
        <v>74</v>
      </c>
      <c r="I450" t="s">
        <v>9035</v>
      </c>
      <c r="J450" t="s">
        <v>9036</v>
      </c>
      <c r="K450" t="s">
        <v>74</v>
      </c>
      <c r="L450" t="s">
        <v>74</v>
      </c>
      <c r="M450" t="s">
        <v>78</v>
      </c>
      <c r="N450" t="s">
        <v>79</v>
      </c>
      <c r="O450" t="s">
        <v>74</v>
      </c>
      <c r="P450" t="s">
        <v>74</v>
      </c>
      <c r="Q450" t="s">
        <v>74</v>
      </c>
      <c r="R450" t="s">
        <v>74</v>
      </c>
      <c r="S450" t="s">
        <v>74</v>
      </c>
      <c r="T450" t="s">
        <v>9037</v>
      </c>
      <c r="U450" t="s">
        <v>9038</v>
      </c>
      <c r="V450" t="s">
        <v>9039</v>
      </c>
      <c r="W450" t="s">
        <v>9040</v>
      </c>
      <c r="X450" t="s">
        <v>9041</v>
      </c>
      <c r="Y450" t="s">
        <v>9042</v>
      </c>
      <c r="Z450" t="s">
        <v>9043</v>
      </c>
      <c r="AA450" t="s">
        <v>9044</v>
      </c>
      <c r="AB450" t="s">
        <v>9045</v>
      </c>
      <c r="AC450" t="s">
        <v>74</v>
      </c>
      <c r="AD450" t="s">
        <v>74</v>
      </c>
      <c r="AE450" t="s">
        <v>74</v>
      </c>
      <c r="AF450" t="s">
        <v>74</v>
      </c>
      <c r="AG450">
        <v>28</v>
      </c>
      <c r="AH450">
        <v>9</v>
      </c>
      <c r="AI450">
        <v>9</v>
      </c>
      <c r="AJ450">
        <v>0</v>
      </c>
      <c r="AK450">
        <v>41</v>
      </c>
      <c r="AL450" t="s">
        <v>925</v>
      </c>
      <c r="AM450" t="s">
        <v>884</v>
      </c>
      <c r="AN450" t="s">
        <v>926</v>
      </c>
      <c r="AO450" t="s">
        <v>9046</v>
      </c>
      <c r="AP450" t="s">
        <v>9047</v>
      </c>
      <c r="AQ450" t="s">
        <v>74</v>
      </c>
      <c r="AR450" t="s">
        <v>9048</v>
      </c>
      <c r="AS450" t="s">
        <v>9049</v>
      </c>
      <c r="AT450" t="s">
        <v>9010</v>
      </c>
      <c r="AU450">
        <v>2015</v>
      </c>
      <c r="AV450">
        <v>1409</v>
      </c>
      <c r="AW450" t="s">
        <v>74</v>
      </c>
      <c r="AX450" t="s">
        <v>74</v>
      </c>
      <c r="AY450" t="s">
        <v>74</v>
      </c>
      <c r="AZ450" t="s">
        <v>74</v>
      </c>
      <c r="BA450" t="s">
        <v>74</v>
      </c>
      <c r="BB450">
        <v>182</v>
      </c>
      <c r="BC450">
        <v>188</v>
      </c>
      <c r="BD450" t="s">
        <v>74</v>
      </c>
      <c r="BE450" t="s">
        <v>9050</v>
      </c>
      <c r="BF450" t="str">
        <f>HYPERLINK("http://dx.doi.org/10.1016/j.chroma.2015.07.034","http://dx.doi.org/10.1016/j.chroma.2015.07.034")</f>
        <v>http://dx.doi.org/10.1016/j.chroma.2015.07.034</v>
      </c>
      <c r="BG450" t="s">
        <v>74</v>
      </c>
      <c r="BH450" t="s">
        <v>74</v>
      </c>
      <c r="BI450">
        <v>7</v>
      </c>
      <c r="BJ450" t="s">
        <v>9051</v>
      </c>
      <c r="BK450" t="s">
        <v>101</v>
      </c>
      <c r="BL450" t="s">
        <v>9052</v>
      </c>
      <c r="BM450" t="s">
        <v>9053</v>
      </c>
      <c r="BN450">
        <v>26206628</v>
      </c>
      <c r="BO450" t="s">
        <v>74</v>
      </c>
      <c r="BP450" t="s">
        <v>74</v>
      </c>
      <c r="BQ450" t="s">
        <v>74</v>
      </c>
      <c r="BR450" t="s">
        <v>103</v>
      </c>
      <c r="BS450" t="s">
        <v>9054</v>
      </c>
      <c r="BT450" t="str">
        <f>HYPERLINK("https%3A%2F%2Fwww.webofscience.com%2Fwos%2Fwoscc%2Ffull-record%2FWOS:000359882600021","View Full Record in Web of Science")</f>
        <v>View Full Record in Web of Science</v>
      </c>
    </row>
    <row r="451" spans="1:72" x14ac:dyDescent="0.15">
      <c r="A451" t="s">
        <v>72</v>
      </c>
      <c r="B451" t="s">
        <v>9055</v>
      </c>
      <c r="C451" t="s">
        <v>74</v>
      </c>
      <c r="D451" t="s">
        <v>74</v>
      </c>
      <c r="E451" t="s">
        <v>74</v>
      </c>
      <c r="F451" t="s">
        <v>9056</v>
      </c>
      <c r="G451" t="s">
        <v>74</v>
      </c>
      <c r="H451" t="s">
        <v>74</v>
      </c>
      <c r="I451" t="s">
        <v>9057</v>
      </c>
      <c r="J451" t="s">
        <v>1218</v>
      </c>
      <c r="K451" t="s">
        <v>74</v>
      </c>
      <c r="L451" t="s">
        <v>74</v>
      </c>
      <c r="M451" t="s">
        <v>78</v>
      </c>
      <c r="N451" t="s">
        <v>79</v>
      </c>
      <c r="O451" t="s">
        <v>74</v>
      </c>
      <c r="P451" t="s">
        <v>74</v>
      </c>
      <c r="Q451" t="s">
        <v>74</v>
      </c>
      <c r="R451" t="s">
        <v>74</v>
      </c>
      <c r="S451" t="s">
        <v>74</v>
      </c>
      <c r="T451" t="s">
        <v>74</v>
      </c>
      <c r="U451" t="s">
        <v>9058</v>
      </c>
      <c r="V451" t="s">
        <v>9059</v>
      </c>
      <c r="W451" t="s">
        <v>9060</v>
      </c>
      <c r="X451" t="s">
        <v>9061</v>
      </c>
      <c r="Y451" t="s">
        <v>9062</v>
      </c>
      <c r="Z451" t="s">
        <v>9063</v>
      </c>
      <c r="AA451" t="s">
        <v>9064</v>
      </c>
      <c r="AB451" t="s">
        <v>9065</v>
      </c>
      <c r="AC451" t="s">
        <v>9066</v>
      </c>
      <c r="AD451" t="s">
        <v>9067</v>
      </c>
      <c r="AE451" t="s">
        <v>9068</v>
      </c>
      <c r="AF451" t="s">
        <v>74</v>
      </c>
      <c r="AG451">
        <v>62</v>
      </c>
      <c r="AH451">
        <v>42</v>
      </c>
      <c r="AI451">
        <v>47</v>
      </c>
      <c r="AJ451">
        <v>2</v>
      </c>
      <c r="AK451">
        <v>39</v>
      </c>
      <c r="AL451" t="s">
        <v>306</v>
      </c>
      <c r="AM451" t="s">
        <v>307</v>
      </c>
      <c r="AN451" t="s">
        <v>308</v>
      </c>
      <c r="AO451" t="s">
        <v>1229</v>
      </c>
      <c r="AP451" t="s">
        <v>1230</v>
      </c>
      <c r="AQ451" t="s">
        <v>74</v>
      </c>
      <c r="AR451" t="s">
        <v>1231</v>
      </c>
      <c r="AS451" t="s">
        <v>1232</v>
      </c>
      <c r="AT451" t="s">
        <v>9069</v>
      </c>
      <c r="AU451">
        <v>2015</v>
      </c>
      <c r="AV451">
        <v>120</v>
      </c>
      <c r="AW451">
        <v>16</v>
      </c>
      <c r="AX451" t="s">
        <v>74</v>
      </c>
      <c r="AY451" t="s">
        <v>74</v>
      </c>
      <c r="AZ451" t="s">
        <v>74</v>
      </c>
      <c r="BA451" t="s">
        <v>74</v>
      </c>
      <c r="BB451">
        <v>8299</v>
      </c>
      <c r="BC451">
        <v>8317</v>
      </c>
      <c r="BD451" t="s">
        <v>74</v>
      </c>
      <c r="BE451" t="s">
        <v>9070</v>
      </c>
      <c r="BF451" t="str">
        <f>HYPERLINK("http://dx.doi.org/10.1002/2014JD022855","http://dx.doi.org/10.1002/2014JD022855")</f>
        <v>http://dx.doi.org/10.1002/2014JD022855</v>
      </c>
      <c r="BG451" t="s">
        <v>74</v>
      </c>
      <c r="BH451" t="s">
        <v>74</v>
      </c>
      <c r="BI451">
        <v>19</v>
      </c>
      <c r="BJ451" t="s">
        <v>271</v>
      </c>
      <c r="BK451" t="s">
        <v>101</v>
      </c>
      <c r="BL451" t="s">
        <v>271</v>
      </c>
      <c r="BM451" t="s">
        <v>9071</v>
      </c>
      <c r="BN451" t="s">
        <v>74</v>
      </c>
      <c r="BO451" t="s">
        <v>162</v>
      </c>
      <c r="BP451" t="s">
        <v>74</v>
      </c>
      <c r="BQ451" t="s">
        <v>74</v>
      </c>
      <c r="BR451" t="s">
        <v>103</v>
      </c>
      <c r="BS451" t="s">
        <v>9072</v>
      </c>
      <c r="BT451" t="str">
        <f>HYPERLINK("https%3A%2F%2Fwww.webofscience.com%2Fwos%2Fwoscc%2Ffull-record%2FWOS:000363425200018","View Full Record in Web of Science")</f>
        <v>View Full Record in Web of Science</v>
      </c>
    </row>
    <row r="452" spans="1:72" x14ac:dyDescent="0.15">
      <c r="A452" t="s">
        <v>72</v>
      </c>
      <c r="B452" t="s">
        <v>9073</v>
      </c>
      <c r="C452" t="s">
        <v>74</v>
      </c>
      <c r="D452" t="s">
        <v>74</v>
      </c>
      <c r="E452" t="s">
        <v>74</v>
      </c>
      <c r="F452" t="s">
        <v>9074</v>
      </c>
      <c r="G452" t="s">
        <v>74</v>
      </c>
      <c r="H452" t="s">
        <v>74</v>
      </c>
      <c r="I452" t="s">
        <v>9075</v>
      </c>
      <c r="J452" t="s">
        <v>9076</v>
      </c>
      <c r="K452" t="s">
        <v>74</v>
      </c>
      <c r="L452" t="s">
        <v>74</v>
      </c>
      <c r="M452" t="s">
        <v>78</v>
      </c>
      <c r="N452" t="s">
        <v>79</v>
      </c>
      <c r="O452" t="s">
        <v>74</v>
      </c>
      <c r="P452" t="s">
        <v>74</v>
      </c>
      <c r="Q452" t="s">
        <v>74</v>
      </c>
      <c r="R452" t="s">
        <v>74</v>
      </c>
      <c r="S452" t="s">
        <v>74</v>
      </c>
      <c r="T452" t="s">
        <v>9077</v>
      </c>
      <c r="U452" t="s">
        <v>9078</v>
      </c>
      <c r="V452" t="s">
        <v>9079</v>
      </c>
      <c r="W452" t="s">
        <v>9080</v>
      </c>
      <c r="X452" t="s">
        <v>9081</v>
      </c>
      <c r="Y452" t="s">
        <v>9082</v>
      </c>
      <c r="Z452" t="s">
        <v>9083</v>
      </c>
      <c r="AA452" t="s">
        <v>9084</v>
      </c>
      <c r="AB452" t="s">
        <v>9085</v>
      </c>
      <c r="AC452" t="s">
        <v>9086</v>
      </c>
      <c r="AD452" t="s">
        <v>9087</v>
      </c>
      <c r="AE452" t="s">
        <v>9088</v>
      </c>
      <c r="AF452" t="s">
        <v>74</v>
      </c>
      <c r="AG452">
        <v>24</v>
      </c>
      <c r="AH452">
        <v>32</v>
      </c>
      <c r="AI452">
        <v>33</v>
      </c>
      <c r="AJ452">
        <v>2</v>
      </c>
      <c r="AK452">
        <v>23</v>
      </c>
      <c r="AL452" t="s">
        <v>6136</v>
      </c>
      <c r="AM452" t="s">
        <v>180</v>
      </c>
      <c r="AN452" t="s">
        <v>6137</v>
      </c>
      <c r="AO452" t="s">
        <v>9089</v>
      </c>
      <c r="AP452" t="s">
        <v>74</v>
      </c>
      <c r="AQ452" t="s">
        <v>74</v>
      </c>
      <c r="AR452" t="s">
        <v>9090</v>
      </c>
      <c r="AS452" t="s">
        <v>9091</v>
      </c>
      <c r="AT452" t="s">
        <v>9069</v>
      </c>
      <c r="AU452">
        <v>2015</v>
      </c>
      <c r="AV452">
        <v>8</v>
      </c>
      <c r="AW452" t="s">
        <v>74</v>
      </c>
      <c r="AX452" t="s">
        <v>74</v>
      </c>
      <c r="AY452" t="s">
        <v>74</v>
      </c>
      <c r="AZ452" t="s">
        <v>74</v>
      </c>
      <c r="BA452" t="s">
        <v>74</v>
      </c>
      <c r="BB452" t="s">
        <v>74</v>
      </c>
      <c r="BC452" t="s">
        <v>74</v>
      </c>
      <c r="BD452">
        <v>125</v>
      </c>
      <c r="BE452" t="s">
        <v>9092</v>
      </c>
      <c r="BF452" t="str">
        <f>HYPERLINK("http://dx.doi.org/10.1186/s13068-015-0308-x","http://dx.doi.org/10.1186/s13068-015-0308-x")</f>
        <v>http://dx.doi.org/10.1186/s13068-015-0308-x</v>
      </c>
      <c r="BG452" t="s">
        <v>74</v>
      </c>
      <c r="BH452" t="s">
        <v>74</v>
      </c>
      <c r="BI452">
        <v>9</v>
      </c>
      <c r="BJ452" t="s">
        <v>9093</v>
      </c>
      <c r="BK452" t="s">
        <v>101</v>
      </c>
      <c r="BL452" t="s">
        <v>9093</v>
      </c>
      <c r="BM452" t="s">
        <v>9094</v>
      </c>
      <c r="BN452">
        <v>26312065</v>
      </c>
      <c r="BO452" t="s">
        <v>533</v>
      </c>
      <c r="BP452" t="s">
        <v>74</v>
      </c>
      <c r="BQ452" t="s">
        <v>74</v>
      </c>
      <c r="BR452" t="s">
        <v>103</v>
      </c>
      <c r="BS452" t="s">
        <v>9095</v>
      </c>
      <c r="BT452" t="str">
        <f>HYPERLINK("https%3A%2F%2Fwww.webofscience.com%2Fwos%2Fwoscc%2Ffull-record%2FWOS:000360053900001","View Full Record in Web of Science")</f>
        <v>View Full Record in Web of Science</v>
      </c>
    </row>
    <row r="453" spans="1:72" x14ac:dyDescent="0.15">
      <c r="A453" t="s">
        <v>72</v>
      </c>
      <c r="B453" t="s">
        <v>9096</v>
      </c>
      <c r="C453" t="s">
        <v>74</v>
      </c>
      <c r="D453" t="s">
        <v>74</v>
      </c>
      <c r="E453" t="s">
        <v>74</v>
      </c>
      <c r="F453" t="s">
        <v>9097</v>
      </c>
      <c r="G453" t="s">
        <v>74</v>
      </c>
      <c r="H453" t="s">
        <v>74</v>
      </c>
      <c r="I453" t="s">
        <v>9098</v>
      </c>
      <c r="J453" t="s">
        <v>1033</v>
      </c>
      <c r="K453" t="s">
        <v>74</v>
      </c>
      <c r="L453" t="s">
        <v>74</v>
      </c>
      <c r="M453" t="s">
        <v>78</v>
      </c>
      <c r="N453" t="s">
        <v>79</v>
      </c>
      <c r="O453" t="s">
        <v>74</v>
      </c>
      <c r="P453" t="s">
        <v>74</v>
      </c>
      <c r="Q453" t="s">
        <v>74</v>
      </c>
      <c r="R453" t="s">
        <v>74</v>
      </c>
      <c r="S453" t="s">
        <v>74</v>
      </c>
      <c r="T453" t="s">
        <v>9099</v>
      </c>
      <c r="U453" t="s">
        <v>9100</v>
      </c>
      <c r="V453" t="s">
        <v>9101</v>
      </c>
      <c r="W453" t="s">
        <v>9102</v>
      </c>
      <c r="X453" t="s">
        <v>9103</v>
      </c>
      <c r="Y453" t="s">
        <v>2978</v>
      </c>
      <c r="Z453" t="s">
        <v>2979</v>
      </c>
      <c r="AA453" t="s">
        <v>9104</v>
      </c>
      <c r="AB453" t="s">
        <v>9105</v>
      </c>
      <c r="AC453" t="s">
        <v>9106</v>
      </c>
      <c r="AD453" t="s">
        <v>9107</v>
      </c>
      <c r="AE453" t="s">
        <v>9108</v>
      </c>
      <c r="AF453" t="s">
        <v>74</v>
      </c>
      <c r="AG453">
        <v>94</v>
      </c>
      <c r="AH453">
        <v>61</v>
      </c>
      <c r="AI453">
        <v>71</v>
      </c>
      <c r="AJ453">
        <v>4</v>
      </c>
      <c r="AK453">
        <v>95</v>
      </c>
      <c r="AL453" t="s">
        <v>1046</v>
      </c>
      <c r="AM453" t="s">
        <v>1047</v>
      </c>
      <c r="AN453" t="s">
        <v>1048</v>
      </c>
      <c r="AO453" t="s">
        <v>1049</v>
      </c>
      <c r="AP453" t="s">
        <v>1050</v>
      </c>
      <c r="AQ453" t="s">
        <v>74</v>
      </c>
      <c r="AR453" t="s">
        <v>1051</v>
      </c>
      <c r="AS453" t="s">
        <v>1052</v>
      </c>
      <c r="AT453" t="s">
        <v>9069</v>
      </c>
      <c r="AU453">
        <v>2015</v>
      </c>
      <c r="AV453">
        <v>534</v>
      </c>
      <c r="AW453" t="s">
        <v>74</v>
      </c>
      <c r="AX453" t="s">
        <v>74</v>
      </c>
      <c r="AY453" t="s">
        <v>74</v>
      </c>
      <c r="AZ453" t="s">
        <v>74</v>
      </c>
      <c r="BA453" t="s">
        <v>74</v>
      </c>
      <c r="BB453">
        <v>1</v>
      </c>
      <c r="BC453">
        <v>16</v>
      </c>
      <c r="BD453" t="s">
        <v>74</v>
      </c>
      <c r="BE453" t="s">
        <v>9109</v>
      </c>
      <c r="BF453" t="str">
        <f>HYPERLINK("http://dx.doi.org/10.3354/meps11394","http://dx.doi.org/10.3354/meps11394")</f>
        <v>http://dx.doi.org/10.3354/meps11394</v>
      </c>
      <c r="BG453" t="s">
        <v>74</v>
      </c>
      <c r="BH453" t="s">
        <v>74</v>
      </c>
      <c r="BI453">
        <v>16</v>
      </c>
      <c r="BJ453" t="s">
        <v>1054</v>
      </c>
      <c r="BK453" t="s">
        <v>101</v>
      </c>
      <c r="BL453" t="s">
        <v>1055</v>
      </c>
      <c r="BM453" t="s">
        <v>9110</v>
      </c>
      <c r="BN453" t="s">
        <v>74</v>
      </c>
      <c r="BO453" t="s">
        <v>1073</v>
      </c>
      <c r="BP453" t="s">
        <v>74</v>
      </c>
      <c r="BQ453" t="s">
        <v>74</v>
      </c>
      <c r="BR453" t="s">
        <v>103</v>
      </c>
      <c r="BS453" t="s">
        <v>9111</v>
      </c>
      <c r="BT453" t="str">
        <f>HYPERLINK("https%3A%2F%2Fwww.webofscience.com%2Fwos%2Fwoscc%2Ffull-record%2FWOS:000360989500001","View Full Record in Web of Science")</f>
        <v>View Full Record in Web of Science</v>
      </c>
    </row>
    <row r="454" spans="1:72" x14ac:dyDescent="0.15">
      <c r="A454" t="s">
        <v>72</v>
      </c>
      <c r="B454" t="s">
        <v>9112</v>
      </c>
      <c r="C454" t="s">
        <v>74</v>
      </c>
      <c r="D454" t="s">
        <v>74</v>
      </c>
      <c r="E454" t="s">
        <v>74</v>
      </c>
      <c r="F454" t="s">
        <v>9113</v>
      </c>
      <c r="G454" t="s">
        <v>74</v>
      </c>
      <c r="H454" t="s">
        <v>74</v>
      </c>
      <c r="I454" t="s">
        <v>9114</v>
      </c>
      <c r="J454" t="s">
        <v>1033</v>
      </c>
      <c r="K454" t="s">
        <v>74</v>
      </c>
      <c r="L454" t="s">
        <v>74</v>
      </c>
      <c r="M454" t="s">
        <v>78</v>
      </c>
      <c r="N454" t="s">
        <v>79</v>
      </c>
      <c r="O454" t="s">
        <v>74</v>
      </c>
      <c r="P454" t="s">
        <v>74</v>
      </c>
      <c r="Q454" t="s">
        <v>74</v>
      </c>
      <c r="R454" t="s">
        <v>74</v>
      </c>
      <c r="S454" t="s">
        <v>74</v>
      </c>
      <c r="T454" t="s">
        <v>9115</v>
      </c>
      <c r="U454" t="s">
        <v>9116</v>
      </c>
      <c r="V454" t="s">
        <v>9117</v>
      </c>
      <c r="W454" t="s">
        <v>9118</v>
      </c>
      <c r="X454" t="s">
        <v>9119</v>
      </c>
      <c r="Y454" t="s">
        <v>9120</v>
      </c>
      <c r="Z454" t="s">
        <v>9121</v>
      </c>
      <c r="AA454" t="s">
        <v>9122</v>
      </c>
      <c r="AB454" t="s">
        <v>9123</v>
      </c>
      <c r="AC454" t="s">
        <v>9124</v>
      </c>
      <c r="AD454" t="s">
        <v>9125</v>
      </c>
      <c r="AE454" t="s">
        <v>9126</v>
      </c>
      <c r="AF454" t="s">
        <v>74</v>
      </c>
      <c r="AG454">
        <v>63</v>
      </c>
      <c r="AH454">
        <v>40</v>
      </c>
      <c r="AI454">
        <v>41</v>
      </c>
      <c r="AJ454">
        <v>1</v>
      </c>
      <c r="AK454">
        <v>47</v>
      </c>
      <c r="AL454" t="s">
        <v>1046</v>
      </c>
      <c r="AM454" t="s">
        <v>1047</v>
      </c>
      <c r="AN454" t="s">
        <v>1048</v>
      </c>
      <c r="AO454" t="s">
        <v>1049</v>
      </c>
      <c r="AP454" t="s">
        <v>1050</v>
      </c>
      <c r="AQ454" t="s">
        <v>74</v>
      </c>
      <c r="AR454" t="s">
        <v>1051</v>
      </c>
      <c r="AS454" t="s">
        <v>1052</v>
      </c>
      <c r="AT454" t="s">
        <v>9069</v>
      </c>
      <c r="AU454">
        <v>2015</v>
      </c>
      <c r="AV454">
        <v>534</v>
      </c>
      <c r="AW454" t="s">
        <v>74</v>
      </c>
      <c r="AX454" t="s">
        <v>74</v>
      </c>
      <c r="AY454" t="s">
        <v>74</v>
      </c>
      <c r="AZ454" t="s">
        <v>74</v>
      </c>
      <c r="BA454" t="s">
        <v>74</v>
      </c>
      <c r="BB454">
        <v>235</v>
      </c>
      <c r="BC454">
        <v>249</v>
      </c>
      <c r="BD454" t="s">
        <v>74</v>
      </c>
      <c r="BE454" t="s">
        <v>9127</v>
      </c>
      <c r="BF454" t="str">
        <f>HYPERLINK("http://dx.doi.org/10.3354/meps11370","http://dx.doi.org/10.3354/meps11370")</f>
        <v>http://dx.doi.org/10.3354/meps11370</v>
      </c>
      <c r="BG454" t="s">
        <v>74</v>
      </c>
      <c r="BH454" t="s">
        <v>74</v>
      </c>
      <c r="BI454">
        <v>15</v>
      </c>
      <c r="BJ454" t="s">
        <v>1054</v>
      </c>
      <c r="BK454" t="s">
        <v>101</v>
      </c>
      <c r="BL454" t="s">
        <v>1055</v>
      </c>
      <c r="BM454" t="s">
        <v>9110</v>
      </c>
      <c r="BN454" t="s">
        <v>74</v>
      </c>
      <c r="BO454" t="s">
        <v>162</v>
      </c>
      <c r="BP454" t="s">
        <v>74</v>
      </c>
      <c r="BQ454" t="s">
        <v>74</v>
      </c>
      <c r="BR454" t="s">
        <v>103</v>
      </c>
      <c r="BS454" t="s">
        <v>9128</v>
      </c>
      <c r="BT454" t="str">
        <f>HYPERLINK("https%3A%2F%2Fwww.webofscience.com%2Fwos%2Fwoscc%2Ffull-record%2FWOS:000360989500016","View Full Record in Web of Science")</f>
        <v>View Full Record in Web of Science</v>
      </c>
    </row>
    <row r="455" spans="1:72" x14ac:dyDescent="0.15">
      <c r="A455" t="s">
        <v>72</v>
      </c>
      <c r="B455" t="s">
        <v>9129</v>
      </c>
      <c r="C455" t="s">
        <v>74</v>
      </c>
      <c r="D455" t="s">
        <v>74</v>
      </c>
      <c r="E455" t="s">
        <v>74</v>
      </c>
      <c r="F455" t="s">
        <v>9130</v>
      </c>
      <c r="G455" t="s">
        <v>74</v>
      </c>
      <c r="H455" t="s">
        <v>74</v>
      </c>
      <c r="I455" t="s">
        <v>9131</v>
      </c>
      <c r="J455" t="s">
        <v>1287</v>
      </c>
      <c r="K455" t="s">
        <v>74</v>
      </c>
      <c r="L455" t="s">
        <v>74</v>
      </c>
      <c r="M455" t="s">
        <v>78</v>
      </c>
      <c r="N455" t="s">
        <v>79</v>
      </c>
      <c r="O455" t="s">
        <v>74</v>
      </c>
      <c r="P455" t="s">
        <v>74</v>
      </c>
      <c r="Q455" t="s">
        <v>74</v>
      </c>
      <c r="R455" t="s">
        <v>74</v>
      </c>
      <c r="S455" t="s">
        <v>74</v>
      </c>
      <c r="T455" t="s">
        <v>74</v>
      </c>
      <c r="U455" t="s">
        <v>9132</v>
      </c>
      <c r="V455" t="s">
        <v>9133</v>
      </c>
      <c r="W455" t="s">
        <v>9134</v>
      </c>
      <c r="X455" t="s">
        <v>9135</v>
      </c>
      <c r="Y455" t="s">
        <v>9136</v>
      </c>
      <c r="Z455" t="s">
        <v>9137</v>
      </c>
      <c r="AA455" t="s">
        <v>9138</v>
      </c>
      <c r="AB455" t="s">
        <v>9139</v>
      </c>
      <c r="AC455" t="s">
        <v>9140</v>
      </c>
      <c r="AD455" t="s">
        <v>9141</v>
      </c>
      <c r="AE455" t="s">
        <v>9142</v>
      </c>
      <c r="AF455" t="s">
        <v>74</v>
      </c>
      <c r="AG455">
        <v>81</v>
      </c>
      <c r="AH455">
        <v>40</v>
      </c>
      <c r="AI455">
        <v>41</v>
      </c>
      <c r="AJ455">
        <v>0</v>
      </c>
      <c r="AK455">
        <v>24</v>
      </c>
      <c r="AL455" t="s">
        <v>523</v>
      </c>
      <c r="AM455" t="s">
        <v>524</v>
      </c>
      <c r="AN455" t="s">
        <v>525</v>
      </c>
      <c r="AO455" t="s">
        <v>1299</v>
      </c>
      <c r="AP455" t="s">
        <v>74</v>
      </c>
      <c r="AQ455" t="s">
        <v>74</v>
      </c>
      <c r="AR455" t="s">
        <v>1300</v>
      </c>
      <c r="AS455" t="s">
        <v>1301</v>
      </c>
      <c r="AT455" t="s">
        <v>9069</v>
      </c>
      <c r="AU455">
        <v>2015</v>
      </c>
      <c r="AV455">
        <v>5</v>
      </c>
      <c r="AW455" t="s">
        <v>74</v>
      </c>
      <c r="AX455" t="s">
        <v>74</v>
      </c>
      <c r="AY455" t="s">
        <v>74</v>
      </c>
      <c r="AZ455" t="s">
        <v>74</v>
      </c>
      <c r="BA455" t="s">
        <v>74</v>
      </c>
      <c r="BB455" t="s">
        <v>74</v>
      </c>
      <c r="BC455" t="s">
        <v>74</v>
      </c>
      <c r="BD455">
        <v>13537</v>
      </c>
      <c r="BE455" t="s">
        <v>9143</v>
      </c>
      <c r="BF455" t="str">
        <f>HYPERLINK("http://dx.doi.org/10.1038/srep13537","http://dx.doi.org/10.1038/srep13537")</f>
        <v>http://dx.doi.org/10.1038/srep13537</v>
      </c>
      <c r="BG455" t="s">
        <v>74</v>
      </c>
      <c r="BH455" t="s">
        <v>74</v>
      </c>
      <c r="BI455">
        <v>14</v>
      </c>
      <c r="BJ455" t="s">
        <v>530</v>
      </c>
      <c r="BK455" t="s">
        <v>101</v>
      </c>
      <c r="BL455" t="s">
        <v>531</v>
      </c>
      <c r="BM455" t="s">
        <v>9144</v>
      </c>
      <c r="BN455">
        <v>26311524</v>
      </c>
      <c r="BO455" t="s">
        <v>9145</v>
      </c>
      <c r="BP455" t="s">
        <v>74</v>
      </c>
      <c r="BQ455" t="s">
        <v>74</v>
      </c>
      <c r="BR455" t="s">
        <v>103</v>
      </c>
      <c r="BS455" t="s">
        <v>9146</v>
      </c>
      <c r="BT455" t="str">
        <f>HYPERLINK("https%3A%2F%2Fwww.webofscience.com%2Fwos%2Fwoscc%2Ffull-record%2FWOS:000360149200001","View Full Record in Web of Science")</f>
        <v>View Full Record in Web of Science</v>
      </c>
    </row>
    <row r="456" spans="1:72" x14ac:dyDescent="0.15">
      <c r="A456" t="s">
        <v>72</v>
      </c>
      <c r="B456" t="s">
        <v>9147</v>
      </c>
      <c r="C456" t="s">
        <v>74</v>
      </c>
      <c r="D456" t="s">
        <v>74</v>
      </c>
      <c r="E456" t="s">
        <v>74</v>
      </c>
      <c r="F456" t="s">
        <v>9148</v>
      </c>
      <c r="G456" t="s">
        <v>74</v>
      </c>
      <c r="H456" t="s">
        <v>74</v>
      </c>
      <c r="I456" t="s">
        <v>9149</v>
      </c>
      <c r="J456" t="s">
        <v>9150</v>
      </c>
      <c r="K456" t="s">
        <v>74</v>
      </c>
      <c r="L456" t="s">
        <v>74</v>
      </c>
      <c r="M456" t="s">
        <v>78</v>
      </c>
      <c r="N456" t="s">
        <v>79</v>
      </c>
      <c r="O456" t="s">
        <v>74</v>
      </c>
      <c r="P456" t="s">
        <v>74</v>
      </c>
      <c r="Q456" t="s">
        <v>74</v>
      </c>
      <c r="R456" t="s">
        <v>74</v>
      </c>
      <c r="S456" t="s">
        <v>74</v>
      </c>
      <c r="T456" t="s">
        <v>9151</v>
      </c>
      <c r="U456" t="s">
        <v>9152</v>
      </c>
      <c r="V456" t="s">
        <v>9153</v>
      </c>
      <c r="W456" t="s">
        <v>9154</v>
      </c>
      <c r="X456" t="s">
        <v>9155</v>
      </c>
      <c r="Y456" t="s">
        <v>9156</v>
      </c>
      <c r="Z456" t="s">
        <v>9157</v>
      </c>
      <c r="AA456" t="s">
        <v>9158</v>
      </c>
      <c r="AB456" t="s">
        <v>74</v>
      </c>
      <c r="AC456" t="s">
        <v>74</v>
      </c>
      <c r="AD456" t="s">
        <v>74</v>
      </c>
      <c r="AE456" t="s">
        <v>74</v>
      </c>
      <c r="AF456" t="s">
        <v>74</v>
      </c>
      <c r="AG456">
        <v>32</v>
      </c>
      <c r="AH456">
        <v>13</v>
      </c>
      <c r="AI456">
        <v>15</v>
      </c>
      <c r="AJ456">
        <v>1</v>
      </c>
      <c r="AK456">
        <v>17</v>
      </c>
      <c r="AL456" t="s">
        <v>9159</v>
      </c>
      <c r="AM456" t="s">
        <v>9160</v>
      </c>
      <c r="AN456" t="s">
        <v>9161</v>
      </c>
      <c r="AO456" t="s">
        <v>9162</v>
      </c>
      <c r="AP456" t="s">
        <v>74</v>
      </c>
      <c r="AQ456" t="s">
        <v>74</v>
      </c>
      <c r="AR456" t="s">
        <v>9163</v>
      </c>
      <c r="AS456" t="s">
        <v>9164</v>
      </c>
      <c r="AT456" t="s">
        <v>9165</v>
      </c>
      <c r="AU456">
        <v>2015</v>
      </c>
      <c r="AV456">
        <v>109</v>
      </c>
      <c r="AW456">
        <v>4</v>
      </c>
      <c r="AX456" t="s">
        <v>74</v>
      </c>
      <c r="AY456" t="s">
        <v>74</v>
      </c>
      <c r="AZ456" t="s">
        <v>74</v>
      </c>
      <c r="BA456" t="s">
        <v>74</v>
      </c>
      <c r="BB456">
        <v>733</v>
      </c>
      <c r="BC456">
        <v>744</v>
      </c>
      <c r="BD456" t="s">
        <v>74</v>
      </c>
      <c r="BE456" t="s">
        <v>74</v>
      </c>
      <c r="BF456" t="s">
        <v>74</v>
      </c>
      <c r="BG456" t="s">
        <v>74</v>
      </c>
      <c r="BH456" t="s">
        <v>74</v>
      </c>
      <c r="BI456">
        <v>12</v>
      </c>
      <c r="BJ456" t="s">
        <v>530</v>
      </c>
      <c r="BK456" t="s">
        <v>101</v>
      </c>
      <c r="BL456" t="s">
        <v>531</v>
      </c>
      <c r="BM456" t="s">
        <v>9166</v>
      </c>
      <c r="BN456" t="s">
        <v>74</v>
      </c>
      <c r="BO456" t="s">
        <v>74</v>
      </c>
      <c r="BP456" t="s">
        <v>74</v>
      </c>
      <c r="BQ456" t="s">
        <v>74</v>
      </c>
      <c r="BR456" t="s">
        <v>103</v>
      </c>
      <c r="BS456" t="s">
        <v>9167</v>
      </c>
      <c r="BT456" t="str">
        <f>HYPERLINK("https%3A%2F%2Fwww.webofscience.com%2Fwos%2Fwoscc%2Ffull-record%2FWOS:000360157700019","View Full Record in Web of Science")</f>
        <v>View Full Record in Web of Science</v>
      </c>
    </row>
    <row r="457" spans="1:72" x14ac:dyDescent="0.15">
      <c r="A457" t="s">
        <v>72</v>
      </c>
      <c r="B457" t="s">
        <v>9168</v>
      </c>
      <c r="C457" t="s">
        <v>74</v>
      </c>
      <c r="D457" t="s">
        <v>74</v>
      </c>
      <c r="E457" t="s">
        <v>74</v>
      </c>
      <c r="F457" t="s">
        <v>9169</v>
      </c>
      <c r="G457" t="s">
        <v>74</v>
      </c>
      <c r="H457" t="s">
        <v>74</v>
      </c>
      <c r="I457" t="s">
        <v>9170</v>
      </c>
      <c r="J457" t="s">
        <v>9150</v>
      </c>
      <c r="K457" t="s">
        <v>74</v>
      </c>
      <c r="L457" t="s">
        <v>74</v>
      </c>
      <c r="M457" t="s">
        <v>78</v>
      </c>
      <c r="N457" t="s">
        <v>79</v>
      </c>
      <c r="O457" t="s">
        <v>74</v>
      </c>
      <c r="P457" t="s">
        <v>74</v>
      </c>
      <c r="Q457" t="s">
        <v>74</v>
      </c>
      <c r="R457" t="s">
        <v>74</v>
      </c>
      <c r="S457" t="s">
        <v>74</v>
      </c>
      <c r="T457" t="s">
        <v>9171</v>
      </c>
      <c r="U457" t="s">
        <v>9172</v>
      </c>
      <c r="V457" t="s">
        <v>9173</v>
      </c>
      <c r="W457" t="s">
        <v>9174</v>
      </c>
      <c r="X457" t="s">
        <v>9175</v>
      </c>
      <c r="Y457" t="s">
        <v>9176</v>
      </c>
      <c r="Z457" t="s">
        <v>9177</v>
      </c>
      <c r="AA457" t="s">
        <v>9178</v>
      </c>
      <c r="AB457" t="s">
        <v>9179</v>
      </c>
      <c r="AC457" t="s">
        <v>74</v>
      </c>
      <c r="AD457" t="s">
        <v>74</v>
      </c>
      <c r="AE457" t="s">
        <v>74</v>
      </c>
      <c r="AF457" t="s">
        <v>74</v>
      </c>
      <c r="AG457">
        <v>21</v>
      </c>
      <c r="AH457">
        <v>9</v>
      </c>
      <c r="AI457">
        <v>10</v>
      </c>
      <c r="AJ457">
        <v>0</v>
      </c>
      <c r="AK457">
        <v>3</v>
      </c>
      <c r="AL457" t="s">
        <v>9159</v>
      </c>
      <c r="AM457" t="s">
        <v>9160</v>
      </c>
      <c r="AN457" t="s">
        <v>9161</v>
      </c>
      <c r="AO457" t="s">
        <v>9162</v>
      </c>
      <c r="AP457" t="s">
        <v>74</v>
      </c>
      <c r="AQ457" t="s">
        <v>74</v>
      </c>
      <c r="AR457" t="s">
        <v>9163</v>
      </c>
      <c r="AS457" t="s">
        <v>9164</v>
      </c>
      <c r="AT457" t="s">
        <v>9165</v>
      </c>
      <c r="AU457">
        <v>2015</v>
      </c>
      <c r="AV457">
        <v>109</v>
      </c>
      <c r="AW457">
        <v>4</v>
      </c>
      <c r="AX457" t="s">
        <v>74</v>
      </c>
      <c r="AY457" t="s">
        <v>74</v>
      </c>
      <c r="AZ457" t="s">
        <v>74</v>
      </c>
      <c r="BA457" t="s">
        <v>74</v>
      </c>
      <c r="BB457">
        <v>784</v>
      </c>
      <c r="BC457">
        <v>790</v>
      </c>
      <c r="BD457" t="s">
        <v>74</v>
      </c>
      <c r="BE457" t="s">
        <v>74</v>
      </c>
      <c r="BF457" t="s">
        <v>74</v>
      </c>
      <c r="BG457" t="s">
        <v>74</v>
      </c>
      <c r="BH457" t="s">
        <v>74</v>
      </c>
      <c r="BI457">
        <v>8</v>
      </c>
      <c r="BJ457" t="s">
        <v>530</v>
      </c>
      <c r="BK457" t="s">
        <v>101</v>
      </c>
      <c r="BL457" t="s">
        <v>531</v>
      </c>
      <c r="BM457" t="s">
        <v>9166</v>
      </c>
      <c r="BN457" t="s">
        <v>74</v>
      </c>
      <c r="BO457" t="s">
        <v>74</v>
      </c>
      <c r="BP457" t="s">
        <v>74</v>
      </c>
      <c r="BQ457" t="s">
        <v>74</v>
      </c>
      <c r="BR457" t="s">
        <v>103</v>
      </c>
      <c r="BS457" t="s">
        <v>9180</v>
      </c>
      <c r="BT457" t="str">
        <f>HYPERLINK("https%3A%2F%2Fwww.webofscience.com%2Fwos%2Fwoscc%2Ffull-record%2FWOS:000360157700026","View Full Record in Web of Science")</f>
        <v>View Full Record in Web of Science</v>
      </c>
    </row>
    <row r="458" spans="1:72" x14ac:dyDescent="0.15">
      <c r="A458" t="s">
        <v>72</v>
      </c>
      <c r="B458" t="s">
        <v>9181</v>
      </c>
      <c r="C458" t="s">
        <v>74</v>
      </c>
      <c r="D458" t="s">
        <v>74</v>
      </c>
      <c r="E458" t="s">
        <v>74</v>
      </c>
      <c r="F458" t="s">
        <v>9182</v>
      </c>
      <c r="G458" t="s">
        <v>74</v>
      </c>
      <c r="H458" t="s">
        <v>74</v>
      </c>
      <c r="I458" t="s">
        <v>9183</v>
      </c>
      <c r="J458" t="s">
        <v>9184</v>
      </c>
      <c r="K458" t="s">
        <v>74</v>
      </c>
      <c r="L458" t="s">
        <v>74</v>
      </c>
      <c r="M458" t="s">
        <v>78</v>
      </c>
      <c r="N458" t="s">
        <v>79</v>
      </c>
      <c r="O458" t="s">
        <v>74</v>
      </c>
      <c r="P458" t="s">
        <v>74</v>
      </c>
      <c r="Q458" t="s">
        <v>74</v>
      </c>
      <c r="R458" t="s">
        <v>74</v>
      </c>
      <c r="S458" t="s">
        <v>74</v>
      </c>
      <c r="T458" t="s">
        <v>9185</v>
      </c>
      <c r="U458" t="s">
        <v>9186</v>
      </c>
      <c r="V458" t="s">
        <v>9187</v>
      </c>
      <c r="W458" t="s">
        <v>9188</v>
      </c>
      <c r="X458" t="s">
        <v>9189</v>
      </c>
      <c r="Y458" t="s">
        <v>9190</v>
      </c>
      <c r="Z458" t="s">
        <v>9191</v>
      </c>
      <c r="AA458" t="s">
        <v>9192</v>
      </c>
      <c r="AB458" t="s">
        <v>9193</v>
      </c>
      <c r="AC458" t="s">
        <v>9194</v>
      </c>
      <c r="AD458" t="s">
        <v>9195</v>
      </c>
      <c r="AE458" t="s">
        <v>9196</v>
      </c>
      <c r="AF458" t="s">
        <v>74</v>
      </c>
      <c r="AG458">
        <v>56</v>
      </c>
      <c r="AH458">
        <v>37</v>
      </c>
      <c r="AI458">
        <v>39</v>
      </c>
      <c r="AJ458">
        <v>0</v>
      </c>
      <c r="AK458">
        <v>37</v>
      </c>
      <c r="AL458" t="s">
        <v>883</v>
      </c>
      <c r="AM458" t="s">
        <v>884</v>
      </c>
      <c r="AN458" t="s">
        <v>885</v>
      </c>
      <c r="AO458" t="s">
        <v>9197</v>
      </c>
      <c r="AP458" t="s">
        <v>9198</v>
      </c>
      <c r="AQ458" t="s">
        <v>74</v>
      </c>
      <c r="AR458" t="s">
        <v>9199</v>
      </c>
      <c r="AS458" t="s">
        <v>9200</v>
      </c>
      <c r="AT458" t="s">
        <v>9201</v>
      </c>
      <c r="AU458">
        <v>2015</v>
      </c>
      <c r="AV458">
        <v>174</v>
      </c>
      <c r="AW458" t="s">
        <v>74</v>
      </c>
      <c r="AX458" t="s">
        <v>74</v>
      </c>
      <c r="AY458" t="s">
        <v>74</v>
      </c>
      <c r="AZ458" t="s">
        <v>74</v>
      </c>
      <c r="BA458" t="s">
        <v>74</v>
      </c>
      <c r="BB458">
        <v>120</v>
      </c>
      <c r="BC458">
        <v>130</v>
      </c>
      <c r="BD458" t="s">
        <v>74</v>
      </c>
      <c r="BE458" t="s">
        <v>9202</v>
      </c>
      <c r="BF458" t="str">
        <f>HYPERLINK("http://dx.doi.org/10.1016/j.marchem.2015.05.005","http://dx.doi.org/10.1016/j.marchem.2015.05.005")</f>
        <v>http://dx.doi.org/10.1016/j.marchem.2015.05.005</v>
      </c>
      <c r="BG458" t="s">
        <v>74</v>
      </c>
      <c r="BH458" t="s">
        <v>74</v>
      </c>
      <c r="BI458">
        <v>11</v>
      </c>
      <c r="BJ458" t="s">
        <v>9203</v>
      </c>
      <c r="BK458" t="s">
        <v>101</v>
      </c>
      <c r="BL458" t="s">
        <v>9204</v>
      </c>
      <c r="BM458" t="s">
        <v>9205</v>
      </c>
      <c r="BN458" t="s">
        <v>74</v>
      </c>
      <c r="BO458" t="s">
        <v>74</v>
      </c>
      <c r="BP458" t="s">
        <v>74</v>
      </c>
      <c r="BQ458" t="s">
        <v>74</v>
      </c>
      <c r="BR458" t="s">
        <v>103</v>
      </c>
      <c r="BS458" t="s">
        <v>9206</v>
      </c>
      <c r="BT458" t="str">
        <f>HYPERLINK("https%3A%2F%2Fwww.webofscience.com%2Fwos%2Fwoscc%2Ffull-record%2FWOS:000358628600012","View Full Record in Web of Science")</f>
        <v>View Full Record in Web of Science</v>
      </c>
    </row>
    <row r="459" spans="1:72" x14ac:dyDescent="0.15">
      <c r="A459" t="s">
        <v>72</v>
      </c>
      <c r="B459" t="s">
        <v>9207</v>
      </c>
      <c r="C459" t="s">
        <v>74</v>
      </c>
      <c r="D459" t="s">
        <v>74</v>
      </c>
      <c r="E459" t="s">
        <v>74</v>
      </c>
      <c r="F459" t="s">
        <v>9208</v>
      </c>
      <c r="G459" t="s">
        <v>74</v>
      </c>
      <c r="H459" t="s">
        <v>74</v>
      </c>
      <c r="I459" t="s">
        <v>9209</v>
      </c>
      <c r="J459" t="s">
        <v>9184</v>
      </c>
      <c r="K459" t="s">
        <v>74</v>
      </c>
      <c r="L459" t="s">
        <v>74</v>
      </c>
      <c r="M459" t="s">
        <v>78</v>
      </c>
      <c r="N459" t="s">
        <v>79</v>
      </c>
      <c r="O459" t="s">
        <v>74</v>
      </c>
      <c r="P459" t="s">
        <v>74</v>
      </c>
      <c r="Q459" t="s">
        <v>74</v>
      </c>
      <c r="R459" t="s">
        <v>74</v>
      </c>
      <c r="S459" t="s">
        <v>74</v>
      </c>
      <c r="T459" t="s">
        <v>9210</v>
      </c>
      <c r="U459" t="s">
        <v>9211</v>
      </c>
      <c r="V459" t="s">
        <v>9212</v>
      </c>
      <c r="W459" t="s">
        <v>9213</v>
      </c>
      <c r="X459" t="s">
        <v>9214</v>
      </c>
      <c r="Y459" t="s">
        <v>9215</v>
      </c>
      <c r="Z459" t="s">
        <v>9216</v>
      </c>
      <c r="AA459" t="s">
        <v>74</v>
      </c>
      <c r="AB459" t="s">
        <v>74</v>
      </c>
      <c r="AC459" t="s">
        <v>9217</v>
      </c>
      <c r="AD459" t="s">
        <v>9218</v>
      </c>
      <c r="AE459" t="s">
        <v>9219</v>
      </c>
      <c r="AF459" t="s">
        <v>74</v>
      </c>
      <c r="AG459">
        <v>28</v>
      </c>
      <c r="AH459">
        <v>18</v>
      </c>
      <c r="AI459">
        <v>21</v>
      </c>
      <c r="AJ459">
        <v>0</v>
      </c>
      <c r="AK459">
        <v>54</v>
      </c>
      <c r="AL459" t="s">
        <v>883</v>
      </c>
      <c r="AM459" t="s">
        <v>884</v>
      </c>
      <c r="AN459" t="s">
        <v>885</v>
      </c>
      <c r="AO459" t="s">
        <v>9197</v>
      </c>
      <c r="AP459" t="s">
        <v>9198</v>
      </c>
      <c r="AQ459" t="s">
        <v>74</v>
      </c>
      <c r="AR459" t="s">
        <v>9199</v>
      </c>
      <c r="AS459" t="s">
        <v>9200</v>
      </c>
      <c r="AT459" t="s">
        <v>9201</v>
      </c>
      <c r="AU459">
        <v>2015</v>
      </c>
      <c r="AV459">
        <v>174</v>
      </c>
      <c r="AW459" t="s">
        <v>74</v>
      </c>
      <c r="AX459" t="s">
        <v>74</v>
      </c>
      <c r="AY459" t="s">
        <v>74</v>
      </c>
      <c r="AZ459" t="s">
        <v>74</v>
      </c>
      <c r="BA459" t="s">
        <v>74</v>
      </c>
      <c r="BB459">
        <v>67</v>
      </c>
      <c r="BC459">
        <v>72</v>
      </c>
      <c r="BD459" t="s">
        <v>74</v>
      </c>
      <c r="BE459" t="s">
        <v>9220</v>
      </c>
      <c r="BF459" t="str">
        <f>HYPERLINK("http://dx.doi.org/10.1016/j.marchem.2015.05.006","http://dx.doi.org/10.1016/j.marchem.2015.05.006")</f>
        <v>http://dx.doi.org/10.1016/j.marchem.2015.05.006</v>
      </c>
      <c r="BG459" t="s">
        <v>74</v>
      </c>
      <c r="BH459" t="s">
        <v>74</v>
      </c>
      <c r="BI459">
        <v>6</v>
      </c>
      <c r="BJ459" t="s">
        <v>9203</v>
      </c>
      <c r="BK459" t="s">
        <v>101</v>
      </c>
      <c r="BL459" t="s">
        <v>9204</v>
      </c>
      <c r="BM459" t="s">
        <v>9205</v>
      </c>
      <c r="BN459" t="s">
        <v>74</v>
      </c>
      <c r="BO459" t="s">
        <v>74</v>
      </c>
      <c r="BP459" t="s">
        <v>74</v>
      </c>
      <c r="BQ459" t="s">
        <v>74</v>
      </c>
      <c r="BR459" t="s">
        <v>103</v>
      </c>
      <c r="BS459" t="s">
        <v>9221</v>
      </c>
      <c r="BT459" t="str">
        <f>HYPERLINK("https%3A%2F%2Fwww.webofscience.com%2Fwos%2Fwoscc%2Ffull-record%2FWOS:000358628600007","View Full Record in Web of Science")</f>
        <v>View Full Record in Web of Science</v>
      </c>
    </row>
    <row r="460" spans="1:72" x14ac:dyDescent="0.15">
      <c r="A460" t="s">
        <v>72</v>
      </c>
      <c r="B460" t="s">
        <v>9222</v>
      </c>
      <c r="C460" t="s">
        <v>74</v>
      </c>
      <c r="D460" t="s">
        <v>74</v>
      </c>
      <c r="E460" t="s">
        <v>74</v>
      </c>
      <c r="F460" t="s">
        <v>9223</v>
      </c>
      <c r="G460" t="s">
        <v>74</v>
      </c>
      <c r="H460" t="s">
        <v>74</v>
      </c>
      <c r="I460" t="s">
        <v>9224</v>
      </c>
      <c r="J460" t="s">
        <v>9184</v>
      </c>
      <c r="K460" t="s">
        <v>74</v>
      </c>
      <c r="L460" t="s">
        <v>74</v>
      </c>
      <c r="M460" t="s">
        <v>78</v>
      </c>
      <c r="N460" t="s">
        <v>79</v>
      </c>
      <c r="O460" t="s">
        <v>74</v>
      </c>
      <c r="P460" t="s">
        <v>74</v>
      </c>
      <c r="Q460" t="s">
        <v>74</v>
      </c>
      <c r="R460" t="s">
        <v>74</v>
      </c>
      <c r="S460" t="s">
        <v>74</v>
      </c>
      <c r="T460" t="s">
        <v>9225</v>
      </c>
      <c r="U460" t="s">
        <v>9226</v>
      </c>
      <c r="V460" t="s">
        <v>9227</v>
      </c>
      <c r="W460" t="s">
        <v>9228</v>
      </c>
      <c r="X460" t="s">
        <v>9229</v>
      </c>
      <c r="Y460" t="s">
        <v>9230</v>
      </c>
      <c r="Z460" t="s">
        <v>9231</v>
      </c>
      <c r="AA460" t="s">
        <v>9232</v>
      </c>
      <c r="AB460" t="s">
        <v>9233</v>
      </c>
      <c r="AC460" t="s">
        <v>9234</v>
      </c>
      <c r="AD460" t="s">
        <v>9235</v>
      </c>
      <c r="AE460" t="s">
        <v>9236</v>
      </c>
      <c r="AF460" t="s">
        <v>74</v>
      </c>
      <c r="AG460">
        <v>121</v>
      </c>
      <c r="AH460">
        <v>38</v>
      </c>
      <c r="AI460">
        <v>40</v>
      </c>
      <c r="AJ460">
        <v>0</v>
      </c>
      <c r="AK460">
        <v>74</v>
      </c>
      <c r="AL460" t="s">
        <v>925</v>
      </c>
      <c r="AM460" t="s">
        <v>884</v>
      </c>
      <c r="AN460" t="s">
        <v>926</v>
      </c>
      <c r="AO460" t="s">
        <v>9197</v>
      </c>
      <c r="AP460" t="s">
        <v>9198</v>
      </c>
      <c r="AQ460" t="s">
        <v>74</v>
      </c>
      <c r="AR460" t="s">
        <v>9199</v>
      </c>
      <c r="AS460" t="s">
        <v>9200</v>
      </c>
      <c r="AT460" t="s">
        <v>9201</v>
      </c>
      <c r="AU460">
        <v>2015</v>
      </c>
      <c r="AV460">
        <v>174</v>
      </c>
      <c r="AW460" t="s">
        <v>74</v>
      </c>
      <c r="AX460" t="s">
        <v>74</v>
      </c>
      <c r="AY460" t="s">
        <v>74</v>
      </c>
      <c r="AZ460" t="s">
        <v>74</v>
      </c>
      <c r="BA460" t="s">
        <v>74</v>
      </c>
      <c r="BB460">
        <v>147</v>
      </c>
      <c r="BC460">
        <v>160</v>
      </c>
      <c r="BD460" t="s">
        <v>74</v>
      </c>
      <c r="BE460" t="s">
        <v>9237</v>
      </c>
      <c r="BF460" t="str">
        <f>HYPERLINK("http://dx.doi.org/10.1016/j.marchem.2015.06.015","http://dx.doi.org/10.1016/j.marchem.2015.06.015")</f>
        <v>http://dx.doi.org/10.1016/j.marchem.2015.06.015</v>
      </c>
      <c r="BG460" t="s">
        <v>74</v>
      </c>
      <c r="BH460" t="s">
        <v>74</v>
      </c>
      <c r="BI460">
        <v>14</v>
      </c>
      <c r="BJ460" t="s">
        <v>9203</v>
      </c>
      <c r="BK460" t="s">
        <v>101</v>
      </c>
      <c r="BL460" t="s">
        <v>9204</v>
      </c>
      <c r="BM460" t="s">
        <v>9205</v>
      </c>
      <c r="BN460" t="s">
        <v>74</v>
      </c>
      <c r="BO460" t="s">
        <v>74</v>
      </c>
      <c r="BP460" t="s">
        <v>74</v>
      </c>
      <c r="BQ460" t="s">
        <v>74</v>
      </c>
      <c r="BR460" t="s">
        <v>103</v>
      </c>
      <c r="BS460" t="s">
        <v>9238</v>
      </c>
      <c r="BT460" t="str">
        <f>HYPERLINK("https%3A%2F%2Fwww.webofscience.com%2Fwos%2Fwoscc%2Ffull-record%2FWOS:000358628600015","View Full Record in Web of Science")</f>
        <v>View Full Record in Web of Science</v>
      </c>
    </row>
    <row r="461" spans="1:72" x14ac:dyDescent="0.15">
      <c r="A461" t="s">
        <v>72</v>
      </c>
      <c r="B461" t="s">
        <v>9239</v>
      </c>
      <c r="C461" t="s">
        <v>74</v>
      </c>
      <c r="D461" t="s">
        <v>74</v>
      </c>
      <c r="E461" t="s">
        <v>74</v>
      </c>
      <c r="F461" t="s">
        <v>9240</v>
      </c>
      <c r="G461" t="s">
        <v>74</v>
      </c>
      <c r="H461" t="s">
        <v>74</v>
      </c>
      <c r="I461" t="s">
        <v>9241</v>
      </c>
      <c r="J461" t="s">
        <v>1389</v>
      </c>
      <c r="K461" t="s">
        <v>74</v>
      </c>
      <c r="L461" t="s">
        <v>74</v>
      </c>
      <c r="M461" t="s">
        <v>78</v>
      </c>
      <c r="N461" t="s">
        <v>79</v>
      </c>
      <c r="O461" t="s">
        <v>74</v>
      </c>
      <c r="P461" t="s">
        <v>74</v>
      </c>
      <c r="Q461" t="s">
        <v>74</v>
      </c>
      <c r="R461" t="s">
        <v>74</v>
      </c>
      <c r="S461" t="s">
        <v>74</v>
      </c>
      <c r="T461" t="s">
        <v>9242</v>
      </c>
      <c r="U461" t="s">
        <v>9243</v>
      </c>
      <c r="V461" t="s">
        <v>9244</v>
      </c>
      <c r="W461" t="s">
        <v>9245</v>
      </c>
      <c r="X461" t="s">
        <v>9246</v>
      </c>
      <c r="Y461" t="s">
        <v>9247</v>
      </c>
      <c r="Z461" t="s">
        <v>9248</v>
      </c>
      <c r="AA461" t="s">
        <v>9249</v>
      </c>
      <c r="AB461" t="s">
        <v>9250</v>
      </c>
      <c r="AC461" t="s">
        <v>9251</v>
      </c>
      <c r="AD461" t="s">
        <v>9252</v>
      </c>
      <c r="AE461" t="s">
        <v>9253</v>
      </c>
      <c r="AF461" t="s">
        <v>74</v>
      </c>
      <c r="AG461">
        <v>17</v>
      </c>
      <c r="AH461">
        <v>15</v>
      </c>
      <c r="AI461">
        <v>15</v>
      </c>
      <c r="AJ461">
        <v>0</v>
      </c>
      <c r="AK461">
        <v>13</v>
      </c>
      <c r="AL461" t="s">
        <v>92</v>
      </c>
      <c r="AM461" t="s">
        <v>550</v>
      </c>
      <c r="AN461" t="s">
        <v>1398</v>
      </c>
      <c r="AO461" t="s">
        <v>74</v>
      </c>
      <c r="AP461" t="s">
        <v>1399</v>
      </c>
      <c r="AQ461" t="s">
        <v>74</v>
      </c>
      <c r="AR461" t="s">
        <v>1400</v>
      </c>
      <c r="AS461" t="s">
        <v>1401</v>
      </c>
      <c r="AT461" t="s">
        <v>9254</v>
      </c>
      <c r="AU461">
        <v>2015</v>
      </c>
      <c r="AV461">
        <v>67</v>
      </c>
      <c r="AW461" t="s">
        <v>74</v>
      </c>
      <c r="AX461" t="s">
        <v>74</v>
      </c>
      <c r="AY461" t="s">
        <v>74</v>
      </c>
      <c r="AZ461" t="s">
        <v>74</v>
      </c>
      <c r="BA461" t="s">
        <v>74</v>
      </c>
      <c r="BB461" t="s">
        <v>74</v>
      </c>
      <c r="BC461" t="s">
        <v>74</v>
      </c>
      <c r="BD461">
        <v>133</v>
      </c>
      <c r="BE461" t="s">
        <v>9255</v>
      </c>
      <c r="BF461" t="str">
        <f>HYPERLINK("http://dx.doi.org/10.1186/s40623-015-0296-x","http://dx.doi.org/10.1186/s40623-015-0296-x")</f>
        <v>http://dx.doi.org/10.1186/s40623-015-0296-x</v>
      </c>
      <c r="BG461" t="s">
        <v>74</v>
      </c>
      <c r="BH461" t="s">
        <v>74</v>
      </c>
      <c r="BI461">
        <v>8</v>
      </c>
      <c r="BJ461" t="s">
        <v>314</v>
      </c>
      <c r="BK461" t="s">
        <v>101</v>
      </c>
      <c r="BL461" t="s">
        <v>315</v>
      </c>
      <c r="BM461" t="s">
        <v>9256</v>
      </c>
      <c r="BN461" t="s">
        <v>74</v>
      </c>
      <c r="BO461" t="s">
        <v>1404</v>
      </c>
      <c r="BP461" t="s">
        <v>74</v>
      </c>
      <c r="BQ461" t="s">
        <v>74</v>
      </c>
      <c r="BR461" t="s">
        <v>103</v>
      </c>
      <c r="BS461" t="s">
        <v>9257</v>
      </c>
      <c r="BT461" t="str">
        <f>HYPERLINK("https%3A%2F%2Fwww.webofscience.com%2Fwos%2Fwoscc%2Ffull-record%2FWOS:000359616800002","View Full Record in Web of Science")</f>
        <v>View Full Record in Web of Science</v>
      </c>
    </row>
    <row r="462" spans="1:72" x14ac:dyDescent="0.15">
      <c r="A462" t="s">
        <v>72</v>
      </c>
      <c r="B462" t="s">
        <v>9258</v>
      </c>
      <c r="C462" t="s">
        <v>74</v>
      </c>
      <c r="D462" t="s">
        <v>74</v>
      </c>
      <c r="E462" t="s">
        <v>74</v>
      </c>
      <c r="F462" t="s">
        <v>9259</v>
      </c>
      <c r="G462" t="s">
        <v>74</v>
      </c>
      <c r="H462" t="s">
        <v>74</v>
      </c>
      <c r="I462" t="s">
        <v>9260</v>
      </c>
      <c r="J462" t="s">
        <v>1078</v>
      </c>
      <c r="K462" t="s">
        <v>74</v>
      </c>
      <c r="L462" t="s">
        <v>74</v>
      </c>
      <c r="M462" t="s">
        <v>78</v>
      </c>
      <c r="N462" t="s">
        <v>79</v>
      </c>
      <c r="O462" t="s">
        <v>74</v>
      </c>
      <c r="P462" t="s">
        <v>74</v>
      </c>
      <c r="Q462" t="s">
        <v>74</v>
      </c>
      <c r="R462" t="s">
        <v>74</v>
      </c>
      <c r="S462" t="s">
        <v>74</v>
      </c>
      <c r="T462" t="s">
        <v>74</v>
      </c>
      <c r="U462" t="s">
        <v>9261</v>
      </c>
      <c r="V462" t="s">
        <v>9262</v>
      </c>
      <c r="W462" t="s">
        <v>9263</v>
      </c>
      <c r="X462" t="s">
        <v>9264</v>
      </c>
      <c r="Y462" t="s">
        <v>9265</v>
      </c>
      <c r="Z462" t="s">
        <v>9266</v>
      </c>
      <c r="AA462" t="s">
        <v>74</v>
      </c>
      <c r="AB462" t="s">
        <v>9267</v>
      </c>
      <c r="AC462" t="s">
        <v>9268</v>
      </c>
      <c r="AD462" t="s">
        <v>9269</v>
      </c>
      <c r="AE462" t="s">
        <v>9270</v>
      </c>
      <c r="AF462" t="s">
        <v>74</v>
      </c>
      <c r="AG462">
        <v>43</v>
      </c>
      <c r="AH462">
        <v>109</v>
      </c>
      <c r="AI462">
        <v>131</v>
      </c>
      <c r="AJ462">
        <v>0</v>
      </c>
      <c r="AK462">
        <v>62</v>
      </c>
      <c r="AL462" t="s">
        <v>1089</v>
      </c>
      <c r="AM462" t="s">
        <v>1090</v>
      </c>
      <c r="AN462" t="s">
        <v>1091</v>
      </c>
      <c r="AO462" t="s">
        <v>1092</v>
      </c>
      <c r="AP462" t="s">
        <v>74</v>
      </c>
      <c r="AQ462" t="s">
        <v>74</v>
      </c>
      <c r="AR462" t="s">
        <v>1078</v>
      </c>
      <c r="AS462" t="s">
        <v>1093</v>
      </c>
      <c r="AT462" t="s">
        <v>9271</v>
      </c>
      <c r="AU462">
        <v>2015</v>
      </c>
      <c r="AV462">
        <v>10</v>
      </c>
      <c r="AW462">
        <v>8</v>
      </c>
      <c r="AX462" t="s">
        <v>74</v>
      </c>
      <c r="AY462" t="s">
        <v>74</v>
      </c>
      <c r="AZ462" t="s">
        <v>74</v>
      </c>
      <c r="BA462" t="s">
        <v>74</v>
      </c>
      <c r="BB462" t="s">
        <v>74</v>
      </c>
      <c r="BC462" t="s">
        <v>74</v>
      </c>
      <c r="BD462" t="s">
        <v>9272</v>
      </c>
      <c r="BE462" t="s">
        <v>9273</v>
      </c>
      <c r="BF462" t="str">
        <f>HYPERLINK("http://dx.doi.org/10.1371/journal.pone.0135868","http://dx.doi.org/10.1371/journal.pone.0135868")</f>
        <v>http://dx.doi.org/10.1371/journal.pone.0135868</v>
      </c>
      <c r="BG462" t="s">
        <v>74</v>
      </c>
      <c r="BH462" t="s">
        <v>74</v>
      </c>
      <c r="BI462">
        <v>18</v>
      </c>
      <c r="BJ462" t="s">
        <v>530</v>
      </c>
      <c r="BK462" t="s">
        <v>101</v>
      </c>
      <c r="BL462" t="s">
        <v>531</v>
      </c>
      <c r="BM462" t="s">
        <v>9274</v>
      </c>
      <c r="BN462">
        <v>26285202</v>
      </c>
      <c r="BO462" t="s">
        <v>1262</v>
      </c>
      <c r="BP462" t="s">
        <v>74</v>
      </c>
      <c r="BQ462" t="s">
        <v>74</v>
      </c>
      <c r="BR462" t="s">
        <v>103</v>
      </c>
      <c r="BS462" t="s">
        <v>9275</v>
      </c>
      <c r="BT462" t="str">
        <f>HYPERLINK("https%3A%2F%2Fwww.webofscience.com%2Fwos%2Fwoscc%2Ffull-record%2FWOS:000359666100079","View Full Record in Web of Science")</f>
        <v>View Full Record in Web of Science</v>
      </c>
    </row>
    <row r="463" spans="1:72" x14ac:dyDescent="0.15">
      <c r="A463" t="s">
        <v>72</v>
      </c>
      <c r="B463" t="s">
        <v>9276</v>
      </c>
      <c r="C463" t="s">
        <v>74</v>
      </c>
      <c r="D463" t="s">
        <v>74</v>
      </c>
      <c r="E463" t="s">
        <v>74</v>
      </c>
      <c r="F463" t="s">
        <v>9277</v>
      </c>
      <c r="G463" t="s">
        <v>74</v>
      </c>
      <c r="H463" t="s">
        <v>74</v>
      </c>
      <c r="I463" t="s">
        <v>9278</v>
      </c>
      <c r="J463" t="s">
        <v>1218</v>
      </c>
      <c r="K463" t="s">
        <v>74</v>
      </c>
      <c r="L463" t="s">
        <v>74</v>
      </c>
      <c r="M463" t="s">
        <v>78</v>
      </c>
      <c r="N463" t="s">
        <v>79</v>
      </c>
      <c r="O463" t="s">
        <v>74</v>
      </c>
      <c r="P463" t="s">
        <v>74</v>
      </c>
      <c r="Q463" t="s">
        <v>74</v>
      </c>
      <c r="R463" t="s">
        <v>74</v>
      </c>
      <c r="S463" t="s">
        <v>74</v>
      </c>
      <c r="T463" t="s">
        <v>9279</v>
      </c>
      <c r="U463" t="s">
        <v>9280</v>
      </c>
      <c r="V463" t="s">
        <v>9281</v>
      </c>
      <c r="W463" t="s">
        <v>9282</v>
      </c>
      <c r="X463" t="s">
        <v>9283</v>
      </c>
      <c r="Y463" t="s">
        <v>9284</v>
      </c>
      <c r="Z463" t="s">
        <v>9285</v>
      </c>
      <c r="AA463" t="s">
        <v>74</v>
      </c>
      <c r="AB463" t="s">
        <v>74</v>
      </c>
      <c r="AC463" t="s">
        <v>9286</v>
      </c>
      <c r="AD463" t="s">
        <v>9287</v>
      </c>
      <c r="AE463" t="s">
        <v>9288</v>
      </c>
      <c r="AF463" t="s">
        <v>74</v>
      </c>
      <c r="AG463">
        <v>59</v>
      </c>
      <c r="AH463">
        <v>126</v>
      </c>
      <c r="AI463">
        <v>133</v>
      </c>
      <c r="AJ463">
        <v>1</v>
      </c>
      <c r="AK463">
        <v>61</v>
      </c>
      <c r="AL463" t="s">
        <v>306</v>
      </c>
      <c r="AM463" t="s">
        <v>307</v>
      </c>
      <c r="AN463" t="s">
        <v>308</v>
      </c>
      <c r="AO463" t="s">
        <v>1229</v>
      </c>
      <c r="AP463" t="s">
        <v>1230</v>
      </c>
      <c r="AQ463" t="s">
        <v>74</v>
      </c>
      <c r="AR463" t="s">
        <v>1231</v>
      </c>
      <c r="AS463" t="s">
        <v>1232</v>
      </c>
      <c r="AT463" t="s">
        <v>9289</v>
      </c>
      <c r="AU463">
        <v>2015</v>
      </c>
      <c r="AV463">
        <v>120</v>
      </c>
      <c r="AW463">
        <v>15</v>
      </c>
      <c r="AX463" t="s">
        <v>74</v>
      </c>
      <c r="AY463" t="s">
        <v>74</v>
      </c>
      <c r="AZ463" t="s">
        <v>74</v>
      </c>
      <c r="BA463" t="s">
        <v>74</v>
      </c>
      <c r="BB463">
        <v>7958</v>
      </c>
      <c r="BC463">
        <v>7974</v>
      </c>
      <c r="BD463" t="s">
        <v>74</v>
      </c>
      <c r="BE463" t="s">
        <v>9290</v>
      </c>
      <c r="BF463" t="str">
        <f>HYPERLINK("http://dx.doi.org/10.1002/2015JD023365","http://dx.doi.org/10.1002/2015JD023365")</f>
        <v>http://dx.doi.org/10.1002/2015JD023365</v>
      </c>
      <c r="BG463" t="s">
        <v>74</v>
      </c>
      <c r="BH463" t="s">
        <v>74</v>
      </c>
      <c r="BI463">
        <v>17</v>
      </c>
      <c r="BJ463" t="s">
        <v>271</v>
      </c>
      <c r="BK463" t="s">
        <v>101</v>
      </c>
      <c r="BL463" t="s">
        <v>271</v>
      </c>
      <c r="BM463" t="s">
        <v>9291</v>
      </c>
      <c r="BN463" t="s">
        <v>74</v>
      </c>
      <c r="BO463" t="s">
        <v>4189</v>
      </c>
      <c r="BP463" t="s">
        <v>74</v>
      </c>
      <c r="BQ463" t="s">
        <v>74</v>
      </c>
      <c r="BR463" t="s">
        <v>103</v>
      </c>
      <c r="BS463" t="s">
        <v>9292</v>
      </c>
      <c r="BT463" t="str">
        <f>HYPERLINK("https%3A%2F%2Fwww.webofscience.com%2Fwos%2Fwoscc%2Ffull-record%2FWOS:000360501900038","View Full Record in Web of Science")</f>
        <v>View Full Record in Web of Science</v>
      </c>
    </row>
    <row r="464" spans="1:72" x14ac:dyDescent="0.15">
      <c r="A464" t="s">
        <v>72</v>
      </c>
      <c r="B464" t="s">
        <v>9293</v>
      </c>
      <c r="C464" t="s">
        <v>74</v>
      </c>
      <c r="D464" t="s">
        <v>74</v>
      </c>
      <c r="E464" t="s">
        <v>74</v>
      </c>
      <c r="F464" t="s">
        <v>9294</v>
      </c>
      <c r="G464" t="s">
        <v>74</v>
      </c>
      <c r="H464" t="s">
        <v>74</v>
      </c>
      <c r="I464" t="s">
        <v>9295</v>
      </c>
      <c r="J464" t="s">
        <v>1585</v>
      </c>
      <c r="K464" t="s">
        <v>74</v>
      </c>
      <c r="L464" t="s">
        <v>74</v>
      </c>
      <c r="M464" t="s">
        <v>78</v>
      </c>
      <c r="N464" t="s">
        <v>79</v>
      </c>
      <c r="O464" t="s">
        <v>74</v>
      </c>
      <c r="P464" t="s">
        <v>74</v>
      </c>
      <c r="Q464" t="s">
        <v>74</v>
      </c>
      <c r="R464" t="s">
        <v>74</v>
      </c>
      <c r="S464" t="s">
        <v>74</v>
      </c>
      <c r="T464" t="s">
        <v>9296</v>
      </c>
      <c r="U464" t="s">
        <v>9297</v>
      </c>
      <c r="V464" t="s">
        <v>9298</v>
      </c>
      <c r="W464" t="s">
        <v>9299</v>
      </c>
      <c r="X464" t="s">
        <v>9300</v>
      </c>
      <c r="Y464" t="s">
        <v>9301</v>
      </c>
      <c r="Z464" t="s">
        <v>9302</v>
      </c>
      <c r="AA464" t="s">
        <v>9303</v>
      </c>
      <c r="AB464" t="s">
        <v>9304</v>
      </c>
      <c r="AC464" t="s">
        <v>9305</v>
      </c>
      <c r="AD464" t="s">
        <v>9306</v>
      </c>
      <c r="AE464" t="s">
        <v>9307</v>
      </c>
      <c r="AF464" t="s">
        <v>74</v>
      </c>
      <c r="AG464">
        <v>90</v>
      </c>
      <c r="AH464">
        <v>34</v>
      </c>
      <c r="AI464">
        <v>36</v>
      </c>
      <c r="AJ464">
        <v>2</v>
      </c>
      <c r="AK464">
        <v>34</v>
      </c>
      <c r="AL464" t="s">
        <v>397</v>
      </c>
      <c r="AM464" t="s">
        <v>398</v>
      </c>
      <c r="AN464" t="s">
        <v>399</v>
      </c>
      <c r="AO464" t="s">
        <v>1598</v>
      </c>
      <c r="AP464" t="s">
        <v>1599</v>
      </c>
      <c r="AQ464" t="s">
        <v>74</v>
      </c>
      <c r="AR464" t="s">
        <v>1600</v>
      </c>
      <c r="AS464" t="s">
        <v>1601</v>
      </c>
      <c r="AT464" t="s">
        <v>9308</v>
      </c>
      <c r="AU464">
        <v>2015</v>
      </c>
      <c r="AV464">
        <v>97</v>
      </c>
      <c r="AW464" t="s">
        <v>1603</v>
      </c>
      <c r="AX464" t="s">
        <v>74</v>
      </c>
      <c r="AY464" t="s">
        <v>74</v>
      </c>
      <c r="AZ464" t="s">
        <v>74</v>
      </c>
      <c r="BA464" t="s">
        <v>74</v>
      </c>
      <c r="BB464">
        <v>408</v>
      </c>
      <c r="BC464">
        <v>418</v>
      </c>
      <c r="BD464" t="s">
        <v>74</v>
      </c>
      <c r="BE464" t="s">
        <v>9309</v>
      </c>
      <c r="BF464" t="str">
        <f>HYPERLINK("http://dx.doi.org/10.1016/j.marpolbul.2015.05.059","http://dx.doi.org/10.1016/j.marpolbul.2015.05.059")</f>
        <v>http://dx.doi.org/10.1016/j.marpolbul.2015.05.059</v>
      </c>
      <c r="BG464" t="s">
        <v>74</v>
      </c>
      <c r="BH464" t="s">
        <v>74</v>
      </c>
      <c r="BI464">
        <v>11</v>
      </c>
      <c r="BJ464" t="s">
        <v>1605</v>
      </c>
      <c r="BK464" t="s">
        <v>101</v>
      </c>
      <c r="BL464" t="s">
        <v>990</v>
      </c>
      <c r="BM464" t="s">
        <v>9310</v>
      </c>
      <c r="BN464">
        <v>26072048</v>
      </c>
      <c r="BO464" t="s">
        <v>1213</v>
      </c>
      <c r="BP464" t="s">
        <v>74</v>
      </c>
      <c r="BQ464" t="s">
        <v>74</v>
      </c>
      <c r="BR464" t="s">
        <v>103</v>
      </c>
      <c r="BS464" t="s">
        <v>9311</v>
      </c>
      <c r="BT464" t="str">
        <f>HYPERLINK("https%3A%2F%2Fwww.webofscience.com%2Fwos%2Fwoscc%2Ffull-record%2FWOS:000360417800053","View Full Record in Web of Science")</f>
        <v>View Full Record in Web of Science</v>
      </c>
    </row>
    <row r="465" spans="1:72" x14ac:dyDescent="0.15">
      <c r="A465" t="s">
        <v>72</v>
      </c>
      <c r="B465" t="s">
        <v>9312</v>
      </c>
      <c r="C465" t="s">
        <v>74</v>
      </c>
      <c r="D465" t="s">
        <v>74</v>
      </c>
      <c r="E465" t="s">
        <v>74</v>
      </c>
      <c r="F465" t="s">
        <v>9313</v>
      </c>
      <c r="G465" t="s">
        <v>74</v>
      </c>
      <c r="H465" t="s">
        <v>74</v>
      </c>
      <c r="I465" t="s">
        <v>9314</v>
      </c>
      <c r="J465" t="s">
        <v>1585</v>
      </c>
      <c r="K465" t="s">
        <v>74</v>
      </c>
      <c r="L465" t="s">
        <v>74</v>
      </c>
      <c r="M465" t="s">
        <v>78</v>
      </c>
      <c r="N465" t="s">
        <v>79</v>
      </c>
      <c r="O465" t="s">
        <v>74</v>
      </c>
      <c r="P465" t="s">
        <v>74</v>
      </c>
      <c r="Q465" t="s">
        <v>74</v>
      </c>
      <c r="R465" t="s">
        <v>74</v>
      </c>
      <c r="S465" t="s">
        <v>74</v>
      </c>
      <c r="T465" t="s">
        <v>9315</v>
      </c>
      <c r="U465" t="s">
        <v>9316</v>
      </c>
      <c r="V465" t="s">
        <v>9317</v>
      </c>
      <c r="W465" t="s">
        <v>9318</v>
      </c>
      <c r="X465" t="s">
        <v>9319</v>
      </c>
      <c r="Y465" t="s">
        <v>9320</v>
      </c>
      <c r="Z465" t="s">
        <v>9321</v>
      </c>
      <c r="AA465" t="s">
        <v>9322</v>
      </c>
      <c r="AB465" t="s">
        <v>9323</v>
      </c>
      <c r="AC465" t="s">
        <v>9324</v>
      </c>
      <c r="AD465" t="s">
        <v>9325</v>
      </c>
      <c r="AE465" t="s">
        <v>9326</v>
      </c>
      <c r="AF465" t="s">
        <v>74</v>
      </c>
      <c r="AG465">
        <v>43</v>
      </c>
      <c r="AH465">
        <v>8</v>
      </c>
      <c r="AI465">
        <v>9</v>
      </c>
      <c r="AJ465">
        <v>1</v>
      </c>
      <c r="AK465">
        <v>16</v>
      </c>
      <c r="AL465" t="s">
        <v>397</v>
      </c>
      <c r="AM465" t="s">
        <v>398</v>
      </c>
      <c r="AN465" t="s">
        <v>399</v>
      </c>
      <c r="AO465" t="s">
        <v>1598</v>
      </c>
      <c r="AP465" t="s">
        <v>1599</v>
      </c>
      <c r="AQ465" t="s">
        <v>74</v>
      </c>
      <c r="AR465" t="s">
        <v>1600</v>
      </c>
      <c r="AS465" t="s">
        <v>1601</v>
      </c>
      <c r="AT465" t="s">
        <v>9308</v>
      </c>
      <c r="AU465">
        <v>2015</v>
      </c>
      <c r="AV465">
        <v>97</v>
      </c>
      <c r="AW465" t="s">
        <v>1603</v>
      </c>
      <c r="AX465" t="s">
        <v>74</v>
      </c>
      <c r="AY465" t="s">
        <v>74</v>
      </c>
      <c r="AZ465" t="s">
        <v>74</v>
      </c>
      <c r="BA465" t="s">
        <v>74</v>
      </c>
      <c r="BB465">
        <v>451</v>
      </c>
      <c r="BC465">
        <v>459</v>
      </c>
      <c r="BD465" t="s">
        <v>74</v>
      </c>
      <c r="BE465" t="s">
        <v>9327</v>
      </c>
      <c r="BF465" t="str">
        <f>HYPERLINK("http://dx.doi.org/10.1016/j.marpolbul.2015.05.048","http://dx.doi.org/10.1016/j.marpolbul.2015.05.048")</f>
        <v>http://dx.doi.org/10.1016/j.marpolbul.2015.05.048</v>
      </c>
      <c r="BG465" t="s">
        <v>74</v>
      </c>
      <c r="BH465" t="s">
        <v>74</v>
      </c>
      <c r="BI465">
        <v>9</v>
      </c>
      <c r="BJ465" t="s">
        <v>1605</v>
      </c>
      <c r="BK465" t="s">
        <v>101</v>
      </c>
      <c r="BL465" t="s">
        <v>990</v>
      </c>
      <c r="BM465" t="s">
        <v>9310</v>
      </c>
      <c r="BN465">
        <v>26077159</v>
      </c>
      <c r="BO465" t="s">
        <v>74</v>
      </c>
      <c r="BP465" t="s">
        <v>74</v>
      </c>
      <c r="BQ465" t="s">
        <v>74</v>
      </c>
      <c r="BR465" t="s">
        <v>103</v>
      </c>
      <c r="BS465" t="s">
        <v>9328</v>
      </c>
      <c r="BT465" t="str">
        <f>HYPERLINK("https%3A%2F%2Fwww.webofscience.com%2Fwos%2Fwoscc%2Ffull-record%2FWOS:000360417800057","View Full Record in Web of Science")</f>
        <v>View Full Record in Web of Science</v>
      </c>
    </row>
    <row r="466" spans="1:72" x14ac:dyDescent="0.15">
      <c r="A466" t="s">
        <v>72</v>
      </c>
      <c r="B466" t="s">
        <v>9329</v>
      </c>
      <c r="C466" t="s">
        <v>74</v>
      </c>
      <c r="D466" t="s">
        <v>74</v>
      </c>
      <c r="E466" t="s">
        <v>74</v>
      </c>
      <c r="F466" t="s">
        <v>9330</v>
      </c>
      <c r="G466" t="s">
        <v>74</v>
      </c>
      <c r="H466" t="s">
        <v>74</v>
      </c>
      <c r="I466" t="s">
        <v>9331</v>
      </c>
      <c r="J466" t="s">
        <v>1665</v>
      </c>
      <c r="K466" t="s">
        <v>74</v>
      </c>
      <c r="L466" t="s">
        <v>74</v>
      </c>
      <c r="M466" t="s">
        <v>78</v>
      </c>
      <c r="N466" t="s">
        <v>79</v>
      </c>
      <c r="O466" t="s">
        <v>74</v>
      </c>
      <c r="P466" t="s">
        <v>74</v>
      </c>
      <c r="Q466" t="s">
        <v>74</v>
      </c>
      <c r="R466" t="s">
        <v>74</v>
      </c>
      <c r="S466" t="s">
        <v>74</v>
      </c>
      <c r="T466" t="s">
        <v>9332</v>
      </c>
      <c r="U466" t="s">
        <v>9333</v>
      </c>
      <c r="V466" t="s">
        <v>9334</v>
      </c>
      <c r="W466" t="s">
        <v>9335</v>
      </c>
      <c r="X466" t="s">
        <v>9336</v>
      </c>
      <c r="Y466" t="s">
        <v>9337</v>
      </c>
      <c r="Z466" t="s">
        <v>9338</v>
      </c>
      <c r="AA466" t="s">
        <v>9339</v>
      </c>
      <c r="AB466" t="s">
        <v>9340</v>
      </c>
      <c r="AC466" t="s">
        <v>9341</v>
      </c>
      <c r="AD466" t="s">
        <v>9342</v>
      </c>
      <c r="AE466" t="s">
        <v>9343</v>
      </c>
      <c r="AF466" t="s">
        <v>74</v>
      </c>
      <c r="AG466">
        <v>51</v>
      </c>
      <c r="AH466">
        <v>3</v>
      </c>
      <c r="AI466">
        <v>3</v>
      </c>
      <c r="AJ466">
        <v>0</v>
      </c>
      <c r="AK466">
        <v>23</v>
      </c>
      <c r="AL466" t="s">
        <v>496</v>
      </c>
      <c r="AM466" t="s">
        <v>398</v>
      </c>
      <c r="AN466" t="s">
        <v>497</v>
      </c>
      <c r="AO466" t="s">
        <v>1678</v>
      </c>
      <c r="AP466" t="s">
        <v>1679</v>
      </c>
      <c r="AQ466" t="s">
        <v>74</v>
      </c>
      <c r="AR466" t="s">
        <v>1680</v>
      </c>
      <c r="AS466" t="s">
        <v>1681</v>
      </c>
      <c r="AT466" t="s">
        <v>9308</v>
      </c>
      <c r="AU466">
        <v>2015</v>
      </c>
      <c r="AV466">
        <v>56</v>
      </c>
      <c r="AW466">
        <v>4</v>
      </c>
      <c r="AX466" t="s">
        <v>74</v>
      </c>
      <c r="AY466" t="s">
        <v>74</v>
      </c>
      <c r="AZ466" t="s">
        <v>74</v>
      </c>
      <c r="BA466" t="s">
        <v>74</v>
      </c>
      <c r="BB466">
        <v>619</v>
      </c>
      <c r="BC466">
        <v>633</v>
      </c>
      <c r="BD466" t="s">
        <v>74</v>
      </c>
      <c r="BE466" t="s">
        <v>9344</v>
      </c>
      <c r="BF466" t="str">
        <f>HYPERLINK("http://dx.doi.org/10.1016/j.asr.2015.05.007","http://dx.doi.org/10.1016/j.asr.2015.05.007")</f>
        <v>http://dx.doi.org/10.1016/j.asr.2015.05.007</v>
      </c>
      <c r="BG466" t="s">
        <v>74</v>
      </c>
      <c r="BH466" t="s">
        <v>74</v>
      </c>
      <c r="BI466">
        <v>15</v>
      </c>
      <c r="BJ466" t="s">
        <v>1683</v>
      </c>
      <c r="BK466" t="s">
        <v>101</v>
      </c>
      <c r="BL466" t="s">
        <v>1684</v>
      </c>
      <c r="BM466" t="s">
        <v>9345</v>
      </c>
      <c r="BN466" t="s">
        <v>74</v>
      </c>
      <c r="BO466" t="s">
        <v>1213</v>
      </c>
      <c r="BP466" t="s">
        <v>74</v>
      </c>
      <c r="BQ466" t="s">
        <v>74</v>
      </c>
      <c r="BR466" t="s">
        <v>103</v>
      </c>
      <c r="BS466" t="s">
        <v>9346</v>
      </c>
      <c r="BT466" t="str">
        <f>HYPERLINK("https%3A%2F%2Fwww.webofscience.com%2Fwos%2Fwoscc%2Ffull-record%2FWOS:000358270400004","View Full Record in Web of Science")</f>
        <v>View Full Record in Web of Science</v>
      </c>
    </row>
    <row r="467" spans="1:72" x14ac:dyDescent="0.15">
      <c r="A467" t="s">
        <v>72</v>
      </c>
      <c r="B467" t="s">
        <v>9347</v>
      </c>
      <c r="C467" t="s">
        <v>74</v>
      </c>
      <c r="D467" t="s">
        <v>74</v>
      </c>
      <c r="E467" t="s">
        <v>74</v>
      </c>
      <c r="F467" t="s">
        <v>9348</v>
      </c>
      <c r="G467" t="s">
        <v>74</v>
      </c>
      <c r="H467" t="s">
        <v>74</v>
      </c>
      <c r="I467" t="s">
        <v>9349</v>
      </c>
      <c r="J467" t="s">
        <v>1690</v>
      </c>
      <c r="K467" t="s">
        <v>74</v>
      </c>
      <c r="L467" t="s">
        <v>74</v>
      </c>
      <c r="M467" t="s">
        <v>78</v>
      </c>
      <c r="N467" t="s">
        <v>79</v>
      </c>
      <c r="O467" t="s">
        <v>74</v>
      </c>
      <c r="P467" t="s">
        <v>74</v>
      </c>
      <c r="Q467" t="s">
        <v>74</v>
      </c>
      <c r="R467" t="s">
        <v>74</v>
      </c>
      <c r="S467" t="s">
        <v>74</v>
      </c>
      <c r="T467" t="s">
        <v>9350</v>
      </c>
      <c r="U467" t="s">
        <v>9351</v>
      </c>
      <c r="V467" t="s">
        <v>9352</v>
      </c>
      <c r="W467" t="s">
        <v>9353</v>
      </c>
      <c r="X467" t="s">
        <v>9354</v>
      </c>
      <c r="Y467" t="s">
        <v>9355</v>
      </c>
      <c r="Z467" t="s">
        <v>9356</v>
      </c>
      <c r="AA467" t="s">
        <v>9357</v>
      </c>
      <c r="AB467" t="s">
        <v>9358</v>
      </c>
      <c r="AC467" t="s">
        <v>9359</v>
      </c>
      <c r="AD467" t="s">
        <v>9360</v>
      </c>
      <c r="AE467" t="s">
        <v>9361</v>
      </c>
      <c r="AF467" t="s">
        <v>74</v>
      </c>
      <c r="AG467">
        <v>50</v>
      </c>
      <c r="AH467">
        <v>14</v>
      </c>
      <c r="AI467">
        <v>14</v>
      </c>
      <c r="AJ467">
        <v>3</v>
      </c>
      <c r="AK467">
        <v>19</v>
      </c>
      <c r="AL467" t="s">
        <v>883</v>
      </c>
      <c r="AM467" t="s">
        <v>884</v>
      </c>
      <c r="AN467" t="s">
        <v>885</v>
      </c>
      <c r="AO467" t="s">
        <v>1702</v>
      </c>
      <c r="AP467" t="s">
        <v>1703</v>
      </c>
      <c r="AQ467" t="s">
        <v>74</v>
      </c>
      <c r="AR467" t="s">
        <v>1704</v>
      </c>
      <c r="AS467" t="s">
        <v>1705</v>
      </c>
      <c r="AT467" t="s">
        <v>9308</v>
      </c>
      <c r="AU467">
        <v>2015</v>
      </c>
      <c r="AV467">
        <v>424</v>
      </c>
      <c r="AW467" t="s">
        <v>74</v>
      </c>
      <c r="AX467" t="s">
        <v>74</v>
      </c>
      <c r="AY467" t="s">
        <v>74</v>
      </c>
      <c r="AZ467" t="s">
        <v>74</v>
      </c>
      <c r="BA467" t="s">
        <v>74</v>
      </c>
      <c r="BB467">
        <v>59</v>
      </c>
      <c r="BC467">
        <v>68</v>
      </c>
      <c r="BD467" t="s">
        <v>74</v>
      </c>
      <c r="BE467" t="s">
        <v>9362</v>
      </c>
      <c r="BF467" t="str">
        <f>HYPERLINK("http://dx.doi.org/10.1016/j.epsl.2015.05.008","http://dx.doi.org/10.1016/j.epsl.2015.05.008")</f>
        <v>http://dx.doi.org/10.1016/j.epsl.2015.05.008</v>
      </c>
      <c r="BG467" t="s">
        <v>74</v>
      </c>
      <c r="BH467" t="s">
        <v>74</v>
      </c>
      <c r="BI467">
        <v>10</v>
      </c>
      <c r="BJ467" t="s">
        <v>1707</v>
      </c>
      <c r="BK467" t="s">
        <v>101</v>
      </c>
      <c r="BL467" t="s">
        <v>1707</v>
      </c>
      <c r="BM467" t="s">
        <v>9363</v>
      </c>
      <c r="BN467" t="s">
        <v>74</v>
      </c>
      <c r="BO467" t="s">
        <v>74</v>
      </c>
      <c r="BP467" t="s">
        <v>74</v>
      </c>
      <c r="BQ467" t="s">
        <v>74</v>
      </c>
      <c r="BR467" t="s">
        <v>103</v>
      </c>
      <c r="BS467" t="s">
        <v>9364</v>
      </c>
      <c r="BT467" t="str">
        <f>HYPERLINK("https%3A%2F%2Fwww.webofscience.com%2Fwos%2Fwoscc%2Ffull-record%2FWOS:000357223300006","View Full Record in Web of Science")</f>
        <v>View Full Record in Web of Science</v>
      </c>
    </row>
    <row r="468" spans="1:72" x14ac:dyDescent="0.15">
      <c r="A468" t="s">
        <v>72</v>
      </c>
      <c r="B468" t="s">
        <v>9365</v>
      </c>
      <c r="C468" t="s">
        <v>74</v>
      </c>
      <c r="D468" t="s">
        <v>74</v>
      </c>
      <c r="E468" t="s">
        <v>74</v>
      </c>
      <c r="F468" t="s">
        <v>9366</v>
      </c>
      <c r="G468" t="s">
        <v>74</v>
      </c>
      <c r="H468" t="s">
        <v>74</v>
      </c>
      <c r="I468" t="s">
        <v>9367</v>
      </c>
      <c r="J468" t="s">
        <v>1690</v>
      </c>
      <c r="K468" t="s">
        <v>74</v>
      </c>
      <c r="L468" t="s">
        <v>74</v>
      </c>
      <c r="M468" t="s">
        <v>78</v>
      </c>
      <c r="N468" t="s">
        <v>79</v>
      </c>
      <c r="O468" t="s">
        <v>74</v>
      </c>
      <c r="P468" t="s">
        <v>74</v>
      </c>
      <c r="Q468" t="s">
        <v>74</v>
      </c>
      <c r="R468" t="s">
        <v>74</v>
      </c>
      <c r="S468" t="s">
        <v>74</v>
      </c>
      <c r="T468" t="s">
        <v>9368</v>
      </c>
      <c r="U468" t="s">
        <v>9369</v>
      </c>
      <c r="V468" t="s">
        <v>9370</v>
      </c>
      <c r="W468" t="s">
        <v>9371</v>
      </c>
      <c r="X468" t="s">
        <v>9372</v>
      </c>
      <c r="Y468" t="s">
        <v>9373</v>
      </c>
      <c r="Z468" t="s">
        <v>9374</v>
      </c>
      <c r="AA468" t="s">
        <v>9375</v>
      </c>
      <c r="AB468" t="s">
        <v>9376</v>
      </c>
      <c r="AC468" t="s">
        <v>9377</v>
      </c>
      <c r="AD468" t="s">
        <v>9378</v>
      </c>
      <c r="AE468" t="s">
        <v>9379</v>
      </c>
      <c r="AF468" t="s">
        <v>74</v>
      </c>
      <c r="AG468">
        <v>54</v>
      </c>
      <c r="AH468">
        <v>31</v>
      </c>
      <c r="AI468">
        <v>35</v>
      </c>
      <c r="AJ468">
        <v>1</v>
      </c>
      <c r="AK468">
        <v>52</v>
      </c>
      <c r="AL468" t="s">
        <v>925</v>
      </c>
      <c r="AM468" t="s">
        <v>884</v>
      </c>
      <c r="AN468" t="s">
        <v>926</v>
      </c>
      <c r="AO468" t="s">
        <v>1702</v>
      </c>
      <c r="AP468" t="s">
        <v>1703</v>
      </c>
      <c r="AQ468" t="s">
        <v>74</v>
      </c>
      <c r="AR468" t="s">
        <v>1704</v>
      </c>
      <c r="AS468" t="s">
        <v>1705</v>
      </c>
      <c r="AT468" t="s">
        <v>9308</v>
      </c>
      <c r="AU468">
        <v>2015</v>
      </c>
      <c r="AV468">
        <v>424</v>
      </c>
      <c r="AW468" t="s">
        <v>74</v>
      </c>
      <c r="AX468" t="s">
        <v>74</v>
      </c>
      <c r="AY468" t="s">
        <v>74</v>
      </c>
      <c r="AZ468" t="s">
        <v>74</v>
      </c>
      <c r="BA468" t="s">
        <v>74</v>
      </c>
      <c r="BB468">
        <v>237</v>
      </c>
      <c r="BC468">
        <v>244</v>
      </c>
      <c r="BD468" t="s">
        <v>74</v>
      </c>
      <c r="BE468" t="s">
        <v>9380</v>
      </c>
      <c r="BF468" t="str">
        <f>HYPERLINK("http://dx.doi.org/10.1016/j.epsl.2015.05.032","http://dx.doi.org/10.1016/j.epsl.2015.05.032")</f>
        <v>http://dx.doi.org/10.1016/j.epsl.2015.05.032</v>
      </c>
      <c r="BG468" t="s">
        <v>74</v>
      </c>
      <c r="BH468" t="s">
        <v>74</v>
      </c>
      <c r="BI468">
        <v>8</v>
      </c>
      <c r="BJ468" t="s">
        <v>1707</v>
      </c>
      <c r="BK468" t="s">
        <v>101</v>
      </c>
      <c r="BL468" t="s">
        <v>1707</v>
      </c>
      <c r="BM468" t="s">
        <v>9363</v>
      </c>
      <c r="BN468" t="s">
        <v>74</v>
      </c>
      <c r="BO468" t="s">
        <v>1509</v>
      </c>
      <c r="BP468" t="s">
        <v>74</v>
      </c>
      <c r="BQ468" t="s">
        <v>74</v>
      </c>
      <c r="BR468" t="s">
        <v>103</v>
      </c>
      <c r="BS468" t="s">
        <v>9381</v>
      </c>
      <c r="BT468" t="str">
        <f>HYPERLINK("https%3A%2F%2Fwww.webofscience.com%2Fwos%2Fwoscc%2Ffull-record%2FWOS:000357223300022","View Full Record in Web of Science")</f>
        <v>View Full Record in Web of Science</v>
      </c>
    </row>
    <row r="469" spans="1:72" x14ac:dyDescent="0.15">
      <c r="A469" t="s">
        <v>72</v>
      </c>
      <c r="B469" t="s">
        <v>9382</v>
      </c>
      <c r="C469" t="s">
        <v>74</v>
      </c>
      <c r="D469" t="s">
        <v>74</v>
      </c>
      <c r="E469" t="s">
        <v>74</v>
      </c>
      <c r="F469" t="s">
        <v>9383</v>
      </c>
      <c r="G469" t="s">
        <v>74</v>
      </c>
      <c r="H469" t="s">
        <v>74</v>
      </c>
      <c r="I469" t="s">
        <v>9384</v>
      </c>
      <c r="J469" t="s">
        <v>1585</v>
      </c>
      <c r="K469" t="s">
        <v>74</v>
      </c>
      <c r="L469" t="s">
        <v>74</v>
      </c>
      <c r="M469" t="s">
        <v>78</v>
      </c>
      <c r="N469" t="s">
        <v>79</v>
      </c>
      <c r="O469" t="s">
        <v>74</v>
      </c>
      <c r="P469" t="s">
        <v>74</v>
      </c>
      <c r="Q469" t="s">
        <v>74</v>
      </c>
      <c r="R469" t="s">
        <v>74</v>
      </c>
      <c r="S469" t="s">
        <v>74</v>
      </c>
      <c r="T469" t="s">
        <v>9385</v>
      </c>
      <c r="U469" t="s">
        <v>9386</v>
      </c>
      <c r="V469" t="s">
        <v>9387</v>
      </c>
      <c r="W469" t="s">
        <v>9388</v>
      </c>
      <c r="X469" t="s">
        <v>9389</v>
      </c>
      <c r="Y469" t="s">
        <v>9390</v>
      </c>
      <c r="Z469" t="s">
        <v>9391</v>
      </c>
      <c r="AA469" t="s">
        <v>9392</v>
      </c>
      <c r="AB469" t="s">
        <v>9393</v>
      </c>
      <c r="AC469" t="s">
        <v>9394</v>
      </c>
      <c r="AD469" t="s">
        <v>9395</v>
      </c>
      <c r="AE469" t="s">
        <v>9396</v>
      </c>
      <c r="AF469" t="s">
        <v>74</v>
      </c>
      <c r="AG469">
        <v>17</v>
      </c>
      <c r="AH469">
        <v>55</v>
      </c>
      <c r="AI469">
        <v>56</v>
      </c>
      <c r="AJ469">
        <v>6</v>
      </c>
      <c r="AK469">
        <v>57</v>
      </c>
      <c r="AL469" t="s">
        <v>397</v>
      </c>
      <c r="AM469" t="s">
        <v>398</v>
      </c>
      <c r="AN469" t="s">
        <v>399</v>
      </c>
      <c r="AO469" t="s">
        <v>1598</v>
      </c>
      <c r="AP469" t="s">
        <v>1599</v>
      </c>
      <c r="AQ469" t="s">
        <v>74</v>
      </c>
      <c r="AR469" t="s">
        <v>1600</v>
      </c>
      <c r="AS469" t="s">
        <v>1601</v>
      </c>
      <c r="AT469" t="s">
        <v>9308</v>
      </c>
      <c r="AU469">
        <v>2015</v>
      </c>
      <c r="AV469">
        <v>97</v>
      </c>
      <c r="AW469" t="s">
        <v>1603</v>
      </c>
      <c r="AX469" t="s">
        <v>74</v>
      </c>
      <c r="AY469" t="s">
        <v>74</v>
      </c>
      <c r="AZ469" t="s">
        <v>74</v>
      </c>
      <c r="BA469" t="s">
        <v>74</v>
      </c>
      <c r="BB469">
        <v>523</v>
      </c>
      <c r="BC469">
        <v>527</v>
      </c>
      <c r="BD469" t="s">
        <v>74</v>
      </c>
      <c r="BE469" t="s">
        <v>9397</v>
      </c>
      <c r="BF469" t="str">
        <f>HYPERLINK("http://dx.doi.org/10.1016/j.marpolbul.2015.05.018","http://dx.doi.org/10.1016/j.marpolbul.2015.05.018")</f>
        <v>http://dx.doi.org/10.1016/j.marpolbul.2015.05.018</v>
      </c>
      <c r="BG469" t="s">
        <v>74</v>
      </c>
      <c r="BH469" t="s">
        <v>74</v>
      </c>
      <c r="BI469">
        <v>5</v>
      </c>
      <c r="BJ469" t="s">
        <v>1605</v>
      </c>
      <c r="BK469" t="s">
        <v>101</v>
      </c>
      <c r="BL469" t="s">
        <v>990</v>
      </c>
      <c r="BM469" t="s">
        <v>9310</v>
      </c>
      <c r="BN469">
        <v>25982820</v>
      </c>
      <c r="BO469" t="s">
        <v>74</v>
      </c>
      <c r="BP469" t="s">
        <v>74</v>
      </c>
      <c r="BQ469" t="s">
        <v>74</v>
      </c>
      <c r="BR469" t="s">
        <v>103</v>
      </c>
      <c r="BS469" t="s">
        <v>9398</v>
      </c>
      <c r="BT469" t="str">
        <f>HYPERLINK("https%3A%2F%2Fwww.webofscience.com%2Fwos%2Fwoscc%2Ffull-record%2FWOS:000360417800066","View Full Record in Web of Science")</f>
        <v>View Full Record in Web of Science</v>
      </c>
    </row>
    <row r="470" spans="1:72" x14ac:dyDescent="0.15">
      <c r="A470" t="s">
        <v>72</v>
      </c>
      <c r="B470" t="s">
        <v>9399</v>
      </c>
      <c r="C470" t="s">
        <v>74</v>
      </c>
      <c r="D470" t="s">
        <v>74</v>
      </c>
      <c r="E470" t="s">
        <v>74</v>
      </c>
      <c r="F470" t="s">
        <v>9400</v>
      </c>
      <c r="G470" t="s">
        <v>74</v>
      </c>
      <c r="H470" t="s">
        <v>74</v>
      </c>
      <c r="I470" t="s">
        <v>9401</v>
      </c>
      <c r="J470" t="s">
        <v>1761</v>
      </c>
      <c r="K470" t="s">
        <v>74</v>
      </c>
      <c r="L470" t="s">
        <v>74</v>
      </c>
      <c r="M470" t="s">
        <v>78</v>
      </c>
      <c r="N470" t="s">
        <v>79</v>
      </c>
      <c r="O470" t="s">
        <v>74</v>
      </c>
      <c r="P470" t="s">
        <v>74</v>
      </c>
      <c r="Q470" t="s">
        <v>74</v>
      </c>
      <c r="R470" t="s">
        <v>74</v>
      </c>
      <c r="S470" t="s">
        <v>74</v>
      </c>
      <c r="T470" t="s">
        <v>9402</v>
      </c>
      <c r="U470" t="s">
        <v>9403</v>
      </c>
      <c r="V470" t="s">
        <v>9404</v>
      </c>
      <c r="W470" t="s">
        <v>9405</v>
      </c>
      <c r="X470" t="s">
        <v>9406</v>
      </c>
      <c r="Y470" t="s">
        <v>9407</v>
      </c>
      <c r="Z470" t="s">
        <v>9408</v>
      </c>
      <c r="AA470" t="s">
        <v>9409</v>
      </c>
      <c r="AB470" t="s">
        <v>9410</v>
      </c>
      <c r="AC470" t="s">
        <v>9411</v>
      </c>
      <c r="AD470" t="s">
        <v>9412</v>
      </c>
      <c r="AE470" t="s">
        <v>9413</v>
      </c>
      <c r="AF470" t="s">
        <v>74</v>
      </c>
      <c r="AG470">
        <v>72</v>
      </c>
      <c r="AH470">
        <v>16</v>
      </c>
      <c r="AI470">
        <v>17</v>
      </c>
      <c r="AJ470">
        <v>1</v>
      </c>
      <c r="AK470">
        <v>37</v>
      </c>
      <c r="AL470" t="s">
        <v>397</v>
      </c>
      <c r="AM470" t="s">
        <v>398</v>
      </c>
      <c r="AN470" t="s">
        <v>399</v>
      </c>
      <c r="AO470" t="s">
        <v>1774</v>
      </c>
      <c r="AP470" t="s">
        <v>7583</v>
      </c>
      <c r="AQ470" t="s">
        <v>74</v>
      </c>
      <c r="AR470" t="s">
        <v>1775</v>
      </c>
      <c r="AS470" t="s">
        <v>1776</v>
      </c>
      <c r="AT470" t="s">
        <v>9308</v>
      </c>
      <c r="AU470">
        <v>2015</v>
      </c>
      <c r="AV470">
        <v>122</v>
      </c>
      <c r="AW470" t="s">
        <v>74</v>
      </c>
      <c r="AX470" t="s">
        <v>74</v>
      </c>
      <c r="AY470" t="s">
        <v>74</v>
      </c>
      <c r="AZ470" t="s">
        <v>74</v>
      </c>
      <c r="BA470" t="s">
        <v>74</v>
      </c>
      <c r="BB470">
        <v>142</v>
      </c>
      <c r="BC470">
        <v>157</v>
      </c>
      <c r="BD470" t="s">
        <v>74</v>
      </c>
      <c r="BE470" t="s">
        <v>9414</v>
      </c>
      <c r="BF470" t="str">
        <f>HYPERLINK("http://dx.doi.org/10.1016/j.quascirev.2015.05.010","http://dx.doi.org/10.1016/j.quascirev.2015.05.010")</f>
        <v>http://dx.doi.org/10.1016/j.quascirev.2015.05.010</v>
      </c>
      <c r="BG470" t="s">
        <v>74</v>
      </c>
      <c r="BH470" t="s">
        <v>74</v>
      </c>
      <c r="BI470">
        <v>16</v>
      </c>
      <c r="BJ470" t="s">
        <v>1778</v>
      </c>
      <c r="BK470" t="s">
        <v>101</v>
      </c>
      <c r="BL470" t="s">
        <v>1779</v>
      </c>
      <c r="BM470" t="s">
        <v>9415</v>
      </c>
      <c r="BN470" t="s">
        <v>74</v>
      </c>
      <c r="BO470" t="s">
        <v>1213</v>
      </c>
      <c r="BP470" t="s">
        <v>74</v>
      </c>
      <c r="BQ470" t="s">
        <v>74</v>
      </c>
      <c r="BR470" t="s">
        <v>103</v>
      </c>
      <c r="BS470" t="s">
        <v>9416</v>
      </c>
      <c r="BT470" t="str">
        <f>HYPERLINK("https%3A%2F%2Fwww.webofscience.com%2Fwos%2Fwoscc%2Ffull-record%2FWOS:000358097300009","View Full Record in Web of Science")</f>
        <v>View Full Record in Web of Science</v>
      </c>
    </row>
    <row r="471" spans="1:72" x14ac:dyDescent="0.15">
      <c r="A471" t="s">
        <v>72</v>
      </c>
      <c r="B471" t="s">
        <v>9417</v>
      </c>
      <c r="C471" t="s">
        <v>74</v>
      </c>
      <c r="D471" t="s">
        <v>74</v>
      </c>
      <c r="E471" t="s">
        <v>74</v>
      </c>
      <c r="F471" t="s">
        <v>9418</v>
      </c>
      <c r="G471" t="s">
        <v>74</v>
      </c>
      <c r="H471" t="s">
        <v>74</v>
      </c>
      <c r="I471" t="s">
        <v>9419</v>
      </c>
      <c r="J471" t="s">
        <v>1761</v>
      </c>
      <c r="K471" t="s">
        <v>74</v>
      </c>
      <c r="L471" t="s">
        <v>74</v>
      </c>
      <c r="M471" t="s">
        <v>78</v>
      </c>
      <c r="N471" t="s">
        <v>79</v>
      </c>
      <c r="O471" t="s">
        <v>74</v>
      </c>
      <c r="P471" t="s">
        <v>74</v>
      </c>
      <c r="Q471" t="s">
        <v>74</v>
      </c>
      <c r="R471" t="s">
        <v>74</v>
      </c>
      <c r="S471" t="s">
        <v>74</v>
      </c>
      <c r="T471" t="s">
        <v>9420</v>
      </c>
      <c r="U471" t="s">
        <v>9421</v>
      </c>
      <c r="V471" t="s">
        <v>9422</v>
      </c>
      <c r="W471" t="s">
        <v>9423</v>
      </c>
      <c r="X471" t="s">
        <v>9424</v>
      </c>
      <c r="Y471" t="s">
        <v>9425</v>
      </c>
      <c r="Z471" t="s">
        <v>9426</v>
      </c>
      <c r="AA471" t="s">
        <v>9427</v>
      </c>
      <c r="AB471" t="s">
        <v>9428</v>
      </c>
      <c r="AC471" t="s">
        <v>9429</v>
      </c>
      <c r="AD471" t="s">
        <v>9430</v>
      </c>
      <c r="AE471" t="s">
        <v>9431</v>
      </c>
      <c r="AF471" t="s">
        <v>74</v>
      </c>
      <c r="AG471">
        <v>104</v>
      </c>
      <c r="AH471">
        <v>40</v>
      </c>
      <c r="AI471">
        <v>48</v>
      </c>
      <c r="AJ471">
        <v>0</v>
      </c>
      <c r="AK471">
        <v>75</v>
      </c>
      <c r="AL471" t="s">
        <v>397</v>
      </c>
      <c r="AM471" t="s">
        <v>398</v>
      </c>
      <c r="AN471" t="s">
        <v>399</v>
      </c>
      <c r="AO471" t="s">
        <v>1774</v>
      </c>
      <c r="AP471" t="s">
        <v>74</v>
      </c>
      <c r="AQ471" t="s">
        <v>74</v>
      </c>
      <c r="AR471" t="s">
        <v>1775</v>
      </c>
      <c r="AS471" t="s">
        <v>1776</v>
      </c>
      <c r="AT471" t="s">
        <v>9308</v>
      </c>
      <c r="AU471">
        <v>2015</v>
      </c>
      <c r="AV471">
        <v>122</v>
      </c>
      <c r="AW471" t="s">
        <v>74</v>
      </c>
      <c r="AX471" t="s">
        <v>74</v>
      </c>
      <c r="AY471" t="s">
        <v>74</v>
      </c>
      <c r="AZ471" t="s">
        <v>74</v>
      </c>
      <c r="BA471" t="s">
        <v>74</v>
      </c>
      <c r="BB471">
        <v>180</v>
      </c>
      <c r="BC471">
        <v>191</v>
      </c>
      <c r="BD471" t="s">
        <v>74</v>
      </c>
      <c r="BE471" t="s">
        <v>9432</v>
      </c>
      <c r="BF471" t="str">
        <f>HYPERLINK("http://dx.doi.org/10.1016/j.quascirev.2015.05.007","http://dx.doi.org/10.1016/j.quascirev.2015.05.007")</f>
        <v>http://dx.doi.org/10.1016/j.quascirev.2015.05.007</v>
      </c>
      <c r="BG471" t="s">
        <v>74</v>
      </c>
      <c r="BH471" t="s">
        <v>74</v>
      </c>
      <c r="BI471">
        <v>12</v>
      </c>
      <c r="BJ471" t="s">
        <v>1778</v>
      </c>
      <c r="BK471" t="s">
        <v>101</v>
      </c>
      <c r="BL471" t="s">
        <v>1779</v>
      </c>
      <c r="BM471" t="s">
        <v>9415</v>
      </c>
      <c r="BN471" t="s">
        <v>74</v>
      </c>
      <c r="BO471" t="s">
        <v>1235</v>
      </c>
      <c r="BP471" t="s">
        <v>74</v>
      </c>
      <c r="BQ471" t="s">
        <v>74</v>
      </c>
      <c r="BR471" t="s">
        <v>103</v>
      </c>
      <c r="BS471" t="s">
        <v>9433</v>
      </c>
      <c r="BT471" t="str">
        <f>HYPERLINK("https%3A%2F%2Fwww.webofscience.com%2Fwos%2Fwoscc%2Ffull-record%2FWOS:000358097300012","View Full Record in Web of Science")</f>
        <v>View Full Record in Web of Science</v>
      </c>
    </row>
    <row r="472" spans="1:72" x14ac:dyDescent="0.15">
      <c r="A472" t="s">
        <v>72</v>
      </c>
      <c r="B472" t="s">
        <v>9434</v>
      </c>
      <c r="C472" t="s">
        <v>74</v>
      </c>
      <c r="D472" t="s">
        <v>74</v>
      </c>
      <c r="E472" t="s">
        <v>74</v>
      </c>
      <c r="F472" t="s">
        <v>9435</v>
      </c>
      <c r="G472" t="s">
        <v>74</v>
      </c>
      <c r="H472" t="s">
        <v>74</v>
      </c>
      <c r="I472" t="s">
        <v>9436</v>
      </c>
      <c r="J472" t="s">
        <v>1761</v>
      </c>
      <c r="K472" t="s">
        <v>74</v>
      </c>
      <c r="L472" t="s">
        <v>74</v>
      </c>
      <c r="M472" t="s">
        <v>78</v>
      </c>
      <c r="N472" t="s">
        <v>79</v>
      </c>
      <c r="O472" t="s">
        <v>74</v>
      </c>
      <c r="P472" t="s">
        <v>74</v>
      </c>
      <c r="Q472" t="s">
        <v>74</v>
      </c>
      <c r="R472" t="s">
        <v>74</v>
      </c>
      <c r="S472" t="s">
        <v>74</v>
      </c>
      <c r="T472" t="s">
        <v>9437</v>
      </c>
      <c r="U472" t="s">
        <v>9438</v>
      </c>
      <c r="V472" t="s">
        <v>9439</v>
      </c>
      <c r="W472" t="s">
        <v>9440</v>
      </c>
      <c r="X472" t="s">
        <v>9441</v>
      </c>
      <c r="Y472" t="s">
        <v>9442</v>
      </c>
      <c r="Z472" t="s">
        <v>9443</v>
      </c>
      <c r="AA472" t="s">
        <v>9444</v>
      </c>
      <c r="AB472" t="s">
        <v>9445</v>
      </c>
      <c r="AC472" t="s">
        <v>9446</v>
      </c>
      <c r="AD472" t="s">
        <v>9447</v>
      </c>
      <c r="AE472" t="s">
        <v>9448</v>
      </c>
      <c r="AF472" t="s">
        <v>74</v>
      </c>
      <c r="AG472">
        <v>89</v>
      </c>
      <c r="AH472">
        <v>23</v>
      </c>
      <c r="AI472">
        <v>24</v>
      </c>
      <c r="AJ472">
        <v>0</v>
      </c>
      <c r="AK472">
        <v>20</v>
      </c>
      <c r="AL472" t="s">
        <v>397</v>
      </c>
      <c r="AM472" t="s">
        <v>398</v>
      </c>
      <c r="AN472" t="s">
        <v>399</v>
      </c>
      <c r="AO472" t="s">
        <v>1774</v>
      </c>
      <c r="AP472" t="s">
        <v>74</v>
      </c>
      <c r="AQ472" t="s">
        <v>74</v>
      </c>
      <c r="AR472" t="s">
        <v>1775</v>
      </c>
      <c r="AS472" t="s">
        <v>1776</v>
      </c>
      <c r="AT472" t="s">
        <v>9308</v>
      </c>
      <c r="AU472">
        <v>2015</v>
      </c>
      <c r="AV472">
        <v>122</v>
      </c>
      <c r="AW472" t="s">
        <v>74</v>
      </c>
      <c r="AX472" t="s">
        <v>74</v>
      </c>
      <c r="AY472" t="s">
        <v>74</v>
      </c>
      <c r="AZ472" t="s">
        <v>74</v>
      </c>
      <c r="BA472" t="s">
        <v>74</v>
      </c>
      <c r="BB472">
        <v>282</v>
      </c>
      <c r="BC472">
        <v>292</v>
      </c>
      <c r="BD472" t="s">
        <v>74</v>
      </c>
      <c r="BE472" t="s">
        <v>9449</v>
      </c>
      <c r="BF472" t="str">
        <f>HYPERLINK("http://dx.doi.org/10.1016/j.quascirev.2015.06.006","http://dx.doi.org/10.1016/j.quascirev.2015.06.006")</f>
        <v>http://dx.doi.org/10.1016/j.quascirev.2015.06.006</v>
      </c>
      <c r="BG472" t="s">
        <v>74</v>
      </c>
      <c r="BH472" t="s">
        <v>74</v>
      </c>
      <c r="BI472">
        <v>11</v>
      </c>
      <c r="BJ472" t="s">
        <v>1778</v>
      </c>
      <c r="BK472" t="s">
        <v>101</v>
      </c>
      <c r="BL472" t="s">
        <v>1779</v>
      </c>
      <c r="BM472" t="s">
        <v>9415</v>
      </c>
      <c r="BN472" t="s">
        <v>74</v>
      </c>
      <c r="BO472" t="s">
        <v>74</v>
      </c>
      <c r="BP472" t="s">
        <v>74</v>
      </c>
      <c r="BQ472" t="s">
        <v>74</v>
      </c>
      <c r="BR472" t="s">
        <v>103</v>
      </c>
      <c r="BS472" t="s">
        <v>9450</v>
      </c>
      <c r="BT472" t="str">
        <f>HYPERLINK("https%3A%2F%2Fwww.webofscience.com%2Fwos%2Fwoscc%2Ffull-record%2FWOS:000358097300019","View Full Record in Web of Science")</f>
        <v>View Full Record in Web of Science</v>
      </c>
    </row>
    <row r="473" spans="1:72" x14ac:dyDescent="0.15">
      <c r="A473" t="s">
        <v>72</v>
      </c>
      <c r="B473" t="s">
        <v>9451</v>
      </c>
      <c r="C473" t="s">
        <v>74</v>
      </c>
      <c r="D473" t="s">
        <v>74</v>
      </c>
      <c r="E473" t="s">
        <v>74</v>
      </c>
      <c r="F473" t="s">
        <v>9452</v>
      </c>
      <c r="G473" t="s">
        <v>74</v>
      </c>
      <c r="H473" t="s">
        <v>74</v>
      </c>
      <c r="I473" t="s">
        <v>9453</v>
      </c>
      <c r="J473" t="s">
        <v>9454</v>
      </c>
      <c r="K473" t="s">
        <v>74</v>
      </c>
      <c r="L473" t="s">
        <v>74</v>
      </c>
      <c r="M473" t="s">
        <v>78</v>
      </c>
      <c r="N473" t="s">
        <v>79</v>
      </c>
      <c r="O473" t="s">
        <v>74</v>
      </c>
      <c r="P473" t="s">
        <v>74</v>
      </c>
      <c r="Q473" t="s">
        <v>74</v>
      </c>
      <c r="R473" t="s">
        <v>74</v>
      </c>
      <c r="S473" t="s">
        <v>74</v>
      </c>
      <c r="T473" t="s">
        <v>9455</v>
      </c>
      <c r="U473" t="s">
        <v>9456</v>
      </c>
      <c r="V473" t="s">
        <v>9457</v>
      </c>
      <c r="W473" t="s">
        <v>9458</v>
      </c>
      <c r="X473" t="s">
        <v>9459</v>
      </c>
      <c r="Y473" t="s">
        <v>9460</v>
      </c>
      <c r="Z473" t="s">
        <v>9461</v>
      </c>
      <c r="AA473" t="s">
        <v>9462</v>
      </c>
      <c r="AB473" t="s">
        <v>9463</v>
      </c>
      <c r="AC473" t="s">
        <v>9464</v>
      </c>
      <c r="AD473" t="s">
        <v>9465</v>
      </c>
      <c r="AE473" t="s">
        <v>9466</v>
      </c>
      <c r="AF473" t="s">
        <v>74</v>
      </c>
      <c r="AG473">
        <v>63</v>
      </c>
      <c r="AH473">
        <v>9</v>
      </c>
      <c r="AI473">
        <v>9</v>
      </c>
      <c r="AJ473">
        <v>1</v>
      </c>
      <c r="AK473">
        <v>39</v>
      </c>
      <c r="AL473" t="s">
        <v>1974</v>
      </c>
      <c r="AM473" t="s">
        <v>180</v>
      </c>
      <c r="AN473" t="s">
        <v>1975</v>
      </c>
      <c r="AO473" t="s">
        <v>9467</v>
      </c>
      <c r="AP473" t="s">
        <v>9468</v>
      </c>
      <c r="AQ473" t="s">
        <v>74</v>
      </c>
      <c r="AR473" t="s">
        <v>9469</v>
      </c>
      <c r="AS473" t="s">
        <v>9470</v>
      </c>
      <c r="AT473" t="s">
        <v>9308</v>
      </c>
      <c r="AU473">
        <v>2015</v>
      </c>
      <c r="AV473">
        <v>159</v>
      </c>
      <c r="AW473" t="s">
        <v>74</v>
      </c>
      <c r="AX473" t="s">
        <v>74</v>
      </c>
      <c r="AY473" t="s">
        <v>74</v>
      </c>
      <c r="AZ473" t="s">
        <v>74</v>
      </c>
      <c r="BA473" t="s">
        <v>74</v>
      </c>
      <c r="BB473">
        <v>235</v>
      </c>
      <c r="BC473">
        <v>244</v>
      </c>
      <c r="BD473" t="s">
        <v>74</v>
      </c>
      <c r="BE473" t="s">
        <v>9471</v>
      </c>
      <c r="BF473" t="str">
        <f>HYPERLINK("http://dx.doi.org/10.1016/j.jenvman.2015.04.048","http://dx.doi.org/10.1016/j.jenvman.2015.04.048")</f>
        <v>http://dx.doi.org/10.1016/j.jenvman.2015.04.048</v>
      </c>
      <c r="BG473" t="s">
        <v>74</v>
      </c>
      <c r="BH473" t="s">
        <v>74</v>
      </c>
      <c r="BI473">
        <v>10</v>
      </c>
      <c r="BJ473" t="s">
        <v>3267</v>
      </c>
      <c r="BK473" t="s">
        <v>1482</v>
      </c>
      <c r="BL473" t="s">
        <v>644</v>
      </c>
      <c r="BM473" t="s">
        <v>9472</v>
      </c>
      <c r="BN473">
        <v>26067646</v>
      </c>
      <c r="BO473" t="s">
        <v>74</v>
      </c>
      <c r="BP473" t="s">
        <v>74</v>
      </c>
      <c r="BQ473" t="s">
        <v>74</v>
      </c>
      <c r="BR473" t="s">
        <v>103</v>
      </c>
      <c r="BS473" t="s">
        <v>9473</v>
      </c>
      <c r="BT473" t="str">
        <f>HYPERLINK("https%3A%2F%2Fwww.webofscience.com%2Fwos%2Fwoscc%2Ffull-record%2FWOS:000357908000028","View Full Record in Web of Science")</f>
        <v>View Full Record in Web of Science</v>
      </c>
    </row>
    <row r="474" spans="1:72" x14ac:dyDescent="0.15">
      <c r="A474" t="s">
        <v>72</v>
      </c>
      <c r="B474" t="s">
        <v>9474</v>
      </c>
      <c r="C474" t="s">
        <v>74</v>
      </c>
      <c r="D474" t="s">
        <v>74</v>
      </c>
      <c r="E474" t="s">
        <v>74</v>
      </c>
      <c r="F474" t="s">
        <v>9475</v>
      </c>
      <c r="G474" t="s">
        <v>74</v>
      </c>
      <c r="H474" t="s">
        <v>74</v>
      </c>
      <c r="I474" t="s">
        <v>9476</v>
      </c>
      <c r="J474" t="s">
        <v>1690</v>
      </c>
      <c r="K474" t="s">
        <v>74</v>
      </c>
      <c r="L474" t="s">
        <v>74</v>
      </c>
      <c r="M474" t="s">
        <v>78</v>
      </c>
      <c r="N474" t="s">
        <v>79</v>
      </c>
      <c r="O474" t="s">
        <v>74</v>
      </c>
      <c r="P474" t="s">
        <v>74</v>
      </c>
      <c r="Q474" t="s">
        <v>74</v>
      </c>
      <c r="R474" t="s">
        <v>74</v>
      </c>
      <c r="S474" t="s">
        <v>74</v>
      </c>
      <c r="T474" t="s">
        <v>9477</v>
      </c>
      <c r="U474" t="s">
        <v>9478</v>
      </c>
      <c r="V474" t="s">
        <v>9479</v>
      </c>
      <c r="W474" t="s">
        <v>9480</v>
      </c>
      <c r="X474" t="s">
        <v>9481</v>
      </c>
      <c r="Y474" t="s">
        <v>9482</v>
      </c>
      <c r="Z474" t="s">
        <v>9483</v>
      </c>
      <c r="AA474" t="s">
        <v>9484</v>
      </c>
      <c r="AB474" t="s">
        <v>9485</v>
      </c>
      <c r="AC474" t="s">
        <v>9486</v>
      </c>
      <c r="AD474" t="s">
        <v>9487</v>
      </c>
      <c r="AE474" t="s">
        <v>9488</v>
      </c>
      <c r="AF474" t="s">
        <v>74</v>
      </c>
      <c r="AG474">
        <v>71</v>
      </c>
      <c r="AH474">
        <v>62</v>
      </c>
      <c r="AI474">
        <v>68</v>
      </c>
      <c r="AJ474">
        <v>5</v>
      </c>
      <c r="AK474">
        <v>86</v>
      </c>
      <c r="AL474" t="s">
        <v>925</v>
      </c>
      <c r="AM474" t="s">
        <v>884</v>
      </c>
      <c r="AN474" t="s">
        <v>926</v>
      </c>
      <c r="AO474" t="s">
        <v>1702</v>
      </c>
      <c r="AP474" t="s">
        <v>1703</v>
      </c>
      <c r="AQ474" t="s">
        <v>74</v>
      </c>
      <c r="AR474" t="s">
        <v>1704</v>
      </c>
      <c r="AS474" t="s">
        <v>1705</v>
      </c>
      <c r="AT474" t="s">
        <v>9308</v>
      </c>
      <c r="AU474">
        <v>2015</v>
      </c>
      <c r="AV474">
        <v>424</v>
      </c>
      <c r="AW474" t="s">
        <v>74</v>
      </c>
      <c r="AX474" t="s">
        <v>74</v>
      </c>
      <c r="AY474" t="s">
        <v>74</v>
      </c>
      <c r="AZ474" t="s">
        <v>74</v>
      </c>
      <c r="BA474" t="s">
        <v>74</v>
      </c>
      <c r="BB474">
        <v>201</v>
      </c>
      <c r="BC474">
        <v>211</v>
      </c>
      <c r="BD474" t="s">
        <v>74</v>
      </c>
      <c r="BE474" t="s">
        <v>9489</v>
      </c>
      <c r="BF474" t="str">
        <f>HYPERLINK("http://dx.doi.org/10.1016/j.epsl.2015.05.031","http://dx.doi.org/10.1016/j.epsl.2015.05.031")</f>
        <v>http://dx.doi.org/10.1016/j.epsl.2015.05.031</v>
      </c>
      <c r="BG474" t="s">
        <v>74</v>
      </c>
      <c r="BH474" t="s">
        <v>74</v>
      </c>
      <c r="BI474">
        <v>11</v>
      </c>
      <c r="BJ474" t="s">
        <v>1707</v>
      </c>
      <c r="BK474" t="s">
        <v>101</v>
      </c>
      <c r="BL474" t="s">
        <v>1707</v>
      </c>
      <c r="BM474" t="s">
        <v>9363</v>
      </c>
      <c r="BN474" t="s">
        <v>74</v>
      </c>
      <c r="BO474" t="s">
        <v>1235</v>
      </c>
      <c r="BP474" t="s">
        <v>74</v>
      </c>
      <c r="BQ474" t="s">
        <v>74</v>
      </c>
      <c r="BR474" t="s">
        <v>103</v>
      </c>
      <c r="BS474" t="s">
        <v>9490</v>
      </c>
      <c r="BT474" t="str">
        <f>HYPERLINK("https%3A%2F%2Fwww.webofscience.com%2Fwos%2Fwoscc%2Ffull-record%2FWOS:000357223300019","View Full Record in Web of Science")</f>
        <v>View Full Record in Web of Science</v>
      </c>
    </row>
    <row r="475" spans="1:72" x14ac:dyDescent="0.15">
      <c r="A475" t="s">
        <v>72</v>
      </c>
      <c r="B475" t="s">
        <v>993</v>
      </c>
      <c r="C475" t="s">
        <v>74</v>
      </c>
      <c r="D475" t="s">
        <v>74</v>
      </c>
      <c r="E475" t="s">
        <v>74</v>
      </c>
      <c r="F475" t="s">
        <v>994</v>
      </c>
      <c r="G475" t="s">
        <v>74</v>
      </c>
      <c r="H475" t="s">
        <v>74</v>
      </c>
      <c r="I475" t="s">
        <v>9491</v>
      </c>
      <c r="J475" t="s">
        <v>996</v>
      </c>
      <c r="K475" t="s">
        <v>74</v>
      </c>
      <c r="L475" t="s">
        <v>74</v>
      </c>
      <c r="M475" t="s">
        <v>78</v>
      </c>
      <c r="N475" t="s">
        <v>997</v>
      </c>
      <c r="O475" t="s">
        <v>74</v>
      </c>
      <c r="P475" t="s">
        <v>74</v>
      </c>
      <c r="Q475" t="s">
        <v>74</v>
      </c>
      <c r="R475" t="s">
        <v>74</v>
      </c>
      <c r="S475" t="s">
        <v>74</v>
      </c>
      <c r="T475" t="s">
        <v>74</v>
      </c>
      <c r="U475" t="s">
        <v>74</v>
      </c>
      <c r="V475" t="s">
        <v>74</v>
      </c>
      <c r="W475" t="s">
        <v>74</v>
      </c>
      <c r="X475" t="s">
        <v>74</v>
      </c>
      <c r="Y475" t="s">
        <v>74</v>
      </c>
      <c r="Z475" t="s">
        <v>74</v>
      </c>
      <c r="AA475" t="s">
        <v>74</v>
      </c>
      <c r="AB475" t="s">
        <v>74</v>
      </c>
      <c r="AC475" t="s">
        <v>74</v>
      </c>
      <c r="AD475" t="s">
        <v>74</v>
      </c>
      <c r="AE475" t="s">
        <v>74</v>
      </c>
      <c r="AF475" t="s">
        <v>74</v>
      </c>
      <c r="AG475">
        <v>0</v>
      </c>
      <c r="AH475">
        <v>0</v>
      </c>
      <c r="AI475">
        <v>0</v>
      </c>
      <c r="AJ475">
        <v>0</v>
      </c>
      <c r="AK475">
        <v>3</v>
      </c>
      <c r="AL475" t="s">
        <v>776</v>
      </c>
      <c r="AM475" t="s">
        <v>307</v>
      </c>
      <c r="AN475" t="s">
        <v>777</v>
      </c>
      <c r="AO475" t="s">
        <v>998</v>
      </c>
      <c r="AP475" t="s">
        <v>999</v>
      </c>
      <c r="AQ475" t="s">
        <v>74</v>
      </c>
      <c r="AR475" t="s">
        <v>996</v>
      </c>
      <c r="AS475" t="s">
        <v>1000</v>
      </c>
      <c r="AT475" t="s">
        <v>9492</v>
      </c>
      <c r="AU475">
        <v>2015</v>
      </c>
      <c r="AV475">
        <v>349</v>
      </c>
      <c r="AW475">
        <v>6249</v>
      </c>
      <c r="AX475" t="s">
        <v>74</v>
      </c>
      <c r="AY475" t="s">
        <v>74</v>
      </c>
      <c r="AZ475" t="s">
        <v>74</v>
      </c>
      <c r="BA475" t="s">
        <v>74</v>
      </c>
      <c r="BB475">
        <v>676</v>
      </c>
      <c r="BC475">
        <v>676</v>
      </c>
      <c r="BD475" t="s">
        <v>74</v>
      </c>
      <c r="BE475" t="s">
        <v>9493</v>
      </c>
      <c r="BF475" t="str">
        <f>HYPERLINK("http://dx.doi.org/10.1126/science.349.6249.676","http://dx.doi.org/10.1126/science.349.6249.676")</f>
        <v>http://dx.doi.org/10.1126/science.349.6249.676</v>
      </c>
      <c r="BG475" t="s">
        <v>74</v>
      </c>
      <c r="BH475" t="s">
        <v>74</v>
      </c>
      <c r="BI475">
        <v>1</v>
      </c>
      <c r="BJ475" t="s">
        <v>530</v>
      </c>
      <c r="BK475" t="s">
        <v>101</v>
      </c>
      <c r="BL475" t="s">
        <v>531</v>
      </c>
      <c r="BM475" t="s">
        <v>9494</v>
      </c>
      <c r="BN475">
        <v>26273031</v>
      </c>
      <c r="BO475" t="s">
        <v>162</v>
      </c>
      <c r="BP475" t="s">
        <v>74</v>
      </c>
      <c r="BQ475" t="s">
        <v>74</v>
      </c>
      <c r="BR475" t="s">
        <v>103</v>
      </c>
      <c r="BS475" t="s">
        <v>9495</v>
      </c>
      <c r="BT475" t="str">
        <f>HYPERLINK("https%3A%2F%2Fwww.webofscience.com%2Fwos%2Fwoscc%2Ffull-record%2FWOS:000359415100008","View Full Record in Web of Science")</f>
        <v>View Full Record in Web of Science</v>
      </c>
    </row>
    <row r="476" spans="1:72" x14ac:dyDescent="0.15">
      <c r="A476" t="s">
        <v>72</v>
      </c>
      <c r="B476" t="s">
        <v>9496</v>
      </c>
      <c r="C476" t="s">
        <v>74</v>
      </c>
      <c r="D476" t="s">
        <v>74</v>
      </c>
      <c r="E476" t="s">
        <v>74</v>
      </c>
      <c r="F476" t="s">
        <v>9497</v>
      </c>
      <c r="G476" t="s">
        <v>74</v>
      </c>
      <c r="H476" t="s">
        <v>74</v>
      </c>
      <c r="I476" t="s">
        <v>9498</v>
      </c>
      <c r="J476" t="s">
        <v>9499</v>
      </c>
      <c r="K476" t="s">
        <v>74</v>
      </c>
      <c r="L476" t="s">
        <v>74</v>
      </c>
      <c r="M476" t="s">
        <v>78</v>
      </c>
      <c r="N476" t="s">
        <v>79</v>
      </c>
      <c r="O476" t="s">
        <v>74</v>
      </c>
      <c r="P476" t="s">
        <v>74</v>
      </c>
      <c r="Q476" t="s">
        <v>74</v>
      </c>
      <c r="R476" t="s">
        <v>74</v>
      </c>
      <c r="S476" t="s">
        <v>74</v>
      </c>
      <c r="T476" t="s">
        <v>9500</v>
      </c>
      <c r="U476" t="s">
        <v>9501</v>
      </c>
      <c r="V476" t="s">
        <v>9502</v>
      </c>
      <c r="W476" t="s">
        <v>9503</v>
      </c>
      <c r="X476" t="s">
        <v>7065</v>
      </c>
      <c r="Y476" t="s">
        <v>9504</v>
      </c>
      <c r="Z476" t="s">
        <v>9505</v>
      </c>
      <c r="AA476" t="s">
        <v>9506</v>
      </c>
      <c r="AB476" t="s">
        <v>9507</v>
      </c>
      <c r="AC476" t="s">
        <v>9508</v>
      </c>
      <c r="AD476" t="s">
        <v>9509</v>
      </c>
      <c r="AE476" t="s">
        <v>9510</v>
      </c>
      <c r="AF476" t="s">
        <v>74</v>
      </c>
      <c r="AG476">
        <v>49</v>
      </c>
      <c r="AH476">
        <v>6</v>
      </c>
      <c r="AI476">
        <v>6</v>
      </c>
      <c r="AJ476">
        <v>1</v>
      </c>
      <c r="AK476">
        <v>66</v>
      </c>
      <c r="AL476" t="s">
        <v>2056</v>
      </c>
      <c r="AM476" t="s">
        <v>2057</v>
      </c>
      <c r="AN476" t="s">
        <v>2058</v>
      </c>
      <c r="AO476" t="s">
        <v>9511</v>
      </c>
      <c r="AP476" t="s">
        <v>9512</v>
      </c>
      <c r="AQ476" t="s">
        <v>74</v>
      </c>
      <c r="AR476" t="s">
        <v>9513</v>
      </c>
      <c r="AS476" t="s">
        <v>9514</v>
      </c>
      <c r="AT476" t="s">
        <v>9515</v>
      </c>
      <c r="AU476">
        <v>2015</v>
      </c>
      <c r="AV476">
        <v>50</v>
      </c>
      <c r="AW476">
        <v>12</v>
      </c>
      <c r="AX476" t="s">
        <v>74</v>
      </c>
      <c r="AY476" t="s">
        <v>74</v>
      </c>
      <c r="AZ476" t="s">
        <v>74</v>
      </c>
      <c r="BA476" t="s">
        <v>74</v>
      </c>
      <c r="BB476">
        <v>1748</v>
      </c>
      <c r="BC476">
        <v>1756</v>
      </c>
      <c r="BD476" t="s">
        <v>74</v>
      </c>
      <c r="BE476" t="s">
        <v>9516</v>
      </c>
      <c r="BF476" t="str">
        <f>HYPERLINK("http://dx.doi.org/10.1080/01496395.2015.1014052","http://dx.doi.org/10.1080/01496395.2015.1014052")</f>
        <v>http://dx.doi.org/10.1080/01496395.2015.1014052</v>
      </c>
      <c r="BG476" t="s">
        <v>74</v>
      </c>
      <c r="BH476" t="s">
        <v>74</v>
      </c>
      <c r="BI476">
        <v>9</v>
      </c>
      <c r="BJ476" t="s">
        <v>9517</v>
      </c>
      <c r="BK476" t="s">
        <v>101</v>
      </c>
      <c r="BL476" t="s">
        <v>9518</v>
      </c>
      <c r="BM476" t="s">
        <v>9519</v>
      </c>
      <c r="BN476" t="s">
        <v>74</v>
      </c>
      <c r="BO476" t="s">
        <v>74</v>
      </c>
      <c r="BP476" t="s">
        <v>74</v>
      </c>
      <c r="BQ476" t="s">
        <v>74</v>
      </c>
      <c r="BR476" t="s">
        <v>103</v>
      </c>
      <c r="BS476" t="s">
        <v>9520</v>
      </c>
      <c r="BT476" t="str">
        <f>HYPERLINK("https%3A%2F%2Fwww.webofscience.com%2Fwos%2Fwoscc%2Ffull-record%2FWOS:000358131800002","View Full Record in Web of Science")</f>
        <v>View Full Record in Web of Science</v>
      </c>
    </row>
    <row r="477" spans="1:72" x14ac:dyDescent="0.15">
      <c r="A477" t="s">
        <v>72</v>
      </c>
      <c r="B477" t="s">
        <v>9521</v>
      </c>
      <c r="C477" t="s">
        <v>74</v>
      </c>
      <c r="D477" t="s">
        <v>74</v>
      </c>
      <c r="E477" t="s">
        <v>74</v>
      </c>
      <c r="F477" t="s">
        <v>9522</v>
      </c>
      <c r="G477" t="s">
        <v>74</v>
      </c>
      <c r="H477" t="s">
        <v>74</v>
      </c>
      <c r="I477" t="s">
        <v>9523</v>
      </c>
      <c r="J477" t="s">
        <v>9524</v>
      </c>
      <c r="K477" t="s">
        <v>74</v>
      </c>
      <c r="L477" t="s">
        <v>74</v>
      </c>
      <c r="M477" t="s">
        <v>78</v>
      </c>
      <c r="N477" t="s">
        <v>79</v>
      </c>
      <c r="O477" t="s">
        <v>74</v>
      </c>
      <c r="P477" t="s">
        <v>74</v>
      </c>
      <c r="Q477" t="s">
        <v>74</v>
      </c>
      <c r="R477" t="s">
        <v>74</v>
      </c>
      <c r="S477" t="s">
        <v>74</v>
      </c>
      <c r="T477" t="s">
        <v>9525</v>
      </c>
      <c r="U477" t="s">
        <v>9526</v>
      </c>
      <c r="V477" t="s">
        <v>9527</v>
      </c>
      <c r="W477" t="s">
        <v>9528</v>
      </c>
      <c r="X477" t="s">
        <v>9529</v>
      </c>
      <c r="Y477" t="s">
        <v>9530</v>
      </c>
      <c r="Z477" t="s">
        <v>9531</v>
      </c>
      <c r="AA477" t="s">
        <v>9532</v>
      </c>
      <c r="AB477" t="s">
        <v>9533</v>
      </c>
      <c r="AC477" t="s">
        <v>9534</v>
      </c>
      <c r="AD477" t="s">
        <v>9535</v>
      </c>
      <c r="AE477" t="s">
        <v>9536</v>
      </c>
      <c r="AF477" t="s">
        <v>74</v>
      </c>
      <c r="AG477">
        <v>90</v>
      </c>
      <c r="AH477">
        <v>15</v>
      </c>
      <c r="AI477">
        <v>15</v>
      </c>
      <c r="AJ477">
        <v>0</v>
      </c>
      <c r="AK477">
        <v>10</v>
      </c>
      <c r="AL477" t="s">
        <v>925</v>
      </c>
      <c r="AM477" t="s">
        <v>884</v>
      </c>
      <c r="AN477" t="s">
        <v>926</v>
      </c>
      <c r="AO477" t="s">
        <v>9537</v>
      </c>
      <c r="AP477" t="s">
        <v>9538</v>
      </c>
      <c r="AQ477" t="s">
        <v>74</v>
      </c>
      <c r="AR477" t="s">
        <v>9524</v>
      </c>
      <c r="AS477" t="s">
        <v>9539</v>
      </c>
      <c r="AT477" t="s">
        <v>9540</v>
      </c>
      <c r="AU477">
        <v>2015</v>
      </c>
      <c r="AV477">
        <v>656</v>
      </c>
      <c r="AW477" t="s">
        <v>74</v>
      </c>
      <c r="AX477" t="s">
        <v>74</v>
      </c>
      <c r="AY477" t="s">
        <v>74</v>
      </c>
      <c r="AZ477" t="s">
        <v>74</v>
      </c>
      <c r="BA477" t="s">
        <v>74</v>
      </c>
      <c r="BB477">
        <v>74</v>
      </c>
      <c r="BC477">
        <v>90</v>
      </c>
      <c r="BD477" t="s">
        <v>74</v>
      </c>
      <c r="BE477" t="s">
        <v>9541</v>
      </c>
      <c r="BF477" t="str">
        <f>HYPERLINK("http://dx.doi.org/10.1016/j.tecto.2015.05.027","http://dx.doi.org/10.1016/j.tecto.2015.05.027")</f>
        <v>http://dx.doi.org/10.1016/j.tecto.2015.05.027</v>
      </c>
      <c r="BG477" t="s">
        <v>74</v>
      </c>
      <c r="BH477" t="s">
        <v>74</v>
      </c>
      <c r="BI477">
        <v>17</v>
      </c>
      <c r="BJ477" t="s">
        <v>1707</v>
      </c>
      <c r="BK477" t="s">
        <v>101</v>
      </c>
      <c r="BL477" t="s">
        <v>1707</v>
      </c>
      <c r="BM477" t="s">
        <v>9542</v>
      </c>
      <c r="BN477" t="s">
        <v>74</v>
      </c>
      <c r="BO477" t="s">
        <v>74</v>
      </c>
      <c r="BP477" t="s">
        <v>74</v>
      </c>
      <c r="BQ477" t="s">
        <v>74</v>
      </c>
      <c r="BR477" t="s">
        <v>103</v>
      </c>
      <c r="BS477" t="s">
        <v>9543</v>
      </c>
      <c r="BT477" t="str">
        <f>HYPERLINK("https%3A%2F%2Fwww.webofscience.com%2Fwos%2Fwoscc%2Ffull-record%2FWOS:000362139400006","View Full Record in Web of Science")</f>
        <v>View Full Record in Web of Science</v>
      </c>
    </row>
    <row r="478" spans="1:72" x14ac:dyDescent="0.15">
      <c r="A478" t="s">
        <v>72</v>
      </c>
      <c r="B478" t="s">
        <v>9544</v>
      </c>
      <c r="C478" t="s">
        <v>74</v>
      </c>
      <c r="D478" t="s">
        <v>74</v>
      </c>
      <c r="E478" t="s">
        <v>74</v>
      </c>
      <c r="F478" t="s">
        <v>9545</v>
      </c>
      <c r="G478" t="s">
        <v>74</v>
      </c>
      <c r="H478" t="s">
        <v>74</v>
      </c>
      <c r="I478" t="s">
        <v>9546</v>
      </c>
      <c r="J478" t="s">
        <v>1489</v>
      </c>
      <c r="K478" t="s">
        <v>74</v>
      </c>
      <c r="L478" t="s">
        <v>74</v>
      </c>
      <c r="M478" t="s">
        <v>78</v>
      </c>
      <c r="N478" t="s">
        <v>79</v>
      </c>
      <c r="O478" t="s">
        <v>74</v>
      </c>
      <c r="P478" t="s">
        <v>74</v>
      </c>
      <c r="Q478" t="s">
        <v>74</v>
      </c>
      <c r="R478" t="s">
        <v>74</v>
      </c>
      <c r="S478" t="s">
        <v>74</v>
      </c>
      <c r="T478" t="s">
        <v>9547</v>
      </c>
      <c r="U478" t="s">
        <v>9548</v>
      </c>
      <c r="V478" t="s">
        <v>9549</v>
      </c>
      <c r="W478" t="s">
        <v>9550</v>
      </c>
      <c r="X478" t="s">
        <v>9551</v>
      </c>
      <c r="Y478" t="s">
        <v>9552</v>
      </c>
      <c r="Z478" t="s">
        <v>9553</v>
      </c>
      <c r="AA478" t="s">
        <v>9554</v>
      </c>
      <c r="AB478" t="s">
        <v>9555</v>
      </c>
      <c r="AC478" t="s">
        <v>9556</v>
      </c>
      <c r="AD478" t="s">
        <v>9557</v>
      </c>
      <c r="AE478" t="s">
        <v>9558</v>
      </c>
      <c r="AF478" t="s">
        <v>74</v>
      </c>
      <c r="AG478">
        <v>45</v>
      </c>
      <c r="AH478">
        <v>163</v>
      </c>
      <c r="AI478">
        <v>196</v>
      </c>
      <c r="AJ478">
        <v>3</v>
      </c>
      <c r="AK478">
        <v>105</v>
      </c>
      <c r="AL478" t="s">
        <v>1502</v>
      </c>
      <c r="AM478" t="s">
        <v>307</v>
      </c>
      <c r="AN478" t="s">
        <v>1503</v>
      </c>
      <c r="AO478" t="s">
        <v>1504</v>
      </c>
      <c r="AP478" t="s">
        <v>9559</v>
      </c>
      <c r="AQ478" t="s">
        <v>74</v>
      </c>
      <c r="AR478" t="s">
        <v>1505</v>
      </c>
      <c r="AS478" t="s">
        <v>1506</v>
      </c>
      <c r="AT478" t="s">
        <v>9560</v>
      </c>
      <c r="AU478">
        <v>2015</v>
      </c>
      <c r="AV478">
        <v>112</v>
      </c>
      <c r="AW478">
        <v>32</v>
      </c>
      <c r="AX478" t="s">
        <v>74</v>
      </c>
      <c r="AY478" t="s">
        <v>74</v>
      </c>
      <c r="AZ478" t="s">
        <v>74</v>
      </c>
      <c r="BA478" t="s">
        <v>74</v>
      </c>
      <c r="BB478">
        <v>9938</v>
      </c>
      <c r="BC478">
        <v>9943</v>
      </c>
      <c r="BD478" t="s">
        <v>74</v>
      </c>
      <c r="BE478" t="s">
        <v>9561</v>
      </c>
      <c r="BF478" t="str">
        <f>HYPERLINK("http://dx.doi.org/10.1073/pnas.1501615112","http://dx.doi.org/10.1073/pnas.1501615112")</f>
        <v>http://dx.doi.org/10.1073/pnas.1501615112</v>
      </c>
      <c r="BG478" t="s">
        <v>74</v>
      </c>
      <c r="BH478" t="s">
        <v>74</v>
      </c>
      <c r="BI478">
        <v>6</v>
      </c>
      <c r="BJ478" t="s">
        <v>530</v>
      </c>
      <c r="BK478" t="s">
        <v>101</v>
      </c>
      <c r="BL478" t="s">
        <v>531</v>
      </c>
      <c r="BM478" t="s">
        <v>9562</v>
      </c>
      <c r="BN478">
        <v>26221022</v>
      </c>
      <c r="BO478" t="s">
        <v>4252</v>
      </c>
      <c r="BP478" t="s">
        <v>74</v>
      </c>
      <c r="BQ478" t="s">
        <v>74</v>
      </c>
      <c r="BR478" t="s">
        <v>103</v>
      </c>
      <c r="BS478" t="s">
        <v>9563</v>
      </c>
      <c r="BT478" t="str">
        <f>HYPERLINK("https%3A%2F%2Fwww.webofscience.com%2Fwos%2Fwoscc%2Ffull-record%2FWOS:000359285100056","View Full Record in Web of Science")</f>
        <v>View Full Record in Web of Science</v>
      </c>
    </row>
    <row r="479" spans="1:72" x14ac:dyDescent="0.15">
      <c r="A479" t="s">
        <v>72</v>
      </c>
      <c r="B479" t="s">
        <v>9564</v>
      </c>
      <c r="C479" t="s">
        <v>74</v>
      </c>
      <c r="D479" t="s">
        <v>74</v>
      </c>
      <c r="E479" t="s">
        <v>74</v>
      </c>
      <c r="F479" t="s">
        <v>9565</v>
      </c>
      <c r="G479" t="s">
        <v>74</v>
      </c>
      <c r="H479" t="s">
        <v>74</v>
      </c>
      <c r="I479" t="s">
        <v>9566</v>
      </c>
      <c r="J479" t="s">
        <v>1287</v>
      </c>
      <c r="K479" t="s">
        <v>74</v>
      </c>
      <c r="L479" t="s">
        <v>74</v>
      </c>
      <c r="M479" t="s">
        <v>78</v>
      </c>
      <c r="N479" t="s">
        <v>79</v>
      </c>
      <c r="O479" t="s">
        <v>74</v>
      </c>
      <c r="P479" t="s">
        <v>74</v>
      </c>
      <c r="Q479" t="s">
        <v>74</v>
      </c>
      <c r="R479" t="s">
        <v>74</v>
      </c>
      <c r="S479" t="s">
        <v>74</v>
      </c>
      <c r="T479" t="s">
        <v>74</v>
      </c>
      <c r="U479" t="s">
        <v>9567</v>
      </c>
      <c r="V479" t="s">
        <v>9568</v>
      </c>
      <c r="W479" t="s">
        <v>9569</v>
      </c>
      <c r="X479" t="s">
        <v>9570</v>
      </c>
      <c r="Y479" t="s">
        <v>9571</v>
      </c>
      <c r="Z479" t="s">
        <v>9572</v>
      </c>
      <c r="AA479" t="s">
        <v>9573</v>
      </c>
      <c r="AB479" t="s">
        <v>9574</v>
      </c>
      <c r="AC479" t="s">
        <v>9575</v>
      </c>
      <c r="AD479" t="s">
        <v>9576</v>
      </c>
      <c r="AE479" t="s">
        <v>9577</v>
      </c>
      <c r="AF479" t="s">
        <v>74</v>
      </c>
      <c r="AG479">
        <v>43</v>
      </c>
      <c r="AH479">
        <v>15</v>
      </c>
      <c r="AI479">
        <v>20</v>
      </c>
      <c r="AJ479">
        <v>1</v>
      </c>
      <c r="AK479">
        <v>50</v>
      </c>
      <c r="AL479" t="s">
        <v>523</v>
      </c>
      <c r="AM479" t="s">
        <v>524</v>
      </c>
      <c r="AN479" t="s">
        <v>525</v>
      </c>
      <c r="AO479" t="s">
        <v>1299</v>
      </c>
      <c r="AP479" t="s">
        <v>74</v>
      </c>
      <c r="AQ479" t="s">
        <v>74</v>
      </c>
      <c r="AR479" t="s">
        <v>1300</v>
      </c>
      <c r="AS479" t="s">
        <v>1301</v>
      </c>
      <c r="AT479" t="s">
        <v>9578</v>
      </c>
      <c r="AU479">
        <v>2015</v>
      </c>
      <c r="AV479">
        <v>5</v>
      </c>
      <c r="AW479" t="s">
        <v>74</v>
      </c>
      <c r="AX479" t="s">
        <v>74</v>
      </c>
      <c r="AY479" t="s">
        <v>74</v>
      </c>
      <c r="AZ479" t="s">
        <v>74</v>
      </c>
      <c r="BA479" t="s">
        <v>74</v>
      </c>
      <c r="BB479" t="s">
        <v>74</v>
      </c>
      <c r="BC479" t="s">
        <v>74</v>
      </c>
      <c r="BD479">
        <v>12897</v>
      </c>
      <c r="BE479" t="s">
        <v>9579</v>
      </c>
      <c r="BF479" t="str">
        <f>HYPERLINK("http://dx.doi.org/10.1038/srep12897","http://dx.doi.org/10.1038/srep12897")</f>
        <v>http://dx.doi.org/10.1038/srep12897</v>
      </c>
      <c r="BG479" t="s">
        <v>74</v>
      </c>
      <c r="BH479" t="s">
        <v>74</v>
      </c>
      <c r="BI479">
        <v>10</v>
      </c>
      <c r="BJ479" t="s">
        <v>530</v>
      </c>
      <c r="BK479" t="s">
        <v>101</v>
      </c>
      <c r="BL479" t="s">
        <v>531</v>
      </c>
      <c r="BM479" t="s">
        <v>9580</v>
      </c>
      <c r="BN479">
        <v>26256889</v>
      </c>
      <c r="BO479" t="s">
        <v>1304</v>
      </c>
      <c r="BP479" t="s">
        <v>74</v>
      </c>
      <c r="BQ479" t="s">
        <v>74</v>
      </c>
      <c r="BR479" t="s">
        <v>103</v>
      </c>
      <c r="BS479" t="s">
        <v>9581</v>
      </c>
      <c r="BT479" t="str">
        <f>HYPERLINK("https%3A%2F%2Fwww.webofscience.com%2Fwos%2Fwoscc%2Ffull-record%2FWOS:000359197800001","View Full Record in Web of Science")</f>
        <v>View Full Record in Web of Science</v>
      </c>
    </row>
    <row r="480" spans="1:72" x14ac:dyDescent="0.15">
      <c r="A480" t="s">
        <v>72</v>
      </c>
      <c r="B480" t="s">
        <v>9582</v>
      </c>
      <c r="C480" t="s">
        <v>74</v>
      </c>
      <c r="D480" t="s">
        <v>74</v>
      </c>
      <c r="E480" t="s">
        <v>74</v>
      </c>
      <c r="F480" t="s">
        <v>9583</v>
      </c>
      <c r="G480" t="s">
        <v>74</v>
      </c>
      <c r="H480" t="s">
        <v>74</v>
      </c>
      <c r="I480" t="s">
        <v>9584</v>
      </c>
      <c r="J480" t="s">
        <v>1078</v>
      </c>
      <c r="K480" t="s">
        <v>74</v>
      </c>
      <c r="L480" t="s">
        <v>74</v>
      </c>
      <c r="M480" t="s">
        <v>78</v>
      </c>
      <c r="N480" t="s">
        <v>79</v>
      </c>
      <c r="O480" t="s">
        <v>74</v>
      </c>
      <c r="P480" t="s">
        <v>74</v>
      </c>
      <c r="Q480" t="s">
        <v>74</v>
      </c>
      <c r="R480" t="s">
        <v>74</v>
      </c>
      <c r="S480" t="s">
        <v>74</v>
      </c>
      <c r="T480" t="s">
        <v>74</v>
      </c>
      <c r="U480" t="s">
        <v>9585</v>
      </c>
      <c r="V480" t="s">
        <v>9586</v>
      </c>
      <c r="W480" t="s">
        <v>9587</v>
      </c>
      <c r="X480" t="s">
        <v>5584</v>
      </c>
      <c r="Y480" t="s">
        <v>9588</v>
      </c>
      <c r="Z480" t="s">
        <v>9589</v>
      </c>
      <c r="AA480" t="s">
        <v>74</v>
      </c>
      <c r="AB480" t="s">
        <v>9590</v>
      </c>
      <c r="AC480" t="s">
        <v>9591</v>
      </c>
      <c r="AD480" t="s">
        <v>9592</v>
      </c>
      <c r="AE480" t="s">
        <v>9593</v>
      </c>
      <c r="AF480" t="s">
        <v>74</v>
      </c>
      <c r="AG480">
        <v>64</v>
      </c>
      <c r="AH480">
        <v>14</v>
      </c>
      <c r="AI480">
        <v>16</v>
      </c>
      <c r="AJ480">
        <v>0</v>
      </c>
      <c r="AK480">
        <v>18</v>
      </c>
      <c r="AL480" t="s">
        <v>1089</v>
      </c>
      <c r="AM480" t="s">
        <v>1090</v>
      </c>
      <c r="AN480" t="s">
        <v>1091</v>
      </c>
      <c r="AO480" t="s">
        <v>1092</v>
      </c>
      <c r="AP480" t="s">
        <v>74</v>
      </c>
      <c r="AQ480" t="s">
        <v>74</v>
      </c>
      <c r="AR480" t="s">
        <v>1078</v>
      </c>
      <c r="AS480" t="s">
        <v>1093</v>
      </c>
      <c r="AT480" t="s">
        <v>9594</v>
      </c>
      <c r="AU480">
        <v>2015</v>
      </c>
      <c r="AV480">
        <v>10</v>
      </c>
      <c r="AW480">
        <v>8</v>
      </c>
      <c r="AX480" t="s">
        <v>74</v>
      </c>
      <c r="AY480" t="s">
        <v>74</v>
      </c>
      <c r="AZ480" t="s">
        <v>74</v>
      </c>
      <c r="BA480" t="s">
        <v>74</v>
      </c>
      <c r="BB480" t="s">
        <v>74</v>
      </c>
      <c r="BC480" t="s">
        <v>74</v>
      </c>
      <c r="BD480" t="s">
        <v>9595</v>
      </c>
      <c r="BE480" t="s">
        <v>9596</v>
      </c>
      <c r="BF480" t="str">
        <f>HYPERLINK("http://dx.doi.org/10.1371/journal.pone.0134440","http://dx.doi.org/10.1371/journal.pone.0134440")</f>
        <v>http://dx.doi.org/10.1371/journal.pone.0134440</v>
      </c>
      <c r="BG480" t="s">
        <v>74</v>
      </c>
      <c r="BH480" t="s">
        <v>74</v>
      </c>
      <c r="BI480">
        <v>21</v>
      </c>
      <c r="BJ480" t="s">
        <v>530</v>
      </c>
      <c r="BK480" t="s">
        <v>101</v>
      </c>
      <c r="BL480" t="s">
        <v>531</v>
      </c>
      <c r="BM480" t="s">
        <v>9597</v>
      </c>
      <c r="BN480">
        <v>26252953</v>
      </c>
      <c r="BO480" t="s">
        <v>1097</v>
      </c>
      <c r="BP480" t="s">
        <v>74</v>
      </c>
      <c r="BQ480" t="s">
        <v>74</v>
      </c>
      <c r="BR480" t="s">
        <v>103</v>
      </c>
      <c r="BS480" t="s">
        <v>9598</v>
      </c>
      <c r="BT480" t="str">
        <f>HYPERLINK("https%3A%2F%2Fwww.webofscience.com%2Fwos%2Fwoscc%2Ffull-record%2FWOS:000359121100057","View Full Record in Web of Science")</f>
        <v>View Full Record in Web of Science</v>
      </c>
    </row>
    <row r="481" spans="1:72" x14ac:dyDescent="0.15">
      <c r="A481" t="s">
        <v>72</v>
      </c>
      <c r="B481" t="s">
        <v>9599</v>
      </c>
      <c r="C481" t="s">
        <v>74</v>
      </c>
      <c r="D481" t="s">
        <v>74</v>
      </c>
      <c r="E481" t="s">
        <v>74</v>
      </c>
      <c r="F481" t="s">
        <v>9600</v>
      </c>
      <c r="G481" t="s">
        <v>74</v>
      </c>
      <c r="H481" t="s">
        <v>74</v>
      </c>
      <c r="I481" t="s">
        <v>9601</v>
      </c>
      <c r="J481" t="s">
        <v>1821</v>
      </c>
      <c r="K481" t="s">
        <v>74</v>
      </c>
      <c r="L481" t="s">
        <v>74</v>
      </c>
      <c r="M481" t="s">
        <v>78</v>
      </c>
      <c r="N481" t="s">
        <v>79</v>
      </c>
      <c r="O481" t="s">
        <v>74</v>
      </c>
      <c r="P481" t="s">
        <v>74</v>
      </c>
      <c r="Q481" t="s">
        <v>74</v>
      </c>
      <c r="R481" t="s">
        <v>74</v>
      </c>
      <c r="S481" t="s">
        <v>74</v>
      </c>
      <c r="T481" t="s">
        <v>74</v>
      </c>
      <c r="U481" t="s">
        <v>9602</v>
      </c>
      <c r="V481" t="s">
        <v>9603</v>
      </c>
      <c r="W481" t="s">
        <v>9604</v>
      </c>
      <c r="X481" t="s">
        <v>9605</v>
      </c>
      <c r="Y481" t="s">
        <v>9606</v>
      </c>
      <c r="Z481" t="s">
        <v>9607</v>
      </c>
      <c r="AA481" t="s">
        <v>9608</v>
      </c>
      <c r="AB481" t="s">
        <v>9609</v>
      </c>
      <c r="AC481" t="s">
        <v>9610</v>
      </c>
      <c r="AD481" t="s">
        <v>9611</v>
      </c>
      <c r="AE481" t="s">
        <v>74</v>
      </c>
      <c r="AF481" t="s">
        <v>74</v>
      </c>
      <c r="AG481">
        <v>63</v>
      </c>
      <c r="AH481">
        <v>59</v>
      </c>
      <c r="AI481">
        <v>63</v>
      </c>
      <c r="AJ481">
        <v>1</v>
      </c>
      <c r="AK481">
        <v>16</v>
      </c>
      <c r="AL481" t="s">
        <v>1830</v>
      </c>
      <c r="AM481" t="s">
        <v>1831</v>
      </c>
      <c r="AN481" t="s">
        <v>1832</v>
      </c>
      <c r="AO481" t="s">
        <v>1833</v>
      </c>
      <c r="AP481" t="s">
        <v>74</v>
      </c>
      <c r="AQ481" t="s">
        <v>74</v>
      </c>
      <c r="AR481" t="s">
        <v>1834</v>
      </c>
      <c r="AS481" t="s">
        <v>1835</v>
      </c>
      <c r="AT481" t="s">
        <v>9594</v>
      </c>
      <c r="AU481">
        <v>2015</v>
      </c>
      <c r="AV481">
        <v>3</v>
      </c>
      <c r="AW481" t="s">
        <v>74</v>
      </c>
      <c r="AX481" t="s">
        <v>74</v>
      </c>
      <c r="AY481" t="s">
        <v>74</v>
      </c>
      <c r="AZ481" t="s">
        <v>74</v>
      </c>
      <c r="BA481" t="s">
        <v>74</v>
      </c>
      <c r="BB481" t="s">
        <v>74</v>
      </c>
      <c r="BC481" t="s">
        <v>74</v>
      </c>
      <c r="BD481">
        <v>65</v>
      </c>
      <c r="BE481" t="s">
        <v>9612</v>
      </c>
      <c r="BF481" t="str">
        <f>HYPERLINK("http://dx.doi.org/10.12952/journal.elementa.000065","http://dx.doi.org/10.12952/journal.elementa.000065")</f>
        <v>http://dx.doi.org/10.12952/journal.elementa.000065</v>
      </c>
      <c r="BG481" t="s">
        <v>74</v>
      </c>
      <c r="BH481" t="s">
        <v>74</v>
      </c>
      <c r="BI481">
        <v>22</v>
      </c>
      <c r="BJ481" t="s">
        <v>1837</v>
      </c>
      <c r="BK481" t="s">
        <v>101</v>
      </c>
      <c r="BL481" t="s">
        <v>1838</v>
      </c>
      <c r="BM481" t="s">
        <v>9613</v>
      </c>
      <c r="BN481" t="s">
        <v>74</v>
      </c>
      <c r="BO481" t="s">
        <v>9614</v>
      </c>
      <c r="BP481" t="s">
        <v>74</v>
      </c>
      <c r="BQ481" t="s">
        <v>74</v>
      </c>
      <c r="BR481" t="s">
        <v>103</v>
      </c>
      <c r="BS481" t="s">
        <v>9615</v>
      </c>
      <c r="BT481" t="str">
        <f>HYPERLINK("https%3A%2F%2Fwww.webofscience.com%2Fwos%2Fwoscc%2Ffull-record%2FWOS:000362116600001","View Full Record in Web of Science")</f>
        <v>View Full Record in Web of Science</v>
      </c>
    </row>
    <row r="482" spans="1:72" x14ac:dyDescent="0.15">
      <c r="A482" t="s">
        <v>72</v>
      </c>
      <c r="B482" t="s">
        <v>9616</v>
      </c>
      <c r="C482" t="s">
        <v>74</v>
      </c>
      <c r="D482" t="s">
        <v>74</v>
      </c>
      <c r="E482" t="s">
        <v>74</v>
      </c>
      <c r="F482" t="s">
        <v>9617</v>
      </c>
      <c r="G482" t="s">
        <v>74</v>
      </c>
      <c r="H482" t="s">
        <v>74</v>
      </c>
      <c r="I482" t="s">
        <v>9618</v>
      </c>
      <c r="J482" t="s">
        <v>1078</v>
      </c>
      <c r="K482" t="s">
        <v>74</v>
      </c>
      <c r="L482" t="s">
        <v>74</v>
      </c>
      <c r="M482" t="s">
        <v>78</v>
      </c>
      <c r="N482" t="s">
        <v>79</v>
      </c>
      <c r="O482" t="s">
        <v>74</v>
      </c>
      <c r="P482" t="s">
        <v>74</v>
      </c>
      <c r="Q482" t="s">
        <v>74</v>
      </c>
      <c r="R482" t="s">
        <v>74</v>
      </c>
      <c r="S482" t="s">
        <v>74</v>
      </c>
      <c r="T482" t="s">
        <v>74</v>
      </c>
      <c r="U482" t="s">
        <v>9619</v>
      </c>
      <c r="V482" t="s">
        <v>9620</v>
      </c>
      <c r="W482" t="s">
        <v>9621</v>
      </c>
      <c r="X482" t="s">
        <v>9622</v>
      </c>
      <c r="Y482" t="s">
        <v>9623</v>
      </c>
      <c r="Z482" t="s">
        <v>9624</v>
      </c>
      <c r="AA482" t="s">
        <v>9625</v>
      </c>
      <c r="AB482" t="s">
        <v>9626</v>
      </c>
      <c r="AC482" t="s">
        <v>9627</v>
      </c>
      <c r="AD482" t="s">
        <v>9628</v>
      </c>
      <c r="AE482" t="s">
        <v>9629</v>
      </c>
      <c r="AF482" t="s">
        <v>74</v>
      </c>
      <c r="AG482">
        <v>25</v>
      </c>
      <c r="AH482">
        <v>25</v>
      </c>
      <c r="AI482">
        <v>28</v>
      </c>
      <c r="AJ482">
        <v>0</v>
      </c>
      <c r="AK482">
        <v>11</v>
      </c>
      <c r="AL482" t="s">
        <v>1089</v>
      </c>
      <c r="AM482" t="s">
        <v>1090</v>
      </c>
      <c r="AN482" t="s">
        <v>1091</v>
      </c>
      <c r="AO482" t="s">
        <v>1092</v>
      </c>
      <c r="AP482" t="s">
        <v>74</v>
      </c>
      <c r="AQ482" t="s">
        <v>74</v>
      </c>
      <c r="AR482" t="s">
        <v>1078</v>
      </c>
      <c r="AS482" t="s">
        <v>1093</v>
      </c>
      <c r="AT482" t="s">
        <v>9594</v>
      </c>
      <c r="AU482">
        <v>2015</v>
      </c>
      <c r="AV482">
        <v>10</v>
      </c>
      <c r="AW482">
        <v>8</v>
      </c>
      <c r="AX482" t="s">
        <v>74</v>
      </c>
      <c r="AY482" t="s">
        <v>74</v>
      </c>
      <c r="AZ482" t="s">
        <v>74</v>
      </c>
      <c r="BA482" t="s">
        <v>74</v>
      </c>
      <c r="BB482" t="s">
        <v>74</v>
      </c>
      <c r="BC482" t="s">
        <v>74</v>
      </c>
      <c r="BD482" t="s">
        <v>9630</v>
      </c>
      <c r="BE482" t="s">
        <v>9631</v>
      </c>
      <c r="BF482" t="str">
        <f>HYPERLINK("http://dx.doi.org/10.1371/journal.pone.0135361","http://dx.doi.org/10.1371/journal.pone.0135361")</f>
        <v>http://dx.doi.org/10.1371/journal.pone.0135361</v>
      </c>
      <c r="BG482" t="s">
        <v>74</v>
      </c>
      <c r="BH482" t="s">
        <v>74</v>
      </c>
      <c r="BI482">
        <v>10</v>
      </c>
      <c r="BJ482" t="s">
        <v>530</v>
      </c>
      <c r="BK482" t="s">
        <v>101</v>
      </c>
      <c r="BL482" t="s">
        <v>531</v>
      </c>
      <c r="BM482" t="s">
        <v>9597</v>
      </c>
      <c r="BN482">
        <v>26252212</v>
      </c>
      <c r="BO482" t="s">
        <v>4644</v>
      </c>
      <c r="BP482" t="s">
        <v>74</v>
      </c>
      <c r="BQ482" t="s">
        <v>74</v>
      </c>
      <c r="BR482" t="s">
        <v>103</v>
      </c>
      <c r="BS482" t="s">
        <v>9632</v>
      </c>
      <c r="BT482" t="str">
        <f>HYPERLINK("https%3A%2F%2Fwww.webofscience.com%2Fwos%2Fwoscc%2Ffull-record%2FWOS:000359121100155","View Full Record in Web of Science")</f>
        <v>View Full Record in Web of Science</v>
      </c>
    </row>
    <row r="483" spans="1:72" x14ac:dyDescent="0.15">
      <c r="A483" t="s">
        <v>72</v>
      </c>
      <c r="B483" t="s">
        <v>9633</v>
      </c>
      <c r="C483" t="s">
        <v>74</v>
      </c>
      <c r="D483" t="s">
        <v>74</v>
      </c>
      <c r="E483" t="s">
        <v>74</v>
      </c>
      <c r="F483" t="s">
        <v>9634</v>
      </c>
      <c r="G483" t="s">
        <v>74</v>
      </c>
      <c r="H483" t="s">
        <v>74</v>
      </c>
      <c r="I483" t="s">
        <v>9635</v>
      </c>
      <c r="J483" t="s">
        <v>1078</v>
      </c>
      <c r="K483" t="s">
        <v>74</v>
      </c>
      <c r="L483" t="s">
        <v>74</v>
      </c>
      <c r="M483" t="s">
        <v>78</v>
      </c>
      <c r="N483" t="s">
        <v>79</v>
      </c>
      <c r="O483" t="s">
        <v>74</v>
      </c>
      <c r="P483" t="s">
        <v>74</v>
      </c>
      <c r="Q483" t="s">
        <v>74</v>
      </c>
      <c r="R483" t="s">
        <v>74</v>
      </c>
      <c r="S483" t="s">
        <v>74</v>
      </c>
      <c r="T483" t="s">
        <v>74</v>
      </c>
      <c r="U483" t="s">
        <v>9636</v>
      </c>
      <c r="V483" t="s">
        <v>9637</v>
      </c>
      <c r="W483" t="s">
        <v>9638</v>
      </c>
      <c r="X483" t="s">
        <v>9639</v>
      </c>
      <c r="Y483" t="s">
        <v>9640</v>
      </c>
      <c r="Z483" t="s">
        <v>9641</v>
      </c>
      <c r="AA483" t="s">
        <v>9642</v>
      </c>
      <c r="AB483" t="s">
        <v>9643</v>
      </c>
      <c r="AC483" t="s">
        <v>9644</v>
      </c>
      <c r="AD483" t="s">
        <v>9644</v>
      </c>
      <c r="AE483" t="s">
        <v>9645</v>
      </c>
      <c r="AF483" t="s">
        <v>74</v>
      </c>
      <c r="AG483">
        <v>78</v>
      </c>
      <c r="AH483">
        <v>41</v>
      </c>
      <c r="AI483">
        <v>42</v>
      </c>
      <c r="AJ483">
        <v>0</v>
      </c>
      <c r="AK483">
        <v>46</v>
      </c>
      <c r="AL483" t="s">
        <v>1089</v>
      </c>
      <c r="AM483" t="s">
        <v>1090</v>
      </c>
      <c r="AN483" t="s">
        <v>1091</v>
      </c>
      <c r="AO483" t="s">
        <v>1092</v>
      </c>
      <c r="AP483" t="s">
        <v>74</v>
      </c>
      <c r="AQ483" t="s">
        <v>74</v>
      </c>
      <c r="AR483" t="s">
        <v>1078</v>
      </c>
      <c r="AS483" t="s">
        <v>1093</v>
      </c>
      <c r="AT483" t="s">
        <v>9646</v>
      </c>
      <c r="AU483">
        <v>2015</v>
      </c>
      <c r="AV483">
        <v>10</v>
      </c>
      <c r="AW483">
        <v>8</v>
      </c>
      <c r="AX483" t="s">
        <v>74</v>
      </c>
      <c r="AY483" t="s">
        <v>74</v>
      </c>
      <c r="AZ483" t="s">
        <v>74</v>
      </c>
      <c r="BA483" t="s">
        <v>74</v>
      </c>
      <c r="BB483" t="s">
        <v>74</v>
      </c>
      <c r="BC483" t="s">
        <v>74</v>
      </c>
      <c r="BD483" t="s">
        <v>9647</v>
      </c>
      <c r="BE483" t="s">
        <v>9648</v>
      </c>
      <c r="BF483" t="str">
        <f>HYPERLINK("http://dx.doi.org/10.1371/journal.pone.0133018","http://dx.doi.org/10.1371/journal.pone.0133018")</f>
        <v>http://dx.doi.org/10.1371/journal.pone.0133018</v>
      </c>
      <c r="BG483" t="s">
        <v>74</v>
      </c>
      <c r="BH483" t="s">
        <v>74</v>
      </c>
      <c r="BI483">
        <v>15</v>
      </c>
      <c r="BJ483" t="s">
        <v>530</v>
      </c>
      <c r="BK483" t="s">
        <v>101</v>
      </c>
      <c r="BL483" t="s">
        <v>531</v>
      </c>
      <c r="BM483" t="s">
        <v>9649</v>
      </c>
      <c r="BN483">
        <v>26244371</v>
      </c>
      <c r="BO483" t="s">
        <v>5596</v>
      </c>
      <c r="BP483" t="s">
        <v>74</v>
      </c>
      <c r="BQ483" t="s">
        <v>74</v>
      </c>
      <c r="BR483" t="s">
        <v>103</v>
      </c>
      <c r="BS483" t="s">
        <v>9650</v>
      </c>
      <c r="BT483" t="str">
        <f>HYPERLINK("https%3A%2F%2Fwww.webofscience.com%2Fwos%2Fwoscc%2Ffull-record%2FWOS:000359061400031","View Full Record in Web of Science")</f>
        <v>View Full Record in Web of Science</v>
      </c>
    </row>
    <row r="484" spans="1:72" x14ac:dyDescent="0.15">
      <c r="A484" t="s">
        <v>72</v>
      </c>
      <c r="B484" t="s">
        <v>9651</v>
      </c>
      <c r="C484" t="s">
        <v>74</v>
      </c>
      <c r="D484" t="s">
        <v>74</v>
      </c>
      <c r="E484" t="s">
        <v>74</v>
      </c>
      <c r="F484" t="s">
        <v>9652</v>
      </c>
      <c r="G484" t="s">
        <v>74</v>
      </c>
      <c r="H484" t="s">
        <v>74</v>
      </c>
      <c r="I484" t="s">
        <v>9653</v>
      </c>
      <c r="J484" t="s">
        <v>1193</v>
      </c>
      <c r="K484" t="s">
        <v>74</v>
      </c>
      <c r="L484" t="s">
        <v>74</v>
      </c>
      <c r="M484" t="s">
        <v>78</v>
      </c>
      <c r="N484" t="s">
        <v>79</v>
      </c>
      <c r="O484" t="s">
        <v>74</v>
      </c>
      <c r="P484" t="s">
        <v>74</v>
      </c>
      <c r="Q484" t="s">
        <v>74</v>
      </c>
      <c r="R484" t="s">
        <v>74</v>
      </c>
      <c r="S484" t="s">
        <v>74</v>
      </c>
      <c r="T484" t="s">
        <v>9654</v>
      </c>
      <c r="U484" t="s">
        <v>9655</v>
      </c>
      <c r="V484" t="s">
        <v>9656</v>
      </c>
      <c r="W484" t="s">
        <v>9657</v>
      </c>
      <c r="X484" t="s">
        <v>9658</v>
      </c>
      <c r="Y484" t="s">
        <v>9659</v>
      </c>
      <c r="Z484" t="s">
        <v>9660</v>
      </c>
      <c r="AA484" t="s">
        <v>74</v>
      </c>
      <c r="AB484" t="s">
        <v>74</v>
      </c>
      <c r="AC484" t="s">
        <v>74</v>
      </c>
      <c r="AD484" t="s">
        <v>74</v>
      </c>
      <c r="AE484" t="s">
        <v>74</v>
      </c>
      <c r="AF484" t="s">
        <v>74</v>
      </c>
      <c r="AG484">
        <v>9</v>
      </c>
      <c r="AH484">
        <v>1</v>
      </c>
      <c r="AI484">
        <v>1</v>
      </c>
      <c r="AJ484">
        <v>0</v>
      </c>
      <c r="AK484">
        <v>2</v>
      </c>
      <c r="AL484" t="s">
        <v>1206</v>
      </c>
      <c r="AM484" t="s">
        <v>1207</v>
      </c>
      <c r="AN484" t="s">
        <v>1208</v>
      </c>
      <c r="AO484" t="s">
        <v>1209</v>
      </c>
      <c r="AP484" t="s">
        <v>1210</v>
      </c>
      <c r="AQ484" t="s">
        <v>74</v>
      </c>
      <c r="AR484" t="s">
        <v>1193</v>
      </c>
      <c r="AS484" t="s">
        <v>1211</v>
      </c>
      <c r="AT484" t="s">
        <v>9646</v>
      </c>
      <c r="AU484">
        <v>2015</v>
      </c>
      <c r="AV484">
        <v>3995</v>
      </c>
      <c r="AW484">
        <v>1</v>
      </c>
      <c r="AX484" t="s">
        <v>74</v>
      </c>
      <c r="AY484" t="s">
        <v>74</v>
      </c>
      <c r="AZ484" t="s">
        <v>74</v>
      </c>
      <c r="BA484" t="s">
        <v>74</v>
      </c>
      <c r="BB484">
        <v>133</v>
      </c>
      <c r="BC484">
        <v>137</v>
      </c>
      <c r="BD484" t="s">
        <v>74</v>
      </c>
      <c r="BE484" t="s">
        <v>9661</v>
      </c>
      <c r="BF484" t="str">
        <f>HYPERLINK("http://dx.doi.org/10.11646/zootaxa.3995.1.13","http://dx.doi.org/10.11646/zootaxa.3995.1.13")</f>
        <v>http://dx.doi.org/10.11646/zootaxa.3995.1.13</v>
      </c>
      <c r="BG484" t="s">
        <v>74</v>
      </c>
      <c r="BH484" t="s">
        <v>74</v>
      </c>
      <c r="BI484">
        <v>5</v>
      </c>
      <c r="BJ484" t="s">
        <v>243</v>
      </c>
      <c r="BK484" t="s">
        <v>101</v>
      </c>
      <c r="BL484" t="s">
        <v>243</v>
      </c>
      <c r="BM484" t="s">
        <v>9662</v>
      </c>
      <c r="BN484">
        <v>26250309</v>
      </c>
      <c r="BO484" t="s">
        <v>74</v>
      </c>
      <c r="BP484" t="s">
        <v>74</v>
      </c>
      <c r="BQ484" t="s">
        <v>74</v>
      </c>
      <c r="BR484" t="s">
        <v>103</v>
      </c>
      <c r="BS484" t="s">
        <v>9663</v>
      </c>
      <c r="BT484" t="str">
        <f>HYPERLINK("https%3A%2F%2Fwww.webofscience.com%2Fwos%2Fwoscc%2Ffull-record%2FWOS:000359361400011","View Full Record in Web of Science")</f>
        <v>View Full Record in Web of Science</v>
      </c>
    </row>
    <row r="485" spans="1:72" x14ac:dyDescent="0.15">
      <c r="A485" t="s">
        <v>72</v>
      </c>
      <c r="B485" t="s">
        <v>9664</v>
      </c>
      <c r="C485" t="s">
        <v>74</v>
      </c>
      <c r="D485" t="s">
        <v>74</v>
      </c>
      <c r="E485" t="s">
        <v>74</v>
      </c>
      <c r="F485" t="s">
        <v>9665</v>
      </c>
      <c r="G485" t="s">
        <v>74</v>
      </c>
      <c r="H485" t="s">
        <v>74</v>
      </c>
      <c r="I485" t="s">
        <v>9666</v>
      </c>
      <c r="J485" t="s">
        <v>1193</v>
      </c>
      <c r="K485" t="s">
        <v>74</v>
      </c>
      <c r="L485" t="s">
        <v>74</v>
      </c>
      <c r="M485" t="s">
        <v>78</v>
      </c>
      <c r="N485" t="s">
        <v>79</v>
      </c>
      <c r="O485" t="s">
        <v>74</v>
      </c>
      <c r="P485" t="s">
        <v>74</v>
      </c>
      <c r="Q485" t="s">
        <v>74</v>
      </c>
      <c r="R485" t="s">
        <v>74</v>
      </c>
      <c r="S485" t="s">
        <v>74</v>
      </c>
      <c r="T485" t="s">
        <v>9667</v>
      </c>
      <c r="U485" t="s">
        <v>9668</v>
      </c>
      <c r="V485" t="s">
        <v>9669</v>
      </c>
      <c r="W485" t="s">
        <v>9670</v>
      </c>
      <c r="X485" t="s">
        <v>9671</v>
      </c>
      <c r="Y485" t="s">
        <v>9672</v>
      </c>
      <c r="Z485" t="s">
        <v>9673</v>
      </c>
      <c r="AA485" t="s">
        <v>9674</v>
      </c>
      <c r="AB485" t="s">
        <v>9675</v>
      </c>
      <c r="AC485" t="s">
        <v>9676</v>
      </c>
      <c r="AD485" t="s">
        <v>9677</v>
      </c>
      <c r="AE485" t="s">
        <v>9678</v>
      </c>
      <c r="AF485" t="s">
        <v>74</v>
      </c>
      <c r="AG485">
        <v>30</v>
      </c>
      <c r="AH485">
        <v>13</v>
      </c>
      <c r="AI485">
        <v>14</v>
      </c>
      <c r="AJ485">
        <v>0</v>
      </c>
      <c r="AK485">
        <v>22</v>
      </c>
      <c r="AL485" t="s">
        <v>1206</v>
      </c>
      <c r="AM485" t="s">
        <v>1207</v>
      </c>
      <c r="AN485" t="s">
        <v>9679</v>
      </c>
      <c r="AO485" t="s">
        <v>1209</v>
      </c>
      <c r="AP485" t="s">
        <v>1210</v>
      </c>
      <c r="AQ485" t="s">
        <v>74</v>
      </c>
      <c r="AR485" t="s">
        <v>1193</v>
      </c>
      <c r="AS485" t="s">
        <v>1211</v>
      </c>
      <c r="AT485" t="s">
        <v>9646</v>
      </c>
      <c r="AU485">
        <v>2015</v>
      </c>
      <c r="AV485">
        <v>3995</v>
      </c>
      <c r="AW485">
        <v>1</v>
      </c>
      <c r="AX485" t="s">
        <v>74</v>
      </c>
      <c r="AY485" t="s">
        <v>74</v>
      </c>
      <c r="AZ485" t="s">
        <v>74</v>
      </c>
      <c r="BA485" t="s">
        <v>74</v>
      </c>
      <c r="BB485">
        <v>37</v>
      </c>
      <c r="BC485">
        <v>50</v>
      </c>
      <c r="BD485" t="s">
        <v>74</v>
      </c>
      <c r="BE485" t="s">
        <v>9680</v>
      </c>
      <c r="BF485" t="str">
        <f>HYPERLINK("http://dx.doi.org/10.11646/zootaxa.3995.1.5","http://dx.doi.org/10.11646/zootaxa.3995.1.5")</f>
        <v>http://dx.doi.org/10.11646/zootaxa.3995.1.5</v>
      </c>
      <c r="BG485" t="s">
        <v>74</v>
      </c>
      <c r="BH485" t="s">
        <v>74</v>
      </c>
      <c r="BI485">
        <v>14</v>
      </c>
      <c r="BJ485" t="s">
        <v>243</v>
      </c>
      <c r="BK485" t="s">
        <v>101</v>
      </c>
      <c r="BL485" t="s">
        <v>243</v>
      </c>
      <c r="BM485" t="s">
        <v>9662</v>
      </c>
      <c r="BN485">
        <v>26250301</v>
      </c>
      <c r="BO485" t="s">
        <v>74</v>
      </c>
      <c r="BP485" t="s">
        <v>74</v>
      </c>
      <c r="BQ485" t="s">
        <v>74</v>
      </c>
      <c r="BR485" t="s">
        <v>103</v>
      </c>
      <c r="BS485" t="s">
        <v>9681</v>
      </c>
      <c r="BT485" t="str">
        <f>HYPERLINK("https%3A%2F%2Fwww.webofscience.com%2Fwos%2Fwoscc%2Ffull-record%2FWOS:000359361400003","View Full Record in Web of Science")</f>
        <v>View Full Record in Web of Science</v>
      </c>
    </row>
    <row r="486" spans="1:72" x14ac:dyDescent="0.15">
      <c r="A486" t="s">
        <v>72</v>
      </c>
      <c r="B486" t="s">
        <v>9682</v>
      </c>
      <c r="C486" t="s">
        <v>74</v>
      </c>
      <c r="D486" t="s">
        <v>74</v>
      </c>
      <c r="E486" t="s">
        <v>74</v>
      </c>
      <c r="F486" t="s">
        <v>9683</v>
      </c>
      <c r="G486" t="s">
        <v>74</v>
      </c>
      <c r="H486" t="s">
        <v>74</v>
      </c>
      <c r="I486" t="s">
        <v>9684</v>
      </c>
      <c r="J486" t="s">
        <v>1193</v>
      </c>
      <c r="K486" t="s">
        <v>74</v>
      </c>
      <c r="L486" t="s">
        <v>74</v>
      </c>
      <c r="M486" t="s">
        <v>78</v>
      </c>
      <c r="N486" t="s">
        <v>79</v>
      </c>
      <c r="O486" t="s">
        <v>74</v>
      </c>
      <c r="P486" t="s">
        <v>74</v>
      </c>
      <c r="Q486" t="s">
        <v>74</v>
      </c>
      <c r="R486" t="s">
        <v>74</v>
      </c>
      <c r="S486" t="s">
        <v>74</v>
      </c>
      <c r="T486" t="s">
        <v>9685</v>
      </c>
      <c r="U486" t="s">
        <v>9686</v>
      </c>
      <c r="V486" t="s">
        <v>9687</v>
      </c>
      <c r="W486" t="s">
        <v>9688</v>
      </c>
      <c r="X486" t="s">
        <v>9689</v>
      </c>
      <c r="Y486" t="s">
        <v>9690</v>
      </c>
      <c r="Z486" t="s">
        <v>9691</v>
      </c>
      <c r="AA486" t="s">
        <v>9692</v>
      </c>
      <c r="AB486" t="s">
        <v>9693</v>
      </c>
      <c r="AC486" t="s">
        <v>9694</v>
      </c>
      <c r="AD486" t="s">
        <v>9695</v>
      </c>
      <c r="AE486" t="s">
        <v>9696</v>
      </c>
      <c r="AF486" t="s">
        <v>74</v>
      </c>
      <c r="AG486">
        <v>20</v>
      </c>
      <c r="AH486">
        <v>4</v>
      </c>
      <c r="AI486">
        <v>6</v>
      </c>
      <c r="AJ486">
        <v>0</v>
      </c>
      <c r="AK486">
        <v>3</v>
      </c>
      <c r="AL486" t="s">
        <v>1206</v>
      </c>
      <c r="AM486" t="s">
        <v>1207</v>
      </c>
      <c r="AN486" t="s">
        <v>1208</v>
      </c>
      <c r="AO486" t="s">
        <v>1209</v>
      </c>
      <c r="AP486" t="s">
        <v>1210</v>
      </c>
      <c r="AQ486" t="s">
        <v>74</v>
      </c>
      <c r="AR486" t="s">
        <v>1193</v>
      </c>
      <c r="AS486" t="s">
        <v>1211</v>
      </c>
      <c r="AT486" t="s">
        <v>9646</v>
      </c>
      <c r="AU486">
        <v>2015</v>
      </c>
      <c r="AV486">
        <v>3995</v>
      </c>
      <c r="AW486">
        <v>1</v>
      </c>
      <c r="AX486" t="s">
        <v>74</v>
      </c>
      <c r="AY486" t="s">
        <v>74</v>
      </c>
      <c r="AZ486" t="s">
        <v>74</v>
      </c>
      <c r="BA486" t="s">
        <v>74</v>
      </c>
      <c r="BB486">
        <v>271</v>
      </c>
      <c r="BC486">
        <v>283</v>
      </c>
      <c r="BD486" t="s">
        <v>74</v>
      </c>
      <c r="BE486" t="s">
        <v>9697</v>
      </c>
      <c r="BF486" t="str">
        <f>HYPERLINK("http://dx.doi.org/10.11646/zootaxa.3995.1.23","http://dx.doi.org/10.11646/zootaxa.3995.1.23")</f>
        <v>http://dx.doi.org/10.11646/zootaxa.3995.1.23</v>
      </c>
      <c r="BG486" t="s">
        <v>74</v>
      </c>
      <c r="BH486" t="s">
        <v>74</v>
      </c>
      <c r="BI486">
        <v>13</v>
      </c>
      <c r="BJ486" t="s">
        <v>243</v>
      </c>
      <c r="BK486" t="s">
        <v>101</v>
      </c>
      <c r="BL486" t="s">
        <v>243</v>
      </c>
      <c r="BM486" t="s">
        <v>9662</v>
      </c>
      <c r="BN486">
        <v>26250319</v>
      </c>
      <c r="BO486" t="s">
        <v>74</v>
      </c>
      <c r="BP486" t="s">
        <v>74</v>
      </c>
      <c r="BQ486" t="s">
        <v>74</v>
      </c>
      <c r="BR486" t="s">
        <v>103</v>
      </c>
      <c r="BS486" t="s">
        <v>9698</v>
      </c>
      <c r="BT486" t="str">
        <f>HYPERLINK("https%3A%2F%2Fwww.webofscience.com%2Fwos%2Fwoscc%2Ffull-record%2FWOS:000359361400021","View Full Record in Web of Science")</f>
        <v>View Full Record in Web of Science</v>
      </c>
    </row>
    <row r="487" spans="1:72" x14ac:dyDescent="0.15">
      <c r="A487" t="s">
        <v>72</v>
      </c>
      <c r="B487" t="s">
        <v>9699</v>
      </c>
      <c r="C487" t="s">
        <v>74</v>
      </c>
      <c r="D487" t="s">
        <v>74</v>
      </c>
      <c r="E487" t="s">
        <v>74</v>
      </c>
      <c r="F487" t="s">
        <v>9700</v>
      </c>
      <c r="G487" t="s">
        <v>74</v>
      </c>
      <c r="H487" t="s">
        <v>74</v>
      </c>
      <c r="I487" t="s">
        <v>9701</v>
      </c>
      <c r="J487" t="s">
        <v>6382</v>
      </c>
      <c r="K487" t="s">
        <v>74</v>
      </c>
      <c r="L487" t="s">
        <v>74</v>
      </c>
      <c r="M487" t="s">
        <v>78</v>
      </c>
      <c r="N487" t="s">
        <v>79</v>
      </c>
      <c r="O487" t="s">
        <v>74</v>
      </c>
      <c r="P487" t="s">
        <v>74</v>
      </c>
      <c r="Q487" t="s">
        <v>74</v>
      </c>
      <c r="R487" t="s">
        <v>74</v>
      </c>
      <c r="S487" t="s">
        <v>74</v>
      </c>
      <c r="T487" t="s">
        <v>9702</v>
      </c>
      <c r="U487" t="s">
        <v>9703</v>
      </c>
      <c r="V487" t="s">
        <v>9704</v>
      </c>
      <c r="W487" t="s">
        <v>9705</v>
      </c>
      <c r="X487" t="s">
        <v>9706</v>
      </c>
      <c r="Y487" t="s">
        <v>9707</v>
      </c>
      <c r="Z487" t="s">
        <v>9708</v>
      </c>
      <c r="AA487" t="s">
        <v>9709</v>
      </c>
      <c r="AB487" t="s">
        <v>74</v>
      </c>
      <c r="AC487" t="s">
        <v>9710</v>
      </c>
      <c r="AD487" t="s">
        <v>9711</v>
      </c>
      <c r="AE487" t="s">
        <v>9712</v>
      </c>
      <c r="AF487" t="s">
        <v>74</v>
      </c>
      <c r="AG487">
        <v>42</v>
      </c>
      <c r="AH487">
        <v>19</v>
      </c>
      <c r="AI487">
        <v>19</v>
      </c>
      <c r="AJ487">
        <v>0</v>
      </c>
      <c r="AK487">
        <v>24</v>
      </c>
      <c r="AL487" t="s">
        <v>9713</v>
      </c>
      <c r="AM487" t="s">
        <v>2895</v>
      </c>
      <c r="AN487" t="s">
        <v>2896</v>
      </c>
      <c r="AO487" t="s">
        <v>6393</v>
      </c>
      <c r="AP487" t="s">
        <v>74</v>
      </c>
      <c r="AQ487" t="s">
        <v>74</v>
      </c>
      <c r="AR487" t="s">
        <v>6394</v>
      </c>
      <c r="AS487" t="s">
        <v>6395</v>
      </c>
      <c r="AT487" t="s">
        <v>9714</v>
      </c>
      <c r="AU487">
        <v>2015</v>
      </c>
      <c r="AV487">
        <v>10</v>
      </c>
      <c r="AW487">
        <v>8</v>
      </c>
      <c r="AX487" t="s">
        <v>74</v>
      </c>
      <c r="AY487" t="s">
        <v>74</v>
      </c>
      <c r="AZ487" t="s">
        <v>74</v>
      </c>
      <c r="BA487" t="s">
        <v>74</v>
      </c>
      <c r="BB487" t="s">
        <v>74</v>
      </c>
      <c r="BC487" t="s">
        <v>74</v>
      </c>
      <c r="BD487">
        <v>84018</v>
      </c>
      <c r="BE487" t="s">
        <v>9715</v>
      </c>
      <c r="BF487" t="str">
        <f>HYPERLINK("http://dx.doi.org/10.1088/1748-9326/10/8/084018","http://dx.doi.org/10.1088/1748-9326/10/8/084018")</f>
        <v>http://dx.doi.org/10.1088/1748-9326/10/8/084018</v>
      </c>
      <c r="BG487" t="s">
        <v>74</v>
      </c>
      <c r="BH487" t="s">
        <v>74</v>
      </c>
      <c r="BI487">
        <v>10</v>
      </c>
      <c r="BJ487" t="s">
        <v>1837</v>
      </c>
      <c r="BK487" t="s">
        <v>101</v>
      </c>
      <c r="BL487" t="s">
        <v>1838</v>
      </c>
      <c r="BM487" t="s">
        <v>9716</v>
      </c>
      <c r="BN487" t="s">
        <v>74</v>
      </c>
      <c r="BO487" t="s">
        <v>1404</v>
      </c>
      <c r="BP487" t="s">
        <v>74</v>
      </c>
      <c r="BQ487" t="s">
        <v>74</v>
      </c>
      <c r="BR487" t="s">
        <v>103</v>
      </c>
      <c r="BS487" t="s">
        <v>9717</v>
      </c>
      <c r="BT487" t="str">
        <f>HYPERLINK("https%3A%2F%2Fwww.webofscience.com%2Fwos%2Fwoscc%2Ffull-record%2FWOS:000366999400019","View Full Record in Web of Science")</f>
        <v>View Full Record in Web of Science</v>
      </c>
    </row>
    <row r="488" spans="1:72" x14ac:dyDescent="0.15">
      <c r="A488" t="s">
        <v>72</v>
      </c>
      <c r="B488" t="s">
        <v>9718</v>
      </c>
      <c r="C488" t="s">
        <v>74</v>
      </c>
      <c r="D488" t="s">
        <v>74</v>
      </c>
      <c r="E488" t="s">
        <v>74</v>
      </c>
      <c r="F488" t="s">
        <v>9719</v>
      </c>
      <c r="G488" t="s">
        <v>74</v>
      </c>
      <c r="H488" t="s">
        <v>74</v>
      </c>
      <c r="I488" t="s">
        <v>9720</v>
      </c>
      <c r="J488" t="s">
        <v>9721</v>
      </c>
      <c r="K488" t="s">
        <v>74</v>
      </c>
      <c r="L488" t="s">
        <v>74</v>
      </c>
      <c r="M488" t="s">
        <v>78</v>
      </c>
      <c r="N488" t="s">
        <v>79</v>
      </c>
      <c r="O488" t="s">
        <v>74</v>
      </c>
      <c r="P488" t="s">
        <v>74</v>
      </c>
      <c r="Q488" t="s">
        <v>74</v>
      </c>
      <c r="R488" t="s">
        <v>74</v>
      </c>
      <c r="S488" t="s">
        <v>74</v>
      </c>
      <c r="T488" t="s">
        <v>74</v>
      </c>
      <c r="U488" t="s">
        <v>74</v>
      </c>
      <c r="V488" t="s">
        <v>74</v>
      </c>
      <c r="W488" t="s">
        <v>9722</v>
      </c>
      <c r="X488" t="s">
        <v>9723</v>
      </c>
      <c r="Y488" t="s">
        <v>9724</v>
      </c>
      <c r="Z488" t="s">
        <v>9725</v>
      </c>
      <c r="AA488" t="s">
        <v>9726</v>
      </c>
      <c r="AB488" t="s">
        <v>9727</v>
      </c>
      <c r="AC488" t="s">
        <v>9728</v>
      </c>
      <c r="AD488" t="s">
        <v>9729</v>
      </c>
      <c r="AE488" t="s">
        <v>9730</v>
      </c>
      <c r="AF488" t="s">
        <v>74</v>
      </c>
      <c r="AG488">
        <v>15</v>
      </c>
      <c r="AH488">
        <v>0</v>
      </c>
      <c r="AI488">
        <v>0</v>
      </c>
      <c r="AJ488">
        <v>0</v>
      </c>
      <c r="AK488">
        <v>4</v>
      </c>
      <c r="AL488" t="s">
        <v>9731</v>
      </c>
      <c r="AM488" t="s">
        <v>9732</v>
      </c>
      <c r="AN488" t="s">
        <v>9733</v>
      </c>
      <c r="AO488" t="s">
        <v>9734</v>
      </c>
      <c r="AP488" t="s">
        <v>9735</v>
      </c>
      <c r="AQ488" t="s">
        <v>74</v>
      </c>
      <c r="AR488" t="s">
        <v>9721</v>
      </c>
      <c r="AS488" t="s">
        <v>9736</v>
      </c>
      <c r="AT488" t="s">
        <v>9714</v>
      </c>
      <c r="AU488">
        <v>2015</v>
      </c>
      <c r="AV488">
        <v>88</v>
      </c>
      <c r="AW488">
        <v>9</v>
      </c>
      <c r="AX488" t="s">
        <v>74</v>
      </c>
      <c r="AY488" t="s">
        <v>74</v>
      </c>
      <c r="AZ488" t="s">
        <v>74</v>
      </c>
      <c r="BA488" t="s">
        <v>74</v>
      </c>
      <c r="BB488">
        <v>1055</v>
      </c>
      <c r="BC488">
        <v>1059</v>
      </c>
      <c r="BD488" t="s">
        <v>74</v>
      </c>
      <c r="BE488" t="s">
        <v>9737</v>
      </c>
      <c r="BF488" t="str">
        <f>HYPERLINK("http://dx.doi.org/10.1163/15685403-00003463","http://dx.doi.org/10.1163/15685403-00003463")</f>
        <v>http://dx.doi.org/10.1163/15685403-00003463</v>
      </c>
      <c r="BG488" t="s">
        <v>74</v>
      </c>
      <c r="BH488" t="s">
        <v>74</v>
      </c>
      <c r="BI488">
        <v>5</v>
      </c>
      <c r="BJ488" t="s">
        <v>100</v>
      </c>
      <c r="BK488" t="s">
        <v>101</v>
      </c>
      <c r="BL488" t="s">
        <v>100</v>
      </c>
      <c r="BM488" t="s">
        <v>9738</v>
      </c>
      <c r="BN488" t="s">
        <v>74</v>
      </c>
      <c r="BO488" t="s">
        <v>74</v>
      </c>
      <c r="BP488" t="s">
        <v>74</v>
      </c>
      <c r="BQ488" t="s">
        <v>74</v>
      </c>
      <c r="BR488" t="s">
        <v>103</v>
      </c>
      <c r="BS488" t="s">
        <v>9739</v>
      </c>
      <c r="BT488" t="str">
        <f>HYPERLINK("https%3A%2F%2Fwww.webofscience.com%2Fwos%2Fwoscc%2Ffull-record%2FWOS:000364107300008","View Full Record in Web of Science")</f>
        <v>View Full Record in Web of Science</v>
      </c>
    </row>
    <row r="489" spans="1:72" x14ac:dyDescent="0.15">
      <c r="A489" t="s">
        <v>72</v>
      </c>
      <c r="B489" t="s">
        <v>9740</v>
      </c>
      <c r="C489" t="s">
        <v>74</v>
      </c>
      <c r="D489" t="s">
        <v>74</v>
      </c>
      <c r="E489" t="s">
        <v>74</v>
      </c>
      <c r="F489" t="s">
        <v>9741</v>
      </c>
      <c r="G489" t="s">
        <v>74</v>
      </c>
      <c r="H489" t="s">
        <v>74</v>
      </c>
      <c r="I489" t="s">
        <v>9742</v>
      </c>
      <c r="J489" t="s">
        <v>295</v>
      </c>
      <c r="K489" t="s">
        <v>74</v>
      </c>
      <c r="L489" t="s">
        <v>74</v>
      </c>
      <c r="M489" t="s">
        <v>78</v>
      </c>
      <c r="N489" t="s">
        <v>79</v>
      </c>
      <c r="O489" t="s">
        <v>74</v>
      </c>
      <c r="P489" t="s">
        <v>74</v>
      </c>
      <c r="Q489" t="s">
        <v>74</v>
      </c>
      <c r="R489" t="s">
        <v>74</v>
      </c>
      <c r="S489" t="s">
        <v>74</v>
      </c>
      <c r="T489" t="s">
        <v>74</v>
      </c>
      <c r="U489" t="s">
        <v>9743</v>
      </c>
      <c r="V489" t="s">
        <v>9744</v>
      </c>
      <c r="W489" t="s">
        <v>9745</v>
      </c>
      <c r="X489" t="s">
        <v>9746</v>
      </c>
      <c r="Y489" t="s">
        <v>9747</v>
      </c>
      <c r="Z489" t="s">
        <v>9748</v>
      </c>
      <c r="AA489" t="s">
        <v>74</v>
      </c>
      <c r="AB489" t="s">
        <v>9749</v>
      </c>
      <c r="AC489" t="s">
        <v>9750</v>
      </c>
      <c r="AD489" t="s">
        <v>9751</v>
      </c>
      <c r="AE489" t="s">
        <v>9752</v>
      </c>
      <c r="AF489" t="s">
        <v>74</v>
      </c>
      <c r="AG489">
        <v>60</v>
      </c>
      <c r="AH489">
        <v>16</v>
      </c>
      <c r="AI489">
        <v>18</v>
      </c>
      <c r="AJ489">
        <v>2</v>
      </c>
      <c r="AK489">
        <v>14</v>
      </c>
      <c r="AL489" t="s">
        <v>306</v>
      </c>
      <c r="AM489" t="s">
        <v>307</v>
      </c>
      <c r="AN489" t="s">
        <v>308</v>
      </c>
      <c r="AO489" t="s">
        <v>74</v>
      </c>
      <c r="AP489" t="s">
        <v>310</v>
      </c>
      <c r="AQ489" t="s">
        <v>74</v>
      </c>
      <c r="AR489" t="s">
        <v>311</v>
      </c>
      <c r="AS489" t="s">
        <v>312</v>
      </c>
      <c r="AT489" t="s">
        <v>9714</v>
      </c>
      <c r="AU489">
        <v>2015</v>
      </c>
      <c r="AV489">
        <v>120</v>
      </c>
      <c r="AW489">
        <v>8</v>
      </c>
      <c r="AX489" t="s">
        <v>74</v>
      </c>
      <c r="AY489" t="s">
        <v>74</v>
      </c>
      <c r="AZ489" t="s">
        <v>74</v>
      </c>
      <c r="BA489" t="s">
        <v>74</v>
      </c>
      <c r="BB489">
        <v>1596</v>
      </c>
      <c r="BC489">
        <v>1610</v>
      </c>
      <c r="BD489" t="s">
        <v>74</v>
      </c>
      <c r="BE489" t="s">
        <v>9753</v>
      </c>
      <c r="BF489" t="str">
        <f>HYPERLINK("http://dx.doi.org/10.1002/2014JF003415","http://dx.doi.org/10.1002/2014JF003415")</f>
        <v>http://dx.doi.org/10.1002/2014JF003415</v>
      </c>
      <c r="BG489" t="s">
        <v>74</v>
      </c>
      <c r="BH489" t="s">
        <v>74</v>
      </c>
      <c r="BI489">
        <v>15</v>
      </c>
      <c r="BJ489" t="s">
        <v>314</v>
      </c>
      <c r="BK489" t="s">
        <v>101</v>
      </c>
      <c r="BL489" t="s">
        <v>315</v>
      </c>
      <c r="BM489" t="s">
        <v>9754</v>
      </c>
      <c r="BN489" t="s">
        <v>74</v>
      </c>
      <c r="BO489" t="s">
        <v>162</v>
      </c>
      <c r="BP489" t="s">
        <v>74</v>
      </c>
      <c r="BQ489" t="s">
        <v>74</v>
      </c>
      <c r="BR489" t="s">
        <v>103</v>
      </c>
      <c r="BS489" t="s">
        <v>9755</v>
      </c>
      <c r="BT489" t="str">
        <f>HYPERLINK("https%3A%2F%2Fwww.webofscience.com%2Fwos%2Fwoscc%2Ffull-record%2FWOS:000363464000009","View Full Record in Web of Science")</f>
        <v>View Full Record in Web of Science</v>
      </c>
    </row>
    <row r="490" spans="1:72" x14ac:dyDescent="0.15">
      <c r="A490" t="s">
        <v>72</v>
      </c>
      <c r="B490" t="s">
        <v>9756</v>
      </c>
      <c r="C490" t="s">
        <v>74</v>
      </c>
      <c r="D490" t="s">
        <v>74</v>
      </c>
      <c r="E490" t="s">
        <v>74</v>
      </c>
      <c r="F490" t="s">
        <v>9757</v>
      </c>
      <c r="G490" t="s">
        <v>74</v>
      </c>
      <c r="H490" t="s">
        <v>74</v>
      </c>
      <c r="I490" t="s">
        <v>9758</v>
      </c>
      <c r="J490" t="s">
        <v>9759</v>
      </c>
      <c r="K490" t="s">
        <v>74</v>
      </c>
      <c r="L490" t="s">
        <v>74</v>
      </c>
      <c r="M490" t="s">
        <v>78</v>
      </c>
      <c r="N490" t="s">
        <v>79</v>
      </c>
      <c r="O490" t="s">
        <v>74</v>
      </c>
      <c r="P490" t="s">
        <v>74</v>
      </c>
      <c r="Q490" t="s">
        <v>74</v>
      </c>
      <c r="R490" t="s">
        <v>74</v>
      </c>
      <c r="S490" t="s">
        <v>74</v>
      </c>
      <c r="T490" t="s">
        <v>74</v>
      </c>
      <c r="U490" t="s">
        <v>9760</v>
      </c>
      <c r="V490" t="s">
        <v>9761</v>
      </c>
      <c r="W490" t="s">
        <v>9762</v>
      </c>
      <c r="X490" t="s">
        <v>9763</v>
      </c>
      <c r="Y490" t="s">
        <v>9764</v>
      </c>
      <c r="Z490" t="s">
        <v>9765</v>
      </c>
      <c r="AA490" t="s">
        <v>9766</v>
      </c>
      <c r="AB490" t="s">
        <v>9767</v>
      </c>
      <c r="AC490" t="s">
        <v>9768</v>
      </c>
      <c r="AD490" t="s">
        <v>9769</v>
      </c>
      <c r="AE490" t="s">
        <v>9770</v>
      </c>
      <c r="AF490" t="s">
        <v>74</v>
      </c>
      <c r="AG490">
        <v>50</v>
      </c>
      <c r="AH490">
        <v>9</v>
      </c>
      <c r="AI490">
        <v>10</v>
      </c>
      <c r="AJ490">
        <v>2</v>
      </c>
      <c r="AK490">
        <v>55</v>
      </c>
      <c r="AL490" t="s">
        <v>306</v>
      </c>
      <c r="AM490" t="s">
        <v>307</v>
      </c>
      <c r="AN490" t="s">
        <v>308</v>
      </c>
      <c r="AO490" t="s">
        <v>9771</v>
      </c>
      <c r="AP490" t="s">
        <v>9772</v>
      </c>
      <c r="AQ490" t="s">
        <v>74</v>
      </c>
      <c r="AR490" t="s">
        <v>9773</v>
      </c>
      <c r="AS490" t="s">
        <v>9774</v>
      </c>
      <c r="AT490" t="s">
        <v>9714</v>
      </c>
      <c r="AU490">
        <v>2015</v>
      </c>
      <c r="AV490">
        <v>51</v>
      </c>
      <c r="AW490">
        <v>8</v>
      </c>
      <c r="AX490" t="s">
        <v>74</v>
      </c>
      <c r="AY490" t="s">
        <v>74</v>
      </c>
      <c r="AZ490" t="s">
        <v>74</v>
      </c>
      <c r="BA490" t="s">
        <v>74</v>
      </c>
      <c r="BB490">
        <v>6725</v>
      </c>
      <c r="BC490">
        <v>6738</v>
      </c>
      <c r="BD490" t="s">
        <v>74</v>
      </c>
      <c r="BE490" t="s">
        <v>9775</v>
      </c>
      <c r="BF490" t="str">
        <f>HYPERLINK("http://dx.doi.org/10.1002/2015WR017618","http://dx.doi.org/10.1002/2015WR017618")</f>
        <v>http://dx.doi.org/10.1002/2015WR017618</v>
      </c>
      <c r="BG490" t="s">
        <v>74</v>
      </c>
      <c r="BH490" t="s">
        <v>74</v>
      </c>
      <c r="BI490">
        <v>14</v>
      </c>
      <c r="BJ490" t="s">
        <v>9776</v>
      </c>
      <c r="BK490" t="s">
        <v>101</v>
      </c>
      <c r="BL490" t="s">
        <v>9777</v>
      </c>
      <c r="BM490" t="s">
        <v>9778</v>
      </c>
      <c r="BN490" t="s">
        <v>74</v>
      </c>
      <c r="BO490" t="s">
        <v>162</v>
      </c>
      <c r="BP490" t="s">
        <v>74</v>
      </c>
      <c r="BQ490" t="s">
        <v>74</v>
      </c>
      <c r="BR490" t="s">
        <v>103</v>
      </c>
      <c r="BS490" t="s">
        <v>9779</v>
      </c>
      <c r="BT490" t="str">
        <f>HYPERLINK("https%3A%2F%2Fwww.webofscience.com%2Fwos%2Fwoscc%2Ffull-record%2FWOS:000363402800045","View Full Record in Web of Science")</f>
        <v>View Full Record in Web of Science</v>
      </c>
    </row>
    <row r="491" spans="1:72" x14ac:dyDescent="0.15">
      <c r="A491" t="s">
        <v>72</v>
      </c>
      <c r="B491" t="s">
        <v>9780</v>
      </c>
      <c r="C491" t="s">
        <v>74</v>
      </c>
      <c r="D491" t="s">
        <v>74</v>
      </c>
      <c r="E491" t="s">
        <v>74</v>
      </c>
      <c r="F491" t="s">
        <v>9781</v>
      </c>
      <c r="G491" t="s">
        <v>74</v>
      </c>
      <c r="H491" t="s">
        <v>74</v>
      </c>
      <c r="I491" t="s">
        <v>9782</v>
      </c>
      <c r="J491" t="s">
        <v>140</v>
      </c>
      <c r="K491" t="s">
        <v>74</v>
      </c>
      <c r="L491" t="s">
        <v>74</v>
      </c>
      <c r="M491" t="s">
        <v>78</v>
      </c>
      <c r="N491" t="s">
        <v>79</v>
      </c>
      <c r="O491" t="s">
        <v>74</v>
      </c>
      <c r="P491" t="s">
        <v>74</v>
      </c>
      <c r="Q491" t="s">
        <v>74</v>
      </c>
      <c r="R491" t="s">
        <v>74</v>
      </c>
      <c r="S491" t="s">
        <v>74</v>
      </c>
      <c r="T491" t="s">
        <v>74</v>
      </c>
      <c r="U491" t="s">
        <v>9783</v>
      </c>
      <c r="V491" t="s">
        <v>9784</v>
      </c>
      <c r="W491" t="s">
        <v>9785</v>
      </c>
      <c r="X491" t="s">
        <v>9786</v>
      </c>
      <c r="Y491" t="s">
        <v>9787</v>
      </c>
      <c r="Z491" t="s">
        <v>9788</v>
      </c>
      <c r="AA491" t="s">
        <v>9789</v>
      </c>
      <c r="AB491" t="s">
        <v>9790</v>
      </c>
      <c r="AC491" t="s">
        <v>9791</v>
      </c>
      <c r="AD491" t="s">
        <v>9792</v>
      </c>
      <c r="AE491" t="s">
        <v>9793</v>
      </c>
      <c r="AF491" t="s">
        <v>74</v>
      </c>
      <c r="AG491">
        <v>19</v>
      </c>
      <c r="AH491">
        <v>4</v>
      </c>
      <c r="AI491">
        <v>5</v>
      </c>
      <c r="AJ491">
        <v>0</v>
      </c>
      <c r="AK491">
        <v>7</v>
      </c>
      <c r="AL491" t="s">
        <v>4166</v>
      </c>
      <c r="AM491" t="s">
        <v>180</v>
      </c>
      <c r="AN491" t="s">
        <v>9794</v>
      </c>
      <c r="AO491" t="s">
        <v>155</v>
      </c>
      <c r="AP491" t="s">
        <v>156</v>
      </c>
      <c r="AQ491" t="s">
        <v>74</v>
      </c>
      <c r="AR491" t="s">
        <v>157</v>
      </c>
      <c r="AS491" t="s">
        <v>158</v>
      </c>
      <c r="AT491" t="s">
        <v>9714</v>
      </c>
      <c r="AU491">
        <v>2015</v>
      </c>
      <c r="AV491">
        <v>65</v>
      </c>
      <c r="AW491" t="s">
        <v>74</v>
      </c>
      <c r="AX491">
        <v>8</v>
      </c>
      <c r="AY491" t="s">
        <v>74</v>
      </c>
      <c r="AZ491" t="s">
        <v>74</v>
      </c>
      <c r="BA491" t="s">
        <v>74</v>
      </c>
      <c r="BB491">
        <v>2391</v>
      </c>
      <c r="BC491">
        <v>2396</v>
      </c>
      <c r="BD491" t="s">
        <v>74</v>
      </c>
      <c r="BE491" t="s">
        <v>9795</v>
      </c>
      <c r="BF491" t="str">
        <f>HYPERLINK("http://dx.doi.org/10.1099/ijs.0.000269","http://dx.doi.org/10.1099/ijs.0.000269")</f>
        <v>http://dx.doi.org/10.1099/ijs.0.000269</v>
      </c>
      <c r="BG491" t="s">
        <v>74</v>
      </c>
      <c r="BH491" t="s">
        <v>74</v>
      </c>
      <c r="BI491">
        <v>6</v>
      </c>
      <c r="BJ491" t="s">
        <v>160</v>
      </c>
      <c r="BK491" t="s">
        <v>101</v>
      </c>
      <c r="BL491" t="s">
        <v>160</v>
      </c>
      <c r="BM491" t="s">
        <v>9796</v>
      </c>
      <c r="BN491">
        <v>25908706</v>
      </c>
      <c r="BO491" t="s">
        <v>4305</v>
      </c>
      <c r="BP491" t="s">
        <v>74</v>
      </c>
      <c r="BQ491" t="s">
        <v>74</v>
      </c>
      <c r="BR491" t="s">
        <v>103</v>
      </c>
      <c r="BS491" t="s">
        <v>9797</v>
      </c>
      <c r="BT491" t="str">
        <f>HYPERLINK("https%3A%2F%2Fwww.webofscience.com%2Fwos%2Fwoscc%2Ffull-record%2FWOS:000362384800008","View Full Record in Web of Science")</f>
        <v>View Full Record in Web of Science</v>
      </c>
    </row>
    <row r="492" spans="1:72" x14ac:dyDescent="0.15">
      <c r="A492" t="s">
        <v>72</v>
      </c>
      <c r="B492" t="s">
        <v>9798</v>
      </c>
      <c r="C492" t="s">
        <v>74</v>
      </c>
      <c r="D492" t="s">
        <v>74</v>
      </c>
      <c r="E492" t="s">
        <v>74</v>
      </c>
      <c r="F492" t="s">
        <v>9799</v>
      </c>
      <c r="G492" t="s">
        <v>74</v>
      </c>
      <c r="H492" t="s">
        <v>74</v>
      </c>
      <c r="I492" t="s">
        <v>9800</v>
      </c>
      <c r="J492" t="s">
        <v>322</v>
      </c>
      <c r="K492" t="s">
        <v>74</v>
      </c>
      <c r="L492" t="s">
        <v>74</v>
      </c>
      <c r="M492" t="s">
        <v>78</v>
      </c>
      <c r="N492" t="s">
        <v>79</v>
      </c>
      <c r="O492" t="s">
        <v>74</v>
      </c>
      <c r="P492" t="s">
        <v>74</v>
      </c>
      <c r="Q492" t="s">
        <v>74</v>
      </c>
      <c r="R492" t="s">
        <v>74</v>
      </c>
      <c r="S492" t="s">
        <v>74</v>
      </c>
      <c r="T492" t="s">
        <v>74</v>
      </c>
      <c r="U492" t="s">
        <v>9801</v>
      </c>
      <c r="V492" t="s">
        <v>9802</v>
      </c>
      <c r="W492" t="s">
        <v>9803</v>
      </c>
      <c r="X492" t="s">
        <v>9804</v>
      </c>
      <c r="Y492" t="s">
        <v>9805</v>
      </c>
      <c r="Z492" t="s">
        <v>9806</v>
      </c>
      <c r="AA492" t="s">
        <v>9807</v>
      </c>
      <c r="AB492" t="s">
        <v>9808</v>
      </c>
      <c r="AC492" t="s">
        <v>9809</v>
      </c>
      <c r="AD492" t="s">
        <v>9809</v>
      </c>
      <c r="AE492" t="s">
        <v>9810</v>
      </c>
      <c r="AF492" t="s">
        <v>74</v>
      </c>
      <c r="AG492">
        <v>50</v>
      </c>
      <c r="AH492">
        <v>11</v>
      </c>
      <c r="AI492">
        <v>11</v>
      </c>
      <c r="AJ492">
        <v>0</v>
      </c>
      <c r="AK492">
        <v>13</v>
      </c>
      <c r="AL492" t="s">
        <v>306</v>
      </c>
      <c r="AM492" t="s">
        <v>307</v>
      </c>
      <c r="AN492" t="s">
        <v>308</v>
      </c>
      <c r="AO492" t="s">
        <v>334</v>
      </c>
      <c r="AP492" t="s">
        <v>335</v>
      </c>
      <c r="AQ492" t="s">
        <v>74</v>
      </c>
      <c r="AR492" t="s">
        <v>336</v>
      </c>
      <c r="AS492" t="s">
        <v>337</v>
      </c>
      <c r="AT492" t="s">
        <v>9714</v>
      </c>
      <c r="AU492">
        <v>2015</v>
      </c>
      <c r="AV492">
        <v>120</v>
      </c>
      <c r="AW492">
        <v>8</v>
      </c>
      <c r="AX492" t="s">
        <v>74</v>
      </c>
      <c r="AY492" t="s">
        <v>74</v>
      </c>
      <c r="AZ492" t="s">
        <v>74</v>
      </c>
      <c r="BA492" t="s">
        <v>74</v>
      </c>
      <c r="BB492">
        <v>5436</v>
      </c>
      <c r="BC492">
        <v>5456</v>
      </c>
      <c r="BD492" t="s">
        <v>74</v>
      </c>
      <c r="BE492" t="s">
        <v>9811</v>
      </c>
      <c r="BF492" t="str">
        <f>HYPERLINK("http://dx.doi.org/10.1002/2015JC010933","http://dx.doi.org/10.1002/2015JC010933")</f>
        <v>http://dx.doi.org/10.1002/2015JC010933</v>
      </c>
      <c r="BG492" t="s">
        <v>74</v>
      </c>
      <c r="BH492" t="s">
        <v>74</v>
      </c>
      <c r="BI492">
        <v>21</v>
      </c>
      <c r="BJ492" t="s">
        <v>339</v>
      </c>
      <c r="BK492" t="s">
        <v>101</v>
      </c>
      <c r="BL492" t="s">
        <v>339</v>
      </c>
      <c r="BM492" t="s">
        <v>9812</v>
      </c>
      <c r="BN492" t="s">
        <v>74</v>
      </c>
      <c r="BO492" t="s">
        <v>4305</v>
      </c>
      <c r="BP492" t="s">
        <v>74</v>
      </c>
      <c r="BQ492" t="s">
        <v>74</v>
      </c>
      <c r="BR492" t="s">
        <v>103</v>
      </c>
      <c r="BS492" t="s">
        <v>9813</v>
      </c>
      <c r="BT492" t="str">
        <f>HYPERLINK("https%3A%2F%2Fwww.webofscience.com%2Fwos%2Fwoscc%2Ffull-record%2FWOS:000362653600009","View Full Record in Web of Science")</f>
        <v>View Full Record in Web of Science</v>
      </c>
    </row>
    <row r="493" spans="1:72" x14ac:dyDescent="0.15">
      <c r="A493" t="s">
        <v>72</v>
      </c>
      <c r="B493" t="s">
        <v>9814</v>
      </c>
      <c r="C493" t="s">
        <v>74</v>
      </c>
      <c r="D493" t="s">
        <v>74</v>
      </c>
      <c r="E493" t="s">
        <v>74</v>
      </c>
      <c r="F493" t="s">
        <v>9815</v>
      </c>
      <c r="G493" t="s">
        <v>74</v>
      </c>
      <c r="H493" t="s">
        <v>74</v>
      </c>
      <c r="I493" t="s">
        <v>9816</v>
      </c>
      <c r="J493" t="s">
        <v>9817</v>
      </c>
      <c r="K493" t="s">
        <v>74</v>
      </c>
      <c r="L493" t="s">
        <v>74</v>
      </c>
      <c r="M493" t="s">
        <v>78</v>
      </c>
      <c r="N493" t="s">
        <v>79</v>
      </c>
      <c r="O493" t="s">
        <v>74</v>
      </c>
      <c r="P493" t="s">
        <v>74</v>
      </c>
      <c r="Q493" t="s">
        <v>74</v>
      </c>
      <c r="R493" t="s">
        <v>74</v>
      </c>
      <c r="S493" t="s">
        <v>74</v>
      </c>
      <c r="T493" t="s">
        <v>9818</v>
      </c>
      <c r="U493" t="s">
        <v>9819</v>
      </c>
      <c r="V493" t="s">
        <v>9820</v>
      </c>
      <c r="W493" t="s">
        <v>9821</v>
      </c>
      <c r="X493" t="s">
        <v>9822</v>
      </c>
      <c r="Y493" t="s">
        <v>9823</v>
      </c>
      <c r="Z493" t="s">
        <v>9824</v>
      </c>
      <c r="AA493" t="s">
        <v>9825</v>
      </c>
      <c r="AB493" t="s">
        <v>9826</v>
      </c>
      <c r="AC493" t="s">
        <v>9827</v>
      </c>
      <c r="AD493" t="s">
        <v>9827</v>
      </c>
      <c r="AE493" t="s">
        <v>9828</v>
      </c>
      <c r="AF493" t="s">
        <v>74</v>
      </c>
      <c r="AG493">
        <v>89</v>
      </c>
      <c r="AH493">
        <v>27</v>
      </c>
      <c r="AI493">
        <v>28</v>
      </c>
      <c r="AJ493">
        <v>0</v>
      </c>
      <c r="AK493">
        <v>32</v>
      </c>
      <c r="AL493" t="s">
        <v>208</v>
      </c>
      <c r="AM493" t="s">
        <v>209</v>
      </c>
      <c r="AN493" t="s">
        <v>210</v>
      </c>
      <c r="AO493" t="s">
        <v>9829</v>
      </c>
      <c r="AP493" t="s">
        <v>74</v>
      </c>
      <c r="AQ493" t="s">
        <v>74</v>
      </c>
      <c r="AR493" t="s">
        <v>9817</v>
      </c>
      <c r="AS493" t="s">
        <v>9830</v>
      </c>
      <c r="AT493" t="s">
        <v>9714</v>
      </c>
      <c r="AU493">
        <v>2015</v>
      </c>
      <c r="AV493">
        <v>6</v>
      </c>
      <c r="AW493">
        <v>8</v>
      </c>
      <c r="AX493" t="s">
        <v>74</v>
      </c>
      <c r="AY493" t="s">
        <v>74</v>
      </c>
      <c r="AZ493" t="s">
        <v>74</v>
      </c>
      <c r="BA493" t="s">
        <v>74</v>
      </c>
      <c r="BB493" t="s">
        <v>74</v>
      </c>
      <c r="BC493" t="s">
        <v>74</v>
      </c>
      <c r="BD493">
        <v>139</v>
      </c>
      <c r="BE493" t="s">
        <v>9831</v>
      </c>
      <c r="BF493" t="str">
        <f>HYPERLINK("http://dx.doi.org/10.1890/ES14-00508.1","http://dx.doi.org/10.1890/ES14-00508.1")</f>
        <v>http://dx.doi.org/10.1890/ES14-00508.1</v>
      </c>
      <c r="BG493" t="s">
        <v>74</v>
      </c>
      <c r="BH493" t="s">
        <v>74</v>
      </c>
      <c r="BI493">
        <v>22</v>
      </c>
      <c r="BJ493" t="s">
        <v>643</v>
      </c>
      <c r="BK493" t="s">
        <v>101</v>
      </c>
      <c r="BL493" t="s">
        <v>644</v>
      </c>
      <c r="BM493" t="s">
        <v>9832</v>
      </c>
      <c r="BN493" t="s">
        <v>74</v>
      </c>
      <c r="BO493" t="s">
        <v>1262</v>
      </c>
      <c r="BP493" t="s">
        <v>74</v>
      </c>
      <c r="BQ493" t="s">
        <v>74</v>
      </c>
      <c r="BR493" t="s">
        <v>103</v>
      </c>
      <c r="BS493" t="s">
        <v>9833</v>
      </c>
      <c r="BT493" t="str">
        <f>HYPERLINK("https%3A%2F%2Fwww.webofscience.com%2Fwos%2Fwoscc%2Ffull-record%2FWOS:000362118100001","View Full Record in Web of Science")</f>
        <v>View Full Record in Web of Science</v>
      </c>
    </row>
    <row r="494" spans="1:72" x14ac:dyDescent="0.15">
      <c r="A494" t="s">
        <v>72</v>
      </c>
      <c r="B494" t="s">
        <v>9834</v>
      </c>
      <c r="C494" t="s">
        <v>74</v>
      </c>
      <c r="D494" t="s">
        <v>74</v>
      </c>
      <c r="E494" t="s">
        <v>74</v>
      </c>
      <c r="F494" t="s">
        <v>9835</v>
      </c>
      <c r="G494" t="s">
        <v>74</v>
      </c>
      <c r="H494" t="s">
        <v>74</v>
      </c>
      <c r="I494" t="s">
        <v>9836</v>
      </c>
      <c r="J494" t="s">
        <v>361</v>
      </c>
      <c r="K494" t="s">
        <v>74</v>
      </c>
      <c r="L494" t="s">
        <v>74</v>
      </c>
      <c r="M494" t="s">
        <v>78</v>
      </c>
      <c r="N494" t="s">
        <v>79</v>
      </c>
      <c r="O494" t="s">
        <v>74</v>
      </c>
      <c r="P494" t="s">
        <v>74</v>
      </c>
      <c r="Q494" t="s">
        <v>74</v>
      </c>
      <c r="R494" t="s">
        <v>74</v>
      </c>
      <c r="S494" t="s">
        <v>74</v>
      </c>
      <c r="T494" t="s">
        <v>9837</v>
      </c>
      <c r="U494" t="s">
        <v>9838</v>
      </c>
      <c r="V494" t="s">
        <v>9839</v>
      </c>
      <c r="W494" t="s">
        <v>9840</v>
      </c>
      <c r="X494" t="s">
        <v>9841</v>
      </c>
      <c r="Y494" t="s">
        <v>9842</v>
      </c>
      <c r="Z494" t="s">
        <v>9843</v>
      </c>
      <c r="AA494" t="s">
        <v>9844</v>
      </c>
      <c r="AB494" t="s">
        <v>9845</v>
      </c>
      <c r="AC494" t="s">
        <v>9846</v>
      </c>
      <c r="AD494" t="s">
        <v>9847</v>
      </c>
      <c r="AE494" t="s">
        <v>9848</v>
      </c>
      <c r="AF494" t="s">
        <v>74</v>
      </c>
      <c r="AG494">
        <v>35</v>
      </c>
      <c r="AH494">
        <v>46</v>
      </c>
      <c r="AI494">
        <v>47</v>
      </c>
      <c r="AJ494">
        <v>1</v>
      </c>
      <c r="AK494">
        <v>7</v>
      </c>
      <c r="AL494" t="s">
        <v>306</v>
      </c>
      <c r="AM494" t="s">
        <v>307</v>
      </c>
      <c r="AN494" t="s">
        <v>308</v>
      </c>
      <c r="AO494" t="s">
        <v>373</v>
      </c>
      <c r="AP494" t="s">
        <v>374</v>
      </c>
      <c r="AQ494" t="s">
        <v>74</v>
      </c>
      <c r="AR494" t="s">
        <v>375</v>
      </c>
      <c r="AS494" t="s">
        <v>376</v>
      </c>
      <c r="AT494" t="s">
        <v>9714</v>
      </c>
      <c r="AU494">
        <v>2015</v>
      </c>
      <c r="AV494">
        <v>120</v>
      </c>
      <c r="AW494">
        <v>8</v>
      </c>
      <c r="AX494" t="s">
        <v>74</v>
      </c>
      <c r="AY494" t="s">
        <v>74</v>
      </c>
      <c r="AZ494" t="s">
        <v>74</v>
      </c>
      <c r="BA494" t="s">
        <v>74</v>
      </c>
      <c r="BB494">
        <v>6230</v>
      </c>
      <c r="BC494">
        <v>6257</v>
      </c>
      <c r="BD494" t="s">
        <v>74</v>
      </c>
      <c r="BE494" t="s">
        <v>9849</v>
      </c>
      <c r="BF494" t="str">
        <f>HYPERLINK("http://dx.doi.org/10.1002/2015JA021179","http://dx.doi.org/10.1002/2015JA021179")</f>
        <v>http://dx.doi.org/10.1002/2015JA021179</v>
      </c>
      <c r="BG494" t="s">
        <v>74</v>
      </c>
      <c r="BH494" t="s">
        <v>74</v>
      </c>
      <c r="BI494">
        <v>28</v>
      </c>
      <c r="BJ494" t="s">
        <v>378</v>
      </c>
      <c r="BK494" t="s">
        <v>101</v>
      </c>
      <c r="BL494" t="s">
        <v>378</v>
      </c>
      <c r="BM494" t="s">
        <v>9850</v>
      </c>
      <c r="BN494" t="s">
        <v>74</v>
      </c>
      <c r="BO494" t="s">
        <v>162</v>
      </c>
      <c r="BP494" t="s">
        <v>74</v>
      </c>
      <c r="BQ494" t="s">
        <v>74</v>
      </c>
      <c r="BR494" t="s">
        <v>103</v>
      </c>
      <c r="BS494" t="s">
        <v>9851</v>
      </c>
      <c r="BT494" t="str">
        <f>HYPERLINK("https%3A%2F%2Fwww.webofscience.com%2Fwos%2Fwoscc%2Ffull-record%2FWOS:000362125300015","View Full Record in Web of Science")</f>
        <v>View Full Record in Web of Science</v>
      </c>
    </row>
    <row r="495" spans="1:72" x14ac:dyDescent="0.15">
      <c r="A495" t="s">
        <v>72</v>
      </c>
      <c r="B495" t="s">
        <v>9852</v>
      </c>
      <c r="C495" t="s">
        <v>74</v>
      </c>
      <c r="D495" t="s">
        <v>74</v>
      </c>
      <c r="E495" t="s">
        <v>74</v>
      </c>
      <c r="F495" t="s">
        <v>9853</v>
      </c>
      <c r="G495" t="s">
        <v>74</v>
      </c>
      <c r="H495" t="s">
        <v>74</v>
      </c>
      <c r="I495" t="s">
        <v>9854</v>
      </c>
      <c r="J495" t="s">
        <v>9855</v>
      </c>
      <c r="K495" t="s">
        <v>74</v>
      </c>
      <c r="L495" t="s">
        <v>74</v>
      </c>
      <c r="M495" t="s">
        <v>2204</v>
      </c>
      <c r="N495" t="s">
        <v>79</v>
      </c>
      <c r="O495" t="s">
        <v>74</v>
      </c>
      <c r="P495" t="s">
        <v>74</v>
      </c>
      <c r="Q495" t="s">
        <v>74</v>
      </c>
      <c r="R495" t="s">
        <v>74</v>
      </c>
      <c r="S495" t="s">
        <v>74</v>
      </c>
      <c r="T495" t="s">
        <v>9856</v>
      </c>
      <c r="U495" t="s">
        <v>9857</v>
      </c>
      <c r="V495" t="s">
        <v>9858</v>
      </c>
      <c r="W495" t="s">
        <v>9859</v>
      </c>
      <c r="X495" t="s">
        <v>9860</v>
      </c>
      <c r="Y495" t="s">
        <v>9861</v>
      </c>
      <c r="Z495" t="s">
        <v>9862</v>
      </c>
      <c r="AA495" t="s">
        <v>9863</v>
      </c>
      <c r="AB495" t="s">
        <v>9864</v>
      </c>
      <c r="AC495" t="s">
        <v>74</v>
      </c>
      <c r="AD495" t="s">
        <v>74</v>
      </c>
      <c r="AE495" t="s">
        <v>74</v>
      </c>
      <c r="AF495" t="s">
        <v>74</v>
      </c>
      <c r="AG495">
        <v>32</v>
      </c>
      <c r="AH495">
        <v>7</v>
      </c>
      <c r="AI495">
        <v>9</v>
      </c>
      <c r="AJ495">
        <v>1</v>
      </c>
      <c r="AK495">
        <v>13</v>
      </c>
      <c r="AL495" t="s">
        <v>9865</v>
      </c>
      <c r="AM495" t="s">
        <v>2212</v>
      </c>
      <c r="AN495" t="s">
        <v>9866</v>
      </c>
      <c r="AO495" t="s">
        <v>9867</v>
      </c>
      <c r="AP495" t="s">
        <v>9868</v>
      </c>
      <c r="AQ495" t="s">
        <v>74</v>
      </c>
      <c r="AR495" t="s">
        <v>9869</v>
      </c>
      <c r="AS495" t="s">
        <v>9870</v>
      </c>
      <c r="AT495" t="s">
        <v>9714</v>
      </c>
      <c r="AU495">
        <v>2015</v>
      </c>
      <c r="AV495">
        <v>50</v>
      </c>
      <c r="AW495">
        <v>2</v>
      </c>
      <c r="AX495" t="s">
        <v>74</v>
      </c>
      <c r="AY495" t="s">
        <v>74</v>
      </c>
      <c r="AZ495" t="s">
        <v>74</v>
      </c>
      <c r="BA495" t="s">
        <v>74</v>
      </c>
      <c r="BB495">
        <v>375</v>
      </c>
      <c r="BC495">
        <v>381</v>
      </c>
      <c r="BD495" t="s">
        <v>74</v>
      </c>
      <c r="BE495" t="s">
        <v>9871</v>
      </c>
      <c r="BF495" t="str">
        <f>HYPERLINK("http://dx.doi.org/10.4067/S0718-19572015000300016","http://dx.doi.org/10.4067/S0718-19572015000300016")</f>
        <v>http://dx.doi.org/10.4067/S0718-19572015000300016</v>
      </c>
      <c r="BG495" t="s">
        <v>74</v>
      </c>
      <c r="BH495" t="s">
        <v>74</v>
      </c>
      <c r="BI495">
        <v>7</v>
      </c>
      <c r="BJ495" t="s">
        <v>478</v>
      </c>
      <c r="BK495" t="s">
        <v>101</v>
      </c>
      <c r="BL495" t="s">
        <v>478</v>
      </c>
      <c r="BM495" t="s">
        <v>9872</v>
      </c>
      <c r="BN495" t="s">
        <v>74</v>
      </c>
      <c r="BO495" t="s">
        <v>8973</v>
      </c>
      <c r="BP495" t="s">
        <v>74</v>
      </c>
      <c r="BQ495" t="s">
        <v>74</v>
      </c>
      <c r="BR495" t="s">
        <v>103</v>
      </c>
      <c r="BS495" t="s">
        <v>9873</v>
      </c>
      <c r="BT495" t="str">
        <f>HYPERLINK("https%3A%2F%2Fwww.webofscience.com%2Fwos%2Fwoscc%2Ffull-record%2FWOS:000361624000016","View Full Record in Web of Science")</f>
        <v>View Full Record in Web of Science</v>
      </c>
    </row>
    <row r="496" spans="1:72" x14ac:dyDescent="0.15">
      <c r="A496" t="s">
        <v>72</v>
      </c>
      <c r="B496" t="s">
        <v>9874</v>
      </c>
      <c r="C496" t="s">
        <v>74</v>
      </c>
      <c r="D496" t="s">
        <v>74</v>
      </c>
      <c r="E496" t="s">
        <v>74</v>
      </c>
      <c r="F496" t="s">
        <v>9875</v>
      </c>
      <c r="G496" t="s">
        <v>74</v>
      </c>
      <c r="H496" t="s">
        <v>74</v>
      </c>
      <c r="I496" t="s">
        <v>9876</v>
      </c>
      <c r="J496" t="s">
        <v>9877</v>
      </c>
      <c r="K496" t="s">
        <v>74</v>
      </c>
      <c r="L496" t="s">
        <v>74</v>
      </c>
      <c r="M496" t="s">
        <v>78</v>
      </c>
      <c r="N496" t="s">
        <v>79</v>
      </c>
      <c r="O496" t="s">
        <v>74</v>
      </c>
      <c r="P496" t="s">
        <v>74</v>
      </c>
      <c r="Q496" t="s">
        <v>74</v>
      </c>
      <c r="R496" t="s">
        <v>74</v>
      </c>
      <c r="S496" t="s">
        <v>74</v>
      </c>
      <c r="T496" t="s">
        <v>9878</v>
      </c>
      <c r="U496" t="s">
        <v>9879</v>
      </c>
      <c r="V496" t="s">
        <v>9880</v>
      </c>
      <c r="W496" t="s">
        <v>9881</v>
      </c>
      <c r="X496" t="s">
        <v>9882</v>
      </c>
      <c r="Y496" t="s">
        <v>9883</v>
      </c>
      <c r="Z496" t="s">
        <v>9884</v>
      </c>
      <c r="AA496" t="s">
        <v>9885</v>
      </c>
      <c r="AB496" t="s">
        <v>9886</v>
      </c>
      <c r="AC496" t="s">
        <v>9887</v>
      </c>
      <c r="AD496" t="s">
        <v>9888</v>
      </c>
      <c r="AE496" t="s">
        <v>9889</v>
      </c>
      <c r="AF496" t="s">
        <v>74</v>
      </c>
      <c r="AG496">
        <v>43</v>
      </c>
      <c r="AH496">
        <v>5</v>
      </c>
      <c r="AI496">
        <v>5</v>
      </c>
      <c r="AJ496">
        <v>2</v>
      </c>
      <c r="AK496">
        <v>8</v>
      </c>
      <c r="AL496" t="s">
        <v>9890</v>
      </c>
      <c r="AM496" t="s">
        <v>9891</v>
      </c>
      <c r="AN496" t="s">
        <v>9892</v>
      </c>
      <c r="AO496" t="s">
        <v>9893</v>
      </c>
      <c r="AP496" t="s">
        <v>9894</v>
      </c>
      <c r="AQ496" t="s">
        <v>74</v>
      </c>
      <c r="AR496" t="s">
        <v>9895</v>
      </c>
      <c r="AS496" t="s">
        <v>9896</v>
      </c>
      <c r="AT496" t="s">
        <v>9714</v>
      </c>
      <c r="AU496">
        <v>2015</v>
      </c>
      <c r="AV496">
        <v>26</v>
      </c>
      <c r="AW496">
        <v>4</v>
      </c>
      <c r="AX496" t="s">
        <v>74</v>
      </c>
      <c r="AY496" t="s">
        <v>74</v>
      </c>
      <c r="AZ496" t="s">
        <v>74</v>
      </c>
      <c r="BA496" t="s">
        <v>74</v>
      </c>
      <c r="BB496">
        <v>431</v>
      </c>
      <c r="BC496">
        <v>440</v>
      </c>
      <c r="BD496" t="s">
        <v>74</v>
      </c>
      <c r="BE496" t="s">
        <v>9897</v>
      </c>
      <c r="BF496" t="str">
        <f>HYPERLINK("http://dx.doi.org/10.3319/TAO.2015.03.06.01(AA)","http://dx.doi.org/10.3319/TAO.2015.03.06.01(AA)")</f>
        <v>http://dx.doi.org/10.3319/TAO.2015.03.06.01(AA)</v>
      </c>
      <c r="BG496" t="s">
        <v>74</v>
      </c>
      <c r="BH496" t="s">
        <v>74</v>
      </c>
      <c r="BI496">
        <v>10</v>
      </c>
      <c r="BJ496" t="s">
        <v>9898</v>
      </c>
      <c r="BK496" t="s">
        <v>101</v>
      </c>
      <c r="BL496" t="s">
        <v>9899</v>
      </c>
      <c r="BM496" t="s">
        <v>9900</v>
      </c>
      <c r="BN496" t="s">
        <v>74</v>
      </c>
      <c r="BO496" t="s">
        <v>8973</v>
      </c>
      <c r="BP496" t="s">
        <v>74</v>
      </c>
      <c r="BQ496" t="s">
        <v>74</v>
      </c>
      <c r="BR496" t="s">
        <v>103</v>
      </c>
      <c r="BS496" t="s">
        <v>9901</v>
      </c>
      <c r="BT496" t="str">
        <f>HYPERLINK("https%3A%2F%2Fwww.webofscience.com%2Fwos%2Fwoscc%2Ffull-record%2FWOS:000361081300007","View Full Record in Web of Science")</f>
        <v>View Full Record in Web of Science</v>
      </c>
    </row>
    <row r="497" spans="1:72" x14ac:dyDescent="0.15">
      <c r="A497" t="s">
        <v>72</v>
      </c>
      <c r="B497" t="s">
        <v>9902</v>
      </c>
      <c r="C497" t="s">
        <v>74</v>
      </c>
      <c r="D497" t="s">
        <v>74</v>
      </c>
      <c r="E497" t="s">
        <v>74</v>
      </c>
      <c r="F497" t="s">
        <v>9903</v>
      </c>
      <c r="G497" t="s">
        <v>74</v>
      </c>
      <c r="H497" t="s">
        <v>74</v>
      </c>
      <c r="I497" t="s">
        <v>9904</v>
      </c>
      <c r="J497" t="s">
        <v>9905</v>
      </c>
      <c r="K497" t="s">
        <v>74</v>
      </c>
      <c r="L497" t="s">
        <v>74</v>
      </c>
      <c r="M497" t="s">
        <v>78</v>
      </c>
      <c r="N497" t="s">
        <v>79</v>
      </c>
      <c r="O497" t="s">
        <v>74</v>
      </c>
      <c r="P497" t="s">
        <v>74</v>
      </c>
      <c r="Q497" t="s">
        <v>74</v>
      </c>
      <c r="R497" t="s">
        <v>74</v>
      </c>
      <c r="S497" t="s">
        <v>74</v>
      </c>
      <c r="T497" t="s">
        <v>74</v>
      </c>
      <c r="U497" t="s">
        <v>9906</v>
      </c>
      <c r="V497" t="s">
        <v>9907</v>
      </c>
      <c r="W497" t="s">
        <v>9908</v>
      </c>
      <c r="X497" t="s">
        <v>9909</v>
      </c>
      <c r="Y497" t="s">
        <v>9910</v>
      </c>
      <c r="Z497" t="s">
        <v>9911</v>
      </c>
      <c r="AA497" t="s">
        <v>9912</v>
      </c>
      <c r="AB497" t="s">
        <v>3437</v>
      </c>
      <c r="AC497" t="s">
        <v>9913</v>
      </c>
      <c r="AD497" t="s">
        <v>2982</v>
      </c>
      <c r="AE497" t="s">
        <v>9914</v>
      </c>
      <c r="AF497" t="s">
        <v>74</v>
      </c>
      <c r="AG497">
        <v>60</v>
      </c>
      <c r="AH497">
        <v>13</v>
      </c>
      <c r="AI497">
        <v>16</v>
      </c>
      <c r="AJ497">
        <v>5</v>
      </c>
      <c r="AK497">
        <v>41</v>
      </c>
      <c r="AL497" t="s">
        <v>9915</v>
      </c>
      <c r="AM497" t="s">
        <v>9916</v>
      </c>
      <c r="AN497" t="s">
        <v>9917</v>
      </c>
      <c r="AO497" t="s">
        <v>9918</v>
      </c>
      <c r="AP497" t="s">
        <v>9919</v>
      </c>
      <c r="AQ497" t="s">
        <v>74</v>
      </c>
      <c r="AR497" t="s">
        <v>9920</v>
      </c>
      <c r="AS497" t="s">
        <v>9921</v>
      </c>
      <c r="AT497" t="s">
        <v>9714</v>
      </c>
      <c r="AU497">
        <v>2015</v>
      </c>
      <c r="AV497">
        <v>229</v>
      </c>
      <c r="AW497">
        <v>1</v>
      </c>
      <c r="AX497" t="s">
        <v>74</v>
      </c>
      <c r="AY497" t="s">
        <v>74</v>
      </c>
      <c r="AZ497" t="s">
        <v>74</v>
      </c>
      <c r="BA497" t="s">
        <v>74</v>
      </c>
      <c r="BB497">
        <v>47</v>
      </c>
      <c r="BC497">
        <v>57</v>
      </c>
      <c r="BD497" t="s">
        <v>74</v>
      </c>
      <c r="BE497" t="s">
        <v>9922</v>
      </c>
      <c r="BF497" t="str">
        <f>HYPERLINK("http://dx.doi.org/10.1086/BBLv229n1p47","http://dx.doi.org/10.1086/BBLv229n1p47")</f>
        <v>http://dx.doi.org/10.1086/BBLv229n1p47</v>
      </c>
      <c r="BG497" t="s">
        <v>74</v>
      </c>
      <c r="BH497" t="s">
        <v>74</v>
      </c>
      <c r="BI497">
        <v>11</v>
      </c>
      <c r="BJ497" t="s">
        <v>9923</v>
      </c>
      <c r="BK497" t="s">
        <v>101</v>
      </c>
      <c r="BL497" t="s">
        <v>9924</v>
      </c>
      <c r="BM497" t="s">
        <v>9925</v>
      </c>
      <c r="BN497">
        <v>26338869</v>
      </c>
      <c r="BO497" t="s">
        <v>74</v>
      </c>
      <c r="BP497" t="s">
        <v>74</v>
      </c>
      <c r="BQ497" t="s">
        <v>74</v>
      </c>
      <c r="BR497" t="s">
        <v>103</v>
      </c>
      <c r="BS497" t="s">
        <v>9926</v>
      </c>
      <c r="BT497" t="str">
        <f>HYPERLINK("https%3A%2F%2Fwww.webofscience.com%2Fwos%2Fwoscc%2Ffull-record%2FWOS:000360564100005","View Full Record in Web of Science")</f>
        <v>View Full Record in Web of Science</v>
      </c>
    </row>
    <row r="498" spans="1:72" x14ac:dyDescent="0.15">
      <c r="A498" t="s">
        <v>72</v>
      </c>
      <c r="B498" t="s">
        <v>9927</v>
      </c>
      <c r="C498" t="s">
        <v>74</v>
      </c>
      <c r="D498" t="s">
        <v>74</v>
      </c>
      <c r="E498" t="s">
        <v>74</v>
      </c>
      <c r="F498" t="s">
        <v>9928</v>
      </c>
      <c r="G498" t="s">
        <v>74</v>
      </c>
      <c r="H498" t="s">
        <v>74</v>
      </c>
      <c r="I498" t="s">
        <v>9929</v>
      </c>
      <c r="J498" t="s">
        <v>9930</v>
      </c>
      <c r="K498" t="s">
        <v>74</v>
      </c>
      <c r="L498" t="s">
        <v>74</v>
      </c>
      <c r="M498" t="s">
        <v>78</v>
      </c>
      <c r="N498" t="s">
        <v>79</v>
      </c>
      <c r="O498" t="s">
        <v>74</v>
      </c>
      <c r="P498" t="s">
        <v>74</v>
      </c>
      <c r="Q498" t="s">
        <v>74</v>
      </c>
      <c r="R498" t="s">
        <v>74</v>
      </c>
      <c r="S498" t="s">
        <v>74</v>
      </c>
      <c r="T498" t="s">
        <v>9931</v>
      </c>
      <c r="U498" t="s">
        <v>9932</v>
      </c>
      <c r="V498" t="s">
        <v>9933</v>
      </c>
      <c r="W498" t="s">
        <v>9934</v>
      </c>
      <c r="X498" t="s">
        <v>9935</v>
      </c>
      <c r="Y498" t="s">
        <v>9936</v>
      </c>
      <c r="Z498" t="s">
        <v>9937</v>
      </c>
      <c r="AA498" t="s">
        <v>74</v>
      </c>
      <c r="AB498" t="s">
        <v>74</v>
      </c>
      <c r="AC498" t="s">
        <v>9938</v>
      </c>
      <c r="AD498" t="s">
        <v>9939</v>
      </c>
      <c r="AE498" t="s">
        <v>9940</v>
      </c>
      <c r="AF498" t="s">
        <v>74</v>
      </c>
      <c r="AG498">
        <v>37</v>
      </c>
      <c r="AH498">
        <v>6</v>
      </c>
      <c r="AI498">
        <v>6</v>
      </c>
      <c r="AJ498">
        <v>0</v>
      </c>
      <c r="AK498">
        <v>12</v>
      </c>
      <c r="AL498" t="s">
        <v>9941</v>
      </c>
      <c r="AM498" t="s">
        <v>8964</v>
      </c>
      <c r="AN498" t="s">
        <v>9942</v>
      </c>
      <c r="AO498" t="s">
        <v>9943</v>
      </c>
      <c r="AP498" t="s">
        <v>9944</v>
      </c>
      <c r="AQ498" t="s">
        <v>74</v>
      </c>
      <c r="AR498" t="s">
        <v>9945</v>
      </c>
      <c r="AS498" t="s">
        <v>9946</v>
      </c>
      <c r="AT498" t="s">
        <v>9714</v>
      </c>
      <c r="AU498">
        <v>2015</v>
      </c>
      <c r="AV498">
        <v>36</v>
      </c>
      <c r="AW498">
        <v>3</v>
      </c>
      <c r="AX498" t="s">
        <v>74</v>
      </c>
      <c r="AY498" t="s">
        <v>74</v>
      </c>
      <c r="AZ498" t="s">
        <v>74</v>
      </c>
      <c r="BA498" t="s">
        <v>74</v>
      </c>
      <c r="BB498">
        <v>245</v>
      </c>
      <c r="BC498">
        <v>254</v>
      </c>
      <c r="BD498" t="s">
        <v>74</v>
      </c>
      <c r="BE498" t="s">
        <v>9947</v>
      </c>
      <c r="BF498" t="str">
        <f>HYPERLINK("http://dx.doi.org/10.7872/crya/v36.iss3.2015.245","http://dx.doi.org/10.7872/crya/v36.iss3.2015.245")</f>
        <v>http://dx.doi.org/10.7872/crya/v36.iss3.2015.245</v>
      </c>
      <c r="BG498" t="s">
        <v>74</v>
      </c>
      <c r="BH498" t="s">
        <v>74</v>
      </c>
      <c r="BI498">
        <v>10</v>
      </c>
      <c r="BJ498" t="s">
        <v>2966</v>
      </c>
      <c r="BK498" t="s">
        <v>101</v>
      </c>
      <c r="BL498" t="s">
        <v>2966</v>
      </c>
      <c r="BM498" t="s">
        <v>9948</v>
      </c>
      <c r="BN498" t="s">
        <v>74</v>
      </c>
      <c r="BO498" t="s">
        <v>74</v>
      </c>
      <c r="BP498" t="s">
        <v>74</v>
      </c>
      <c r="BQ498" t="s">
        <v>74</v>
      </c>
      <c r="BR498" t="s">
        <v>103</v>
      </c>
      <c r="BS498" t="s">
        <v>9949</v>
      </c>
      <c r="BT498" t="str">
        <f>HYPERLINK("https%3A%2F%2Fwww.webofscience.com%2Fwos%2Fwoscc%2Ffull-record%2FWOS:000360577500002","View Full Record in Web of Science")</f>
        <v>View Full Record in Web of Science</v>
      </c>
    </row>
    <row r="499" spans="1:72" x14ac:dyDescent="0.15">
      <c r="A499" t="s">
        <v>72</v>
      </c>
      <c r="B499" t="s">
        <v>9950</v>
      </c>
      <c r="C499" t="s">
        <v>74</v>
      </c>
      <c r="D499" t="s">
        <v>74</v>
      </c>
      <c r="E499" t="s">
        <v>74</v>
      </c>
      <c r="F499" t="s">
        <v>9951</v>
      </c>
      <c r="G499" t="s">
        <v>74</v>
      </c>
      <c r="H499" t="s">
        <v>74</v>
      </c>
      <c r="I499" t="s">
        <v>9952</v>
      </c>
      <c r="J499" t="s">
        <v>2626</v>
      </c>
      <c r="K499" t="s">
        <v>74</v>
      </c>
      <c r="L499" t="s">
        <v>74</v>
      </c>
      <c r="M499" t="s">
        <v>78</v>
      </c>
      <c r="N499" t="s">
        <v>79</v>
      </c>
      <c r="O499" t="s">
        <v>74</v>
      </c>
      <c r="P499" t="s">
        <v>74</v>
      </c>
      <c r="Q499" t="s">
        <v>74</v>
      </c>
      <c r="R499" t="s">
        <v>74</v>
      </c>
      <c r="S499" t="s">
        <v>74</v>
      </c>
      <c r="T499" t="s">
        <v>74</v>
      </c>
      <c r="U499" t="s">
        <v>9953</v>
      </c>
      <c r="V499" t="s">
        <v>9954</v>
      </c>
      <c r="W499" t="s">
        <v>9955</v>
      </c>
      <c r="X499" t="s">
        <v>9956</v>
      </c>
      <c r="Y499" t="s">
        <v>9957</v>
      </c>
      <c r="Z499" t="s">
        <v>9958</v>
      </c>
      <c r="AA499" t="s">
        <v>9959</v>
      </c>
      <c r="AB499" t="s">
        <v>9960</v>
      </c>
      <c r="AC499" t="s">
        <v>9961</v>
      </c>
      <c r="AD499" t="s">
        <v>9962</v>
      </c>
      <c r="AE499" t="s">
        <v>9963</v>
      </c>
      <c r="AF499" t="s">
        <v>74</v>
      </c>
      <c r="AG499">
        <v>11</v>
      </c>
      <c r="AH499">
        <v>1</v>
      </c>
      <c r="AI499">
        <v>1</v>
      </c>
      <c r="AJ499">
        <v>0</v>
      </c>
      <c r="AK499">
        <v>7</v>
      </c>
      <c r="AL499" t="s">
        <v>2638</v>
      </c>
      <c r="AM499" t="s">
        <v>550</v>
      </c>
      <c r="AN499" t="s">
        <v>2639</v>
      </c>
      <c r="AO499" t="s">
        <v>2640</v>
      </c>
      <c r="AP499" t="s">
        <v>2641</v>
      </c>
      <c r="AQ499" t="s">
        <v>74</v>
      </c>
      <c r="AR499" t="s">
        <v>2642</v>
      </c>
      <c r="AS499" t="s">
        <v>2643</v>
      </c>
      <c r="AT499" t="s">
        <v>9714</v>
      </c>
      <c r="AU499">
        <v>2015</v>
      </c>
      <c r="AV499">
        <v>463</v>
      </c>
      <c r="AW499">
        <v>2</v>
      </c>
      <c r="AX499" t="s">
        <v>74</v>
      </c>
      <c r="AY499" t="s">
        <v>74</v>
      </c>
      <c r="AZ499" t="s">
        <v>74</v>
      </c>
      <c r="BA499" t="s">
        <v>74</v>
      </c>
      <c r="BB499">
        <v>813</v>
      </c>
      <c r="BC499">
        <v>816</v>
      </c>
      <c r="BD499" t="s">
        <v>74</v>
      </c>
      <c r="BE499" t="s">
        <v>9964</v>
      </c>
      <c r="BF499" t="str">
        <f>HYPERLINK("http://dx.doi.org/10.1134/S1028334X15080048","http://dx.doi.org/10.1134/S1028334X15080048")</f>
        <v>http://dx.doi.org/10.1134/S1028334X15080048</v>
      </c>
      <c r="BG499" t="s">
        <v>74</v>
      </c>
      <c r="BH499" t="s">
        <v>74</v>
      </c>
      <c r="BI499">
        <v>4</v>
      </c>
      <c r="BJ499" t="s">
        <v>314</v>
      </c>
      <c r="BK499" t="s">
        <v>101</v>
      </c>
      <c r="BL499" t="s">
        <v>315</v>
      </c>
      <c r="BM499" t="s">
        <v>9965</v>
      </c>
      <c r="BN499" t="s">
        <v>74</v>
      </c>
      <c r="BO499" t="s">
        <v>74</v>
      </c>
      <c r="BP499" t="s">
        <v>74</v>
      </c>
      <c r="BQ499" t="s">
        <v>74</v>
      </c>
      <c r="BR499" t="s">
        <v>103</v>
      </c>
      <c r="BS499" t="s">
        <v>9966</v>
      </c>
      <c r="BT499" t="str">
        <f>HYPERLINK("https%3A%2F%2Fwww.webofscience.com%2Fwos%2Fwoscc%2Ffull-record%2FWOS:000360554200011","View Full Record in Web of Science")</f>
        <v>View Full Record in Web of Science</v>
      </c>
    </row>
    <row r="500" spans="1:72" x14ac:dyDescent="0.15">
      <c r="A500" t="s">
        <v>72</v>
      </c>
      <c r="B500" t="s">
        <v>9967</v>
      </c>
      <c r="C500" t="s">
        <v>74</v>
      </c>
      <c r="D500" t="s">
        <v>74</v>
      </c>
      <c r="E500" t="s">
        <v>74</v>
      </c>
      <c r="F500" t="s">
        <v>9968</v>
      </c>
      <c r="G500" t="s">
        <v>74</v>
      </c>
      <c r="H500" t="s">
        <v>74</v>
      </c>
      <c r="I500" t="s">
        <v>9969</v>
      </c>
      <c r="J500" t="s">
        <v>4018</v>
      </c>
      <c r="K500" t="s">
        <v>74</v>
      </c>
      <c r="L500" t="s">
        <v>74</v>
      </c>
      <c r="M500" t="s">
        <v>78</v>
      </c>
      <c r="N500" t="s">
        <v>79</v>
      </c>
      <c r="O500" t="s">
        <v>74</v>
      </c>
      <c r="P500" t="s">
        <v>74</v>
      </c>
      <c r="Q500" t="s">
        <v>74</v>
      </c>
      <c r="R500" t="s">
        <v>74</v>
      </c>
      <c r="S500" t="s">
        <v>74</v>
      </c>
      <c r="T500" t="s">
        <v>9970</v>
      </c>
      <c r="U500" t="s">
        <v>9971</v>
      </c>
      <c r="V500" t="s">
        <v>9972</v>
      </c>
      <c r="W500" t="s">
        <v>9973</v>
      </c>
      <c r="X500" t="s">
        <v>9974</v>
      </c>
      <c r="Y500" t="s">
        <v>9975</v>
      </c>
      <c r="Z500" t="s">
        <v>9976</v>
      </c>
      <c r="AA500" t="s">
        <v>9977</v>
      </c>
      <c r="AB500" t="s">
        <v>9978</v>
      </c>
      <c r="AC500" t="s">
        <v>9979</v>
      </c>
      <c r="AD500" t="s">
        <v>9980</v>
      </c>
      <c r="AE500" t="s">
        <v>9981</v>
      </c>
      <c r="AF500" t="s">
        <v>74</v>
      </c>
      <c r="AG500">
        <v>60</v>
      </c>
      <c r="AH500">
        <v>19</v>
      </c>
      <c r="AI500">
        <v>19</v>
      </c>
      <c r="AJ500">
        <v>0</v>
      </c>
      <c r="AK500">
        <v>31</v>
      </c>
      <c r="AL500" t="s">
        <v>2279</v>
      </c>
      <c r="AM500" t="s">
        <v>398</v>
      </c>
      <c r="AN500" t="s">
        <v>2280</v>
      </c>
      <c r="AO500" t="s">
        <v>4031</v>
      </c>
      <c r="AP500" t="s">
        <v>4032</v>
      </c>
      <c r="AQ500" t="s">
        <v>74</v>
      </c>
      <c r="AR500" t="s">
        <v>4033</v>
      </c>
      <c r="AS500" t="s">
        <v>4034</v>
      </c>
      <c r="AT500" t="s">
        <v>9714</v>
      </c>
      <c r="AU500">
        <v>2015</v>
      </c>
      <c r="AV500">
        <v>202</v>
      </c>
      <c r="AW500">
        <v>2</v>
      </c>
      <c r="AX500" t="s">
        <v>74</v>
      </c>
      <c r="AY500" t="s">
        <v>74</v>
      </c>
      <c r="AZ500" t="s">
        <v>74</v>
      </c>
      <c r="BA500" t="s">
        <v>74</v>
      </c>
      <c r="BB500">
        <v>748</v>
      </c>
      <c r="BC500">
        <v>762</v>
      </c>
      <c r="BD500" t="s">
        <v>74</v>
      </c>
      <c r="BE500" t="s">
        <v>9982</v>
      </c>
      <c r="BF500" t="str">
        <f>HYPERLINK("http://dx.doi.org/10.1093/gji/ggv178","http://dx.doi.org/10.1093/gji/ggv178")</f>
        <v>http://dx.doi.org/10.1093/gji/ggv178</v>
      </c>
      <c r="BG500" t="s">
        <v>74</v>
      </c>
      <c r="BH500" t="s">
        <v>74</v>
      </c>
      <c r="BI500">
        <v>15</v>
      </c>
      <c r="BJ500" t="s">
        <v>1707</v>
      </c>
      <c r="BK500" t="s">
        <v>101</v>
      </c>
      <c r="BL500" t="s">
        <v>1707</v>
      </c>
      <c r="BM500" t="s">
        <v>9983</v>
      </c>
      <c r="BN500" t="s">
        <v>74</v>
      </c>
      <c r="BO500" t="s">
        <v>1073</v>
      </c>
      <c r="BP500" t="s">
        <v>74</v>
      </c>
      <c r="BQ500" t="s">
        <v>74</v>
      </c>
      <c r="BR500" t="s">
        <v>103</v>
      </c>
      <c r="BS500" t="s">
        <v>9984</v>
      </c>
      <c r="BT500" t="str">
        <f>HYPERLINK("https%3A%2F%2Fwww.webofscience.com%2Fwos%2Fwoscc%2Ffull-record%2FWOS:000360624600005","View Full Record in Web of Science")</f>
        <v>View Full Record in Web of Science</v>
      </c>
    </row>
    <row r="501" spans="1:72" x14ac:dyDescent="0.15">
      <c r="A501" t="s">
        <v>72</v>
      </c>
      <c r="B501" t="s">
        <v>9985</v>
      </c>
      <c r="C501" t="s">
        <v>74</v>
      </c>
      <c r="D501" t="s">
        <v>74</v>
      </c>
      <c r="E501" t="s">
        <v>74</v>
      </c>
      <c r="F501" t="s">
        <v>9986</v>
      </c>
      <c r="G501" t="s">
        <v>74</v>
      </c>
      <c r="H501" t="s">
        <v>74</v>
      </c>
      <c r="I501" t="s">
        <v>9987</v>
      </c>
      <c r="J501" t="s">
        <v>4018</v>
      </c>
      <c r="K501" t="s">
        <v>74</v>
      </c>
      <c r="L501" t="s">
        <v>74</v>
      </c>
      <c r="M501" t="s">
        <v>78</v>
      </c>
      <c r="N501" t="s">
        <v>79</v>
      </c>
      <c r="O501" t="s">
        <v>74</v>
      </c>
      <c r="P501" t="s">
        <v>74</v>
      </c>
      <c r="Q501" t="s">
        <v>74</v>
      </c>
      <c r="R501" t="s">
        <v>74</v>
      </c>
      <c r="S501" t="s">
        <v>74</v>
      </c>
      <c r="T501" t="s">
        <v>9988</v>
      </c>
      <c r="U501" t="s">
        <v>9989</v>
      </c>
      <c r="V501" t="s">
        <v>9990</v>
      </c>
      <c r="W501" t="s">
        <v>9991</v>
      </c>
      <c r="X501" t="s">
        <v>9992</v>
      </c>
      <c r="Y501" t="s">
        <v>9993</v>
      </c>
      <c r="Z501" t="s">
        <v>9994</v>
      </c>
      <c r="AA501" t="s">
        <v>74</v>
      </c>
      <c r="AB501" t="s">
        <v>9995</v>
      </c>
      <c r="AC501" t="s">
        <v>9996</v>
      </c>
      <c r="AD501" t="s">
        <v>9997</v>
      </c>
      <c r="AE501" t="s">
        <v>9998</v>
      </c>
      <c r="AF501" t="s">
        <v>74</v>
      </c>
      <c r="AG501">
        <v>87</v>
      </c>
      <c r="AH501">
        <v>26</v>
      </c>
      <c r="AI501">
        <v>27</v>
      </c>
      <c r="AJ501">
        <v>0</v>
      </c>
      <c r="AK501">
        <v>17</v>
      </c>
      <c r="AL501" t="s">
        <v>2279</v>
      </c>
      <c r="AM501" t="s">
        <v>398</v>
      </c>
      <c r="AN501" t="s">
        <v>2280</v>
      </c>
      <c r="AO501" t="s">
        <v>4031</v>
      </c>
      <c r="AP501" t="s">
        <v>4032</v>
      </c>
      <c r="AQ501" t="s">
        <v>74</v>
      </c>
      <c r="AR501" t="s">
        <v>4033</v>
      </c>
      <c r="AS501" t="s">
        <v>4034</v>
      </c>
      <c r="AT501" t="s">
        <v>9714</v>
      </c>
      <c r="AU501">
        <v>2015</v>
      </c>
      <c r="AV501">
        <v>202</v>
      </c>
      <c r="AW501">
        <v>2</v>
      </c>
      <c r="AX501" t="s">
        <v>74</v>
      </c>
      <c r="AY501" t="s">
        <v>74</v>
      </c>
      <c r="AZ501" t="s">
        <v>74</v>
      </c>
      <c r="BA501" t="s">
        <v>74</v>
      </c>
      <c r="BB501">
        <v>976</v>
      </c>
      <c r="BC501">
        <v>992</v>
      </c>
      <c r="BD501" t="s">
        <v>74</v>
      </c>
      <c r="BE501" t="s">
        <v>9999</v>
      </c>
      <c r="BF501" t="str">
        <f>HYPERLINK("http://dx.doi.org/10.1093/gji/ggv198","http://dx.doi.org/10.1093/gji/ggv198")</f>
        <v>http://dx.doi.org/10.1093/gji/ggv198</v>
      </c>
      <c r="BG501" t="s">
        <v>74</v>
      </c>
      <c r="BH501" t="s">
        <v>74</v>
      </c>
      <c r="BI501">
        <v>17</v>
      </c>
      <c r="BJ501" t="s">
        <v>1707</v>
      </c>
      <c r="BK501" t="s">
        <v>101</v>
      </c>
      <c r="BL501" t="s">
        <v>1707</v>
      </c>
      <c r="BM501" t="s">
        <v>9983</v>
      </c>
      <c r="BN501" t="s">
        <v>74</v>
      </c>
      <c r="BO501" t="s">
        <v>1073</v>
      </c>
      <c r="BP501" t="s">
        <v>74</v>
      </c>
      <c r="BQ501" t="s">
        <v>74</v>
      </c>
      <c r="BR501" t="s">
        <v>103</v>
      </c>
      <c r="BS501" t="s">
        <v>10000</v>
      </c>
      <c r="BT501" t="str">
        <f>HYPERLINK("https%3A%2F%2Fwww.webofscience.com%2Fwos%2Fwoscc%2Ffull-record%2FWOS:000360624600021","View Full Record in Web of Science")</f>
        <v>View Full Record in Web of Science</v>
      </c>
    </row>
    <row r="502" spans="1:72" x14ac:dyDescent="0.15">
      <c r="A502" t="s">
        <v>72</v>
      </c>
      <c r="B502" t="s">
        <v>10001</v>
      </c>
      <c r="C502" t="s">
        <v>74</v>
      </c>
      <c r="D502" t="s">
        <v>74</v>
      </c>
      <c r="E502" t="s">
        <v>74</v>
      </c>
      <c r="F502" t="s">
        <v>10002</v>
      </c>
      <c r="G502" t="s">
        <v>74</v>
      </c>
      <c r="H502" t="s">
        <v>74</v>
      </c>
      <c r="I502" t="s">
        <v>10003</v>
      </c>
      <c r="J502" t="s">
        <v>2691</v>
      </c>
      <c r="K502" t="s">
        <v>74</v>
      </c>
      <c r="L502" t="s">
        <v>74</v>
      </c>
      <c r="M502" t="s">
        <v>78</v>
      </c>
      <c r="N502" t="s">
        <v>79</v>
      </c>
      <c r="O502" t="s">
        <v>74</v>
      </c>
      <c r="P502" t="s">
        <v>74</v>
      </c>
      <c r="Q502" t="s">
        <v>74</v>
      </c>
      <c r="R502" t="s">
        <v>74</v>
      </c>
      <c r="S502" t="s">
        <v>74</v>
      </c>
      <c r="T502" t="s">
        <v>10004</v>
      </c>
      <c r="U502" t="s">
        <v>10005</v>
      </c>
      <c r="V502" t="s">
        <v>10006</v>
      </c>
      <c r="W502" t="s">
        <v>10007</v>
      </c>
      <c r="X502" t="s">
        <v>10008</v>
      </c>
      <c r="Y502" t="s">
        <v>10009</v>
      </c>
      <c r="Z502" t="s">
        <v>10010</v>
      </c>
      <c r="AA502" t="s">
        <v>10011</v>
      </c>
      <c r="AB502" t="s">
        <v>10012</v>
      </c>
      <c r="AC502" t="s">
        <v>10013</v>
      </c>
      <c r="AD502" t="s">
        <v>10014</v>
      </c>
      <c r="AE502" t="s">
        <v>10015</v>
      </c>
      <c r="AF502" t="s">
        <v>74</v>
      </c>
      <c r="AG502">
        <v>28</v>
      </c>
      <c r="AH502">
        <v>2</v>
      </c>
      <c r="AI502">
        <v>2</v>
      </c>
      <c r="AJ502">
        <v>0</v>
      </c>
      <c r="AK502">
        <v>16</v>
      </c>
      <c r="AL502" t="s">
        <v>741</v>
      </c>
      <c r="AM502" t="s">
        <v>550</v>
      </c>
      <c r="AN502" t="s">
        <v>742</v>
      </c>
      <c r="AO502" t="s">
        <v>2704</v>
      </c>
      <c r="AP502" t="s">
        <v>2705</v>
      </c>
      <c r="AQ502" t="s">
        <v>74</v>
      </c>
      <c r="AR502" t="s">
        <v>2706</v>
      </c>
      <c r="AS502" t="s">
        <v>2707</v>
      </c>
      <c r="AT502" t="s">
        <v>9714</v>
      </c>
      <c r="AU502">
        <v>2015</v>
      </c>
      <c r="AV502">
        <v>27</v>
      </c>
      <c r="AW502">
        <v>4</v>
      </c>
      <c r="AX502" t="s">
        <v>74</v>
      </c>
      <c r="AY502" t="s">
        <v>74</v>
      </c>
      <c r="AZ502" t="s">
        <v>74</v>
      </c>
      <c r="BA502" t="s">
        <v>74</v>
      </c>
      <c r="BB502">
        <v>327</v>
      </c>
      <c r="BC502">
        <v>332</v>
      </c>
      <c r="BD502" t="s">
        <v>74</v>
      </c>
      <c r="BE502" t="s">
        <v>10016</v>
      </c>
      <c r="BF502" t="str">
        <f>HYPERLINK("http://dx.doi.org/10.1017/S0954102014000820","http://dx.doi.org/10.1017/S0954102014000820")</f>
        <v>http://dx.doi.org/10.1017/S0954102014000820</v>
      </c>
      <c r="BG502" t="s">
        <v>74</v>
      </c>
      <c r="BH502" t="s">
        <v>74</v>
      </c>
      <c r="BI502">
        <v>6</v>
      </c>
      <c r="BJ502" t="s">
        <v>2709</v>
      </c>
      <c r="BK502" t="s">
        <v>101</v>
      </c>
      <c r="BL502" t="s">
        <v>2710</v>
      </c>
      <c r="BM502" t="s">
        <v>10017</v>
      </c>
      <c r="BN502" t="s">
        <v>74</v>
      </c>
      <c r="BO502" t="s">
        <v>74</v>
      </c>
      <c r="BP502" t="s">
        <v>74</v>
      </c>
      <c r="BQ502" t="s">
        <v>74</v>
      </c>
      <c r="BR502" t="s">
        <v>103</v>
      </c>
      <c r="BS502" t="s">
        <v>10018</v>
      </c>
      <c r="BT502" t="str">
        <f>HYPERLINK("https%3A%2F%2Fwww.webofscience.com%2Fwos%2Fwoscc%2Ffull-record%2FWOS:000360201200002","View Full Record in Web of Science")</f>
        <v>View Full Record in Web of Science</v>
      </c>
    </row>
    <row r="503" spans="1:72" x14ac:dyDescent="0.15">
      <c r="A503" t="s">
        <v>72</v>
      </c>
      <c r="B503" t="s">
        <v>10019</v>
      </c>
      <c r="C503" t="s">
        <v>74</v>
      </c>
      <c r="D503" t="s">
        <v>74</v>
      </c>
      <c r="E503" t="s">
        <v>74</v>
      </c>
      <c r="F503" t="s">
        <v>10020</v>
      </c>
      <c r="G503" t="s">
        <v>74</v>
      </c>
      <c r="H503" t="s">
        <v>74</v>
      </c>
      <c r="I503" t="s">
        <v>10021</v>
      </c>
      <c r="J503" t="s">
        <v>2691</v>
      </c>
      <c r="K503" t="s">
        <v>74</v>
      </c>
      <c r="L503" t="s">
        <v>74</v>
      </c>
      <c r="M503" t="s">
        <v>78</v>
      </c>
      <c r="N503" t="s">
        <v>79</v>
      </c>
      <c r="O503" t="s">
        <v>74</v>
      </c>
      <c r="P503" t="s">
        <v>74</v>
      </c>
      <c r="Q503" t="s">
        <v>74</v>
      </c>
      <c r="R503" t="s">
        <v>74</v>
      </c>
      <c r="S503" t="s">
        <v>74</v>
      </c>
      <c r="T503" t="s">
        <v>10022</v>
      </c>
      <c r="U503" t="s">
        <v>10023</v>
      </c>
      <c r="V503" t="s">
        <v>10024</v>
      </c>
      <c r="W503" t="s">
        <v>10025</v>
      </c>
      <c r="X503" t="s">
        <v>10026</v>
      </c>
      <c r="Y503" t="s">
        <v>10027</v>
      </c>
      <c r="Z503" t="s">
        <v>114</v>
      </c>
      <c r="AA503" t="s">
        <v>74</v>
      </c>
      <c r="AB503" t="s">
        <v>10028</v>
      </c>
      <c r="AC503" t="s">
        <v>74</v>
      </c>
      <c r="AD503" t="s">
        <v>74</v>
      </c>
      <c r="AE503" t="s">
        <v>74</v>
      </c>
      <c r="AF503" t="s">
        <v>74</v>
      </c>
      <c r="AG503">
        <v>38</v>
      </c>
      <c r="AH503">
        <v>23</v>
      </c>
      <c r="AI503">
        <v>23</v>
      </c>
      <c r="AJ503">
        <v>0</v>
      </c>
      <c r="AK503">
        <v>30</v>
      </c>
      <c r="AL503" t="s">
        <v>741</v>
      </c>
      <c r="AM503" t="s">
        <v>550</v>
      </c>
      <c r="AN503" t="s">
        <v>742</v>
      </c>
      <c r="AO503" t="s">
        <v>2704</v>
      </c>
      <c r="AP503" t="s">
        <v>2705</v>
      </c>
      <c r="AQ503" t="s">
        <v>74</v>
      </c>
      <c r="AR503" t="s">
        <v>2706</v>
      </c>
      <c r="AS503" t="s">
        <v>2707</v>
      </c>
      <c r="AT503" t="s">
        <v>9714</v>
      </c>
      <c r="AU503">
        <v>2015</v>
      </c>
      <c r="AV503">
        <v>27</v>
      </c>
      <c r="AW503">
        <v>4</v>
      </c>
      <c r="AX503" t="s">
        <v>74</v>
      </c>
      <c r="AY503" t="s">
        <v>74</v>
      </c>
      <c r="AZ503" t="s">
        <v>74</v>
      </c>
      <c r="BA503" t="s">
        <v>74</v>
      </c>
      <c r="BB503">
        <v>333</v>
      </c>
      <c r="BC503">
        <v>340</v>
      </c>
      <c r="BD503" t="s">
        <v>74</v>
      </c>
      <c r="BE503" t="s">
        <v>10029</v>
      </c>
      <c r="BF503" t="str">
        <f>HYPERLINK("http://dx.doi.org/10.1017/S095410201400087X","http://dx.doi.org/10.1017/S095410201400087X")</f>
        <v>http://dx.doi.org/10.1017/S095410201400087X</v>
      </c>
      <c r="BG503" t="s">
        <v>74</v>
      </c>
      <c r="BH503" t="s">
        <v>74</v>
      </c>
      <c r="BI503">
        <v>8</v>
      </c>
      <c r="BJ503" t="s">
        <v>2709</v>
      </c>
      <c r="BK503" t="s">
        <v>101</v>
      </c>
      <c r="BL503" t="s">
        <v>2710</v>
      </c>
      <c r="BM503" t="s">
        <v>10017</v>
      </c>
      <c r="BN503" t="s">
        <v>74</v>
      </c>
      <c r="BO503" t="s">
        <v>74</v>
      </c>
      <c r="BP503" t="s">
        <v>74</v>
      </c>
      <c r="BQ503" t="s">
        <v>74</v>
      </c>
      <c r="BR503" t="s">
        <v>103</v>
      </c>
      <c r="BS503" t="s">
        <v>10030</v>
      </c>
      <c r="BT503" t="str">
        <f>HYPERLINK("https%3A%2F%2Fwww.webofscience.com%2Fwos%2Fwoscc%2Ffull-record%2FWOS:000360201200003","View Full Record in Web of Science")</f>
        <v>View Full Record in Web of Science</v>
      </c>
    </row>
    <row r="504" spans="1:72" x14ac:dyDescent="0.15">
      <c r="A504" t="s">
        <v>72</v>
      </c>
      <c r="B504" t="s">
        <v>10031</v>
      </c>
      <c r="C504" t="s">
        <v>74</v>
      </c>
      <c r="D504" t="s">
        <v>74</v>
      </c>
      <c r="E504" t="s">
        <v>74</v>
      </c>
      <c r="F504" t="s">
        <v>10032</v>
      </c>
      <c r="G504" t="s">
        <v>74</v>
      </c>
      <c r="H504" t="s">
        <v>74</v>
      </c>
      <c r="I504" t="s">
        <v>10033</v>
      </c>
      <c r="J504" t="s">
        <v>2691</v>
      </c>
      <c r="K504" t="s">
        <v>74</v>
      </c>
      <c r="L504" t="s">
        <v>74</v>
      </c>
      <c r="M504" t="s">
        <v>78</v>
      </c>
      <c r="N504" t="s">
        <v>79</v>
      </c>
      <c r="O504" t="s">
        <v>74</v>
      </c>
      <c r="P504" t="s">
        <v>74</v>
      </c>
      <c r="Q504" t="s">
        <v>74</v>
      </c>
      <c r="R504" t="s">
        <v>74</v>
      </c>
      <c r="S504" t="s">
        <v>74</v>
      </c>
      <c r="T504" t="s">
        <v>10034</v>
      </c>
      <c r="U504" t="s">
        <v>10035</v>
      </c>
      <c r="V504" t="s">
        <v>10036</v>
      </c>
      <c r="W504" t="s">
        <v>10037</v>
      </c>
      <c r="X504" t="s">
        <v>10038</v>
      </c>
      <c r="Y504" t="s">
        <v>10039</v>
      </c>
      <c r="Z504" t="s">
        <v>10040</v>
      </c>
      <c r="AA504" t="s">
        <v>10041</v>
      </c>
      <c r="AB504" t="s">
        <v>10042</v>
      </c>
      <c r="AC504" t="s">
        <v>10043</v>
      </c>
      <c r="AD504" t="s">
        <v>10044</v>
      </c>
      <c r="AE504" t="s">
        <v>10045</v>
      </c>
      <c r="AF504" t="s">
        <v>74</v>
      </c>
      <c r="AG504">
        <v>38</v>
      </c>
      <c r="AH504">
        <v>9</v>
      </c>
      <c r="AI504">
        <v>11</v>
      </c>
      <c r="AJ504">
        <v>0</v>
      </c>
      <c r="AK504">
        <v>16</v>
      </c>
      <c r="AL504" t="s">
        <v>741</v>
      </c>
      <c r="AM504" t="s">
        <v>550</v>
      </c>
      <c r="AN504" t="s">
        <v>742</v>
      </c>
      <c r="AO504" t="s">
        <v>2704</v>
      </c>
      <c r="AP504" t="s">
        <v>2705</v>
      </c>
      <c r="AQ504" t="s">
        <v>74</v>
      </c>
      <c r="AR504" t="s">
        <v>2706</v>
      </c>
      <c r="AS504" t="s">
        <v>2707</v>
      </c>
      <c r="AT504" t="s">
        <v>9714</v>
      </c>
      <c r="AU504">
        <v>2015</v>
      </c>
      <c r="AV504">
        <v>27</v>
      </c>
      <c r="AW504">
        <v>4</v>
      </c>
      <c r="AX504" t="s">
        <v>74</v>
      </c>
      <c r="AY504" t="s">
        <v>74</v>
      </c>
      <c r="AZ504" t="s">
        <v>74</v>
      </c>
      <c r="BA504" t="s">
        <v>74</v>
      </c>
      <c r="BB504">
        <v>341</v>
      </c>
      <c r="BC504">
        <v>354</v>
      </c>
      <c r="BD504" t="s">
        <v>74</v>
      </c>
      <c r="BE504" t="s">
        <v>10046</v>
      </c>
      <c r="BF504" t="str">
        <f>HYPERLINK("http://dx.doi.org/10.1017/S0954102015000024","http://dx.doi.org/10.1017/S0954102015000024")</f>
        <v>http://dx.doi.org/10.1017/S0954102015000024</v>
      </c>
      <c r="BG504" t="s">
        <v>74</v>
      </c>
      <c r="BH504" t="s">
        <v>74</v>
      </c>
      <c r="BI504">
        <v>14</v>
      </c>
      <c r="BJ504" t="s">
        <v>2709</v>
      </c>
      <c r="BK504" t="s">
        <v>101</v>
      </c>
      <c r="BL504" t="s">
        <v>2710</v>
      </c>
      <c r="BM504" t="s">
        <v>10017</v>
      </c>
      <c r="BN504" t="s">
        <v>74</v>
      </c>
      <c r="BO504" t="s">
        <v>74</v>
      </c>
      <c r="BP504" t="s">
        <v>74</v>
      </c>
      <c r="BQ504" t="s">
        <v>74</v>
      </c>
      <c r="BR504" t="s">
        <v>103</v>
      </c>
      <c r="BS504" t="s">
        <v>10047</v>
      </c>
      <c r="BT504" t="str">
        <f>HYPERLINK("https%3A%2F%2Fwww.webofscience.com%2Fwos%2Fwoscc%2Ffull-record%2FWOS:000360201200004","View Full Record in Web of Science")</f>
        <v>View Full Record in Web of Science</v>
      </c>
    </row>
    <row r="505" spans="1:72" x14ac:dyDescent="0.15">
      <c r="A505" t="s">
        <v>72</v>
      </c>
      <c r="B505" t="s">
        <v>10048</v>
      </c>
      <c r="C505" t="s">
        <v>74</v>
      </c>
      <c r="D505" t="s">
        <v>74</v>
      </c>
      <c r="E505" t="s">
        <v>74</v>
      </c>
      <c r="F505" t="s">
        <v>10049</v>
      </c>
      <c r="G505" t="s">
        <v>74</v>
      </c>
      <c r="H505" t="s">
        <v>74</v>
      </c>
      <c r="I505" t="s">
        <v>10050</v>
      </c>
      <c r="J505" t="s">
        <v>2691</v>
      </c>
      <c r="K505" t="s">
        <v>74</v>
      </c>
      <c r="L505" t="s">
        <v>74</v>
      </c>
      <c r="M505" t="s">
        <v>78</v>
      </c>
      <c r="N505" t="s">
        <v>79</v>
      </c>
      <c r="O505" t="s">
        <v>74</v>
      </c>
      <c r="P505" t="s">
        <v>74</v>
      </c>
      <c r="Q505" t="s">
        <v>74</v>
      </c>
      <c r="R505" t="s">
        <v>74</v>
      </c>
      <c r="S505" t="s">
        <v>74</v>
      </c>
      <c r="T505" t="s">
        <v>10051</v>
      </c>
      <c r="U505" t="s">
        <v>10052</v>
      </c>
      <c r="V505" t="s">
        <v>10053</v>
      </c>
      <c r="W505" t="s">
        <v>10054</v>
      </c>
      <c r="X505" t="s">
        <v>10055</v>
      </c>
      <c r="Y505" t="s">
        <v>10056</v>
      </c>
      <c r="Z505" t="s">
        <v>10057</v>
      </c>
      <c r="AA505" t="s">
        <v>10058</v>
      </c>
      <c r="AB505" t="s">
        <v>10059</v>
      </c>
      <c r="AC505" t="s">
        <v>10060</v>
      </c>
      <c r="AD505" t="s">
        <v>10061</v>
      </c>
      <c r="AE505" t="s">
        <v>10062</v>
      </c>
      <c r="AF505" t="s">
        <v>74</v>
      </c>
      <c r="AG505">
        <v>38</v>
      </c>
      <c r="AH505">
        <v>10</v>
      </c>
      <c r="AI505">
        <v>12</v>
      </c>
      <c r="AJ505">
        <v>4</v>
      </c>
      <c r="AK505">
        <v>42</v>
      </c>
      <c r="AL505" t="s">
        <v>741</v>
      </c>
      <c r="AM505" t="s">
        <v>550</v>
      </c>
      <c r="AN505" t="s">
        <v>742</v>
      </c>
      <c r="AO505" t="s">
        <v>2704</v>
      </c>
      <c r="AP505" t="s">
        <v>2705</v>
      </c>
      <c r="AQ505" t="s">
        <v>74</v>
      </c>
      <c r="AR505" t="s">
        <v>2706</v>
      </c>
      <c r="AS505" t="s">
        <v>2707</v>
      </c>
      <c r="AT505" t="s">
        <v>9714</v>
      </c>
      <c r="AU505">
        <v>2015</v>
      </c>
      <c r="AV505">
        <v>27</v>
      </c>
      <c r="AW505">
        <v>4</v>
      </c>
      <c r="AX505" t="s">
        <v>74</v>
      </c>
      <c r="AY505" t="s">
        <v>74</v>
      </c>
      <c r="AZ505" t="s">
        <v>74</v>
      </c>
      <c r="BA505" t="s">
        <v>74</v>
      </c>
      <c r="BB505">
        <v>355</v>
      </c>
      <c r="BC505">
        <v>361</v>
      </c>
      <c r="BD505" t="s">
        <v>74</v>
      </c>
      <c r="BE505" t="s">
        <v>10063</v>
      </c>
      <c r="BF505" t="str">
        <f>HYPERLINK("http://dx.doi.org/10.1017/S0954102014000807","http://dx.doi.org/10.1017/S0954102014000807")</f>
        <v>http://dx.doi.org/10.1017/S0954102014000807</v>
      </c>
      <c r="BG505" t="s">
        <v>74</v>
      </c>
      <c r="BH505" t="s">
        <v>74</v>
      </c>
      <c r="BI505">
        <v>7</v>
      </c>
      <c r="BJ505" t="s">
        <v>2709</v>
      </c>
      <c r="BK505" t="s">
        <v>101</v>
      </c>
      <c r="BL505" t="s">
        <v>2710</v>
      </c>
      <c r="BM505" t="s">
        <v>10017</v>
      </c>
      <c r="BN505" t="s">
        <v>74</v>
      </c>
      <c r="BO505" t="s">
        <v>74</v>
      </c>
      <c r="BP505" t="s">
        <v>74</v>
      </c>
      <c r="BQ505" t="s">
        <v>74</v>
      </c>
      <c r="BR505" t="s">
        <v>103</v>
      </c>
      <c r="BS505" t="s">
        <v>10064</v>
      </c>
      <c r="BT505" t="str">
        <f>HYPERLINK("https%3A%2F%2Fwww.webofscience.com%2Fwos%2Fwoscc%2Ffull-record%2FWOS:000360201200005","View Full Record in Web of Science")</f>
        <v>View Full Record in Web of Science</v>
      </c>
    </row>
    <row r="506" spans="1:72" x14ac:dyDescent="0.15">
      <c r="A506" t="s">
        <v>72</v>
      </c>
      <c r="B506" t="s">
        <v>10065</v>
      </c>
      <c r="C506" t="s">
        <v>74</v>
      </c>
      <c r="D506" t="s">
        <v>74</v>
      </c>
      <c r="E506" t="s">
        <v>74</v>
      </c>
      <c r="F506" t="s">
        <v>10066</v>
      </c>
      <c r="G506" t="s">
        <v>74</v>
      </c>
      <c r="H506" t="s">
        <v>74</v>
      </c>
      <c r="I506" t="s">
        <v>10067</v>
      </c>
      <c r="J506" t="s">
        <v>2691</v>
      </c>
      <c r="K506" t="s">
        <v>74</v>
      </c>
      <c r="L506" t="s">
        <v>74</v>
      </c>
      <c r="M506" t="s">
        <v>78</v>
      </c>
      <c r="N506" t="s">
        <v>79</v>
      </c>
      <c r="O506" t="s">
        <v>74</v>
      </c>
      <c r="P506" t="s">
        <v>74</v>
      </c>
      <c r="Q506" t="s">
        <v>74</v>
      </c>
      <c r="R506" t="s">
        <v>74</v>
      </c>
      <c r="S506" t="s">
        <v>74</v>
      </c>
      <c r="T506" t="s">
        <v>10068</v>
      </c>
      <c r="U506" t="s">
        <v>10069</v>
      </c>
      <c r="V506" t="s">
        <v>10070</v>
      </c>
      <c r="W506" t="s">
        <v>10071</v>
      </c>
      <c r="X506" t="s">
        <v>10072</v>
      </c>
      <c r="Y506" t="s">
        <v>10073</v>
      </c>
      <c r="Z506" t="s">
        <v>10074</v>
      </c>
      <c r="AA506" t="s">
        <v>10075</v>
      </c>
      <c r="AB506" t="s">
        <v>10076</v>
      </c>
      <c r="AC506" t="s">
        <v>10077</v>
      </c>
      <c r="AD506" t="s">
        <v>10078</v>
      </c>
      <c r="AE506" t="s">
        <v>10079</v>
      </c>
      <c r="AF506" t="s">
        <v>74</v>
      </c>
      <c r="AG506">
        <v>35</v>
      </c>
      <c r="AH506">
        <v>17</v>
      </c>
      <c r="AI506">
        <v>18</v>
      </c>
      <c r="AJ506">
        <v>1</v>
      </c>
      <c r="AK506">
        <v>48</v>
      </c>
      <c r="AL506" t="s">
        <v>741</v>
      </c>
      <c r="AM506" t="s">
        <v>550</v>
      </c>
      <c r="AN506" t="s">
        <v>742</v>
      </c>
      <c r="AO506" t="s">
        <v>2704</v>
      </c>
      <c r="AP506" t="s">
        <v>2705</v>
      </c>
      <c r="AQ506" t="s">
        <v>74</v>
      </c>
      <c r="AR506" t="s">
        <v>2706</v>
      </c>
      <c r="AS506" t="s">
        <v>2707</v>
      </c>
      <c r="AT506" t="s">
        <v>9714</v>
      </c>
      <c r="AU506">
        <v>2015</v>
      </c>
      <c r="AV506">
        <v>27</v>
      </c>
      <c r="AW506">
        <v>4</v>
      </c>
      <c r="AX506" t="s">
        <v>74</v>
      </c>
      <c r="AY506" t="s">
        <v>74</v>
      </c>
      <c r="AZ506" t="s">
        <v>74</v>
      </c>
      <c r="BA506" t="s">
        <v>74</v>
      </c>
      <c r="BB506">
        <v>373</v>
      </c>
      <c r="BC506">
        <v>381</v>
      </c>
      <c r="BD506" t="s">
        <v>74</v>
      </c>
      <c r="BE506" t="s">
        <v>10080</v>
      </c>
      <c r="BF506" t="str">
        <f>HYPERLINK("http://dx.doi.org/10.1017/S0954102015000012","http://dx.doi.org/10.1017/S0954102015000012")</f>
        <v>http://dx.doi.org/10.1017/S0954102015000012</v>
      </c>
      <c r="BG506" t="s">
        <v>74</v>
      </c>
      <c r="BH506" t="s">
        <v>74</v>
      </c>
      <c r="BI506">
        <v>9</v>
      </c>
      <c r="BJ506" t="s">
        <v>2709</v>
      </c>
      <c r="BK506" t="s">
        <v>101</v>
      </c>
      <c r="BL506" t="s">
        <v>2710</v>
      </c>
      <c r="BM506" t="s">
        <v>10017</v>
      </c>
      <c r="BN506" t="s">
        <v>74</v>
      </c>
      <c r="BO506" t="s">
        <v>74</v>
      </c>
      <c r="BP506" t="s">
        <v>74</v>
      </c>
      <c r="BQ506" t="s">
        <v>74</v>
      </c>
      <c r="BR506" t="s">
        <v>103</v>
      </c>
      <c r="BS506" t="s">
        <v>10081</v>
      </c>
      <c r="BT506" t="str">
        <f>HYPERLINK("https%3A%2F%2Fwww.webofscience.com%2Fwos%2Fwoscc%2Ffull-record%2FWOS:000360201200007","View Full Record in Web of Science")</f>
        <v>View Full Record in Web of Science</v>
      </c>
    </row>
    <row r="507" spans="1:72" x14ac:dyDescent="0.15">
      <c r="A507" t="s">
        <v>72</v>
      </c>
      <c r="B507" t="s">
        <v>10082</v>
      </c>
      <c r="C507" t="s">
        <v>74</v>
      </c>
      <c r="D507" t="s">
        <v>74</v>
      </c>
      <c r="E507" t="s">
        <v>74</v>
      </c>
      <c r="F507" t="s">
        <v>10083</v>
      </c>
      <c r="G507" t="s">
        <v>74</v>
      </c>
      <c r="H507" t="s">
        <v>74</v>
      </c>
      <c r="I507" t="s">
        <v>10084</v>
      </c>
      <c r="J507" t="s">
        <v>2691</v>
      </c>
      <c r="K507" t="s">
        <v>74</v>
      </c>
      <c r="L507" t="s">
        <v>74</v>
      </c>
      <c r="M507" t="s">
        <v>78</v>
      </c>
      <c r="N507" t="s">
        <v>79</v>
      </c>
      <c r="O507" t="s">
        <v>74</v>
      </c>
      <c r="P507" t="s">
        <v>74</v>
      </c>
      <c r="Q507" t="s">
        <v>74</v>
      </c>
      <c r="R507" t="s">
        <v>74</v>
      </c>
      <c r="S507" t="s">
        <v>74</v>
      </c>
      <c r="T507" t="s">
        <v>10085</v>
      </c>
      <c r="U507" t="s">
        <v>10086</v>
      </c>
      <c r="V507" t="s">
        <v>10087</v>
      </c>
      <c r="W507" t="s">
        <v>10088</v>
      </c>
      <c r="X507" t="s">
        <v>10089</v>
      </c>
      <c r="Y507" t="s">
        <v>10090</v>
      </c>
      <c r="Z507" t="s">
        <v>10091</v>
      </c>
      <c r="AA507" t="s">
        <v>74</v>
      </c>
      <c r="AB507" t="s">
        <v>74</v>
      </c>
      <c r="AC507" t="s">
        <v>10092</v>
      </c>
      <c r="AD507" t="s">
        <v>10093</v>
      </c>
      <c r="AE507" t="s">
        <v>10094</v>
      </c>
      <c r="AF507" t="s">
        <v>74</v>
      </c>
      <c r="AG507">
        <v>15</v>
      </c>
      <c r="AH507">
        <v>1</v>
      </c>
      <c r="AI507">
        <v>1</v>
      </c>
      <c r="AJ507">
        <v>0</v>
      </c>
      <c r="AK507">
        <v>2</v>
      </c>
      <c r="AL507" t="s">
        <v>741</v>
      </c>
      <c r="AM507" t="s">
        <v>550</v>
      </c>
      <c r="AN507" t="s">
        <v>742</v>
      </c>
      <c r="AO507" t="s">
        <v>2704</v>
      </c>
      <c r="AP507" t="s">
        <v>2705</v>
      </c>
      <c r="AQ507" t="s">
        <v>74</v>
      </c>
      <c r="AR507" t="s">
        <v>2706</v>
      </c>
      <c r="AS507" t="s">
        <v>2707</v>
      </c>
      <c r="AT507" t="s">
        <v>9714</v>
      </c>
      <c r="AU507">
        <v>2015</v>
      </c>
      <c r="AV507">
        <v>27</v>
      </c>
      <c r="AW507">
        <v>4</v>
      </c>
      <c r="AX507" t="s">
        <v>74</v>
      </c>
      <c r="AY507" t="s">
        <v>74</v>
      </c>
      <c r="AZ507" t="s">
        <v>74</v>
      </c>
      <c r="BA507" t="s">
        <v>74</v>
      </c>
      <c r="BB507">
        <v>383</v>
      </c>
      <c r="BC507">
        <v>387</v>
      </c>
      <c r="BD507" t="s">
        <v>74</v>
      </c>
      <c r="BE507" t="s">
        <v>10095</v>
      </c>
      <c r="BF507" t="str">
        <f>HYPERLINK("http://dx.doi.org/10.1017/S095410201400090X","http://dx.doi.org/10.1017/S095410201400090X")</f>
        <v>http://dx.doi.org/10.1017/S095410201400090X</v>
      </c>
      <c r="BG507" t="s">
        <v>74</v>
      </c>
      <c r="BH507" t="s">
        <v>74</v>
      </c>
      <c r="BI507">
        <v>5</v>
      </c>
      <c r="BJ507" t="s">
        <v>2709</v>
      </c>
      <c r="BK507" t="s">
        <v>101</v>
      </c>
      <c r="BL507" t="s">
        <v>2710</v>
      </c>
      <c r="BM507" t="s">
        <v>10017</v>
      </c>
      <c r="BN507" t="s">
        <v>74</v>
      </c>
      <c r="BO507" t="s">
        <v>74</v>
      </c>
      <c r="BP507" t="s">
        <v>74</v>
      </c>
      <c r="BQ507" t="s">
        <v>74</v>
      </c>
      <c r="BR507" t="s">
        <v>103</v>
      </c>
      <c r="BS507" t="s">
        <v>10096</v>
      </c>
      <c r="BT507" t="str">
        <f>HYPERLINK("https%3A%2F%2Fwww.webofscience.com%2Fwos%2Fwoscc%2Ffull-record%2FWOS:000360201200008","View Full Record in Web of Science")</f>
        <v>View Full Record in Web of Science</v>
      </c>
    </row>
    <row r="508" spans="1:72" x14ac:dyDescent="0.15">
      <c r="A508" t="s">
        <v>72</v>
      </c>
      <c r="B508" t="s">
        <v>10097</v>
      </c>
      <c r="C508" t="s">
        <v>74</v>
      </c>
      <c r="D508" t="s">
        <v>74</v>
      </c>
      <c r="E508" t="s">
        <v>74</v>
      </c>
      <c r="F508" t="s">
        <v>10098</v>
      </c>
      <c r="G508" t="s">
        <v>74</v>
      </c>
      <c r="H508" t="s">
        <v>74</v>
      </c>
      <c r="I508" t="s">
        <v>10099</v>
      </c>
      <c r="J508" t="s">
        <v>2691</v>
      </c>
      <c r="K508" t="s">
        <v>74</v>
      </c>
      <c r="L508" t="s">
        <v>74</v>
      </c>
      <c r="M508" t="s">
        <v>78</v>
      </c>
      <c r="N508" t="s">
        <v>79</v>
      </c>
      <c r="O508" t="s">
        <v>74</v>
      </c>
      <c r="P508" t="s">
        <v>74</v>
      </c>
      <c r="Q508" t="s">
        <v>74</v>
      </c>
      <c r="R508" t="s">
        <v>74</v>
      </c>
      <c r="S508" t="s">
        <v>74</v>
      </c>
      <c r="T508" t="s">
        <v>10100</v>
      </c>
      <c r="U508" t="s">
        <v>10101</v>
      </c>
      <c r="V508" t="s">
        <v>10102</v>
      </c>
      <c r="W508" t="s">
        <v>10103</v>
      </c>
      <c r="X508" t="s">
        <v>10104</v>
      </c>
      <c r="Y508" t="s">
        <v>10105</v>
      </c>
      <c r="Z508" t="s">
        <v>10106</v>
      </c>
      <c r="AA508" t="s">
        <v>74</v>
      </c>
      <c r="AB508" t="s">
        <v>10107</v>
      </c>
      <c r="AC508" t="s">
        <v>10108</v>
      </c>
      <c r="AD508" t="s">
        <v>10109</v>
      </c>
      <c r="AE508" t="s">
        <v>10110</v>
      </c>
      <c r="AF508" t="s">
        <v>74</v>
      </c>
      <c r="AG508">
        <v>35</v>
      </c>
      <c r="AH508">
        <v>14</v>
      </c>
      <c r="AI508">
        <v>15</v>
      </c>
      <c r="AJ508">
        <v>0</v>
      </c>
      <c r="AK508">
        <v>14</v>
      </c>
      <c r="AL508" t="s">
        <v>741</v>
      </c>
      <c r="AM508" t="s">
        <v>550</v>
      </c>
      <c r="AN508" t="s">
        <v>742</v>
      </c>
      <c r="AO508" t="s">
        <v>2704</v>
      </c>
      <c r="AP508" t="s">
        <v>2705</v>
      </c>
      <c r="AQ508" t="s">
        <v>74</v>
      </c>
      <c r="AR508" t="s">
        <v>2706</v>
      </c>
      <c r="AS508" t="s">
        <v>2707</v>
      </c>
      <c r="AT508" t="s">
        <v>9714</v>
      </c>
      <c r="AU508">
        <v>2015</v>
      </c>
      <c r="AV508">
        <v>27</v>
      </c>
      <c r="AW508">
        <v>4</v>
      </c>
      <c r="AX508" t="s">
        <v>74</v>
      </c>
      <c r="AY508" t="s">
        <v>74</v>
      </c>
      <c r="AZ508" t="s">
        <v>74</v>
      </c>
      <c r="BA508" t="s">
        <v>74</v>
      </c>
      <c r="BB508">
        <v>388</v>
      </c>
      <c r="BC508">
        <v>402</v>
      </c>
      <c r="BD508" t="s">
        <v>74</v>
      </c>
      <c r="BE508" t="s">
        <v>10111</v>
      </c>
      <c r="BF508" t="str">
        <f>HYPERLINK("http://dx.doi.org/10.1017/S0954102014000893","http://dx.doi.org/10.1017/S0954102014000893")</f>
        <v>http://dx.doi.org/10.1017/S0954102014000893</v>
      </c>
      <c r="BG508" t="s">
        <v>74</v>
      </c>
      <c r="BH508" t="s">
        <v>74</v>
      </c>
      <c r="BI508">
        <v>15</v>
      </c>
      <c r="BJ508" t="s">
        <v>2709</v>
      </c>
      <c r="BK508" t="s">
        <v>101</v>
      </c>
      <c r="BL508" t="s">
        <v>2710</v>
      </c>
      <c r="BM508" t="s">
        <v>10017</v>
      </c>
      <c r="BN508" t="s">
        <v>74</v>
      </c>
      <c r="BO508" t="s">
        <v>74</v>
      </c>
      <c r="BP508" t="s">
        <v>74</v>
      </c>
      <c r="BQ508" t="s">
        <v>74</v>
      </c>
      <c r="BR508" t="s">
        <v>103</v>
      </c>
      <c r="BS508" t="s">
        <v>10112</v>
      </c>
      <c r="BT508" t="str">
        <f>HYPERLINK("https%3A%2F%2Fwww.webofscience.com%2Fwos%2Fwoscc%2Ffull-record%2FWOS:000360201200009","View Full Record in Web of Science")</f>
        <v>View Full Record in Web of Science</v>
      </c>
    </row>
    <row r="509" spans="1:72" x14ac:dyDescent="0.15">
      <c r="A509" t="s">
        <v>72</v>
      </c>
      <c r="B509" t="s">
        <v>10113</v>
      </c>
      <c r="C509" t="s">
        <v>74</v>
      </c>
      <c r="D509" t="s">
        <v>74</v>
      </c>
      <c r="E509" t="s">
        <v>74</v>
      </c>
      <c r="F509" t="s">
        <v>10114</v>
      </c>
      <c r="G509" t="s">
        <v>74</v>
      </c>
      <c r="H509" t="s">
        <v>74</v>
      </c>
      <c r="I509" t="s">
        <v>10115</v>
      </c>
      <c r="J509" t="s">
        <v>2691</v>
      </c>
      <c r="K509" t="s">
        <v>74</v>
      </c>
      <c r="L509" t="s">
        <v>74</v>
      </c>
      <c r="M509" t="s">
        <v>78</v>
      </c>
      <c r="N509" t="s">
        <v>79</v>
      </c>
      <c r="O509" t="s">
        <v>74</v>
      </c>
      <c r="P509" t="s">
        <v>74</v>
      </c>
      <c r="Q509" t="s">
        <v>74</v>
      </c>
      <c r="R509" t="s">
        <v>74</v>
      </c>
      <c r="S509" t="s">
        <v>74</v>
      </c>
      <c r="T509" t="s">
        <v>10116</v>
      </c>
      <c r="U509" t="s">
        <v>10117</v>
      </c>
      <c r="V509" t="s">
        <v>10118</v>
      </c>
      <c r="W509" t="s">
        <v>10119</v>
      </c>
      <c r="X509" t="s">
        <v>5952</v>
      </c>
      <c r="Y509" t="s">
        <v>10120</v>
      </c>
      <c r="Z509" t="s">
        <v>5954</v>
      </c>
      <c r="AA509" t="s">
        <v>74</v>
      </c>
      <c r="AB509" t="s">
        <v>74</v>
      </c>
      <c r="AC509" t="s">
        <v>10121</v>
      </c>
      <c r="AD509" t="s">
        <v>10121</v>
      </c>
      <c r="AE509" t="s">
        <v>10122</v>
      </c>
      <c r="AF509" t="s">
        <v>74</v>
      </c>
      <c r="AG509">
        <v>28</v>
      </c>
      <c r="AH509">
        <v>17</v>
      </c>
      <c r="AI509">
        <v>17</v>
      </c>
      <c r="AJ509">
        <v>2</v>
      </c>
      <c r="AK509">
        <v>20</v>
      </c>
      <c r="AL509" t="s">
        <v>741</v>
      </c>
      <c r="AM509" t="s">
        <v>550</v>
      </c>
      <c r="AN509" t="s">
        <v>742</v>
      </c>
      <c r="AO509" t="s">
        <v>2704</v>
      </c>
      <c r="AP509" t="s">
        <v>2705</v>
      </c>
      <c r="AQ509" t="s">
        <v>74</v>
      </c>
      <c r="AR509" t="s">
        <v>2706</v>
      </c>
      <c r="AS509" t="s">
        <v>2707</v>
      </c>
      <c r="AT509" t="s">
        <v>9714</v>
      </c>
      <c r="AU509">
        <v>2015</v>
      </c>
      <c r="AV509">
        <v>27</v>
      </c>
      <c r="AW509">
        <v>4</v>
      </c>
      <c r="AX509" t="s">
        <v>74</v>
      </c>
      <c r="AY509" t="s">
        <v>74</v>
      </c>
      <c r="AZ509" t="s">
        <v>74</v>
      </c>
      <c r="BA509" t="s">
        <v>74</v>
      </c>
      <c r="BB509">
        <v>403</v>
      </c>
      <c r="BC509">
        <v>410</v>
      </c>
      <c r="BD509" t="s">
        <v>74</v>
      </c>
      <c r="BE509" t="s">
        <v>10123</v>
      </c>
      <c r="BF509" t="str">
        <f>HYPERLINK("http://dx.doi.org/10.1017/S0954102014000832","http://dx.doi.org/10.1017/S0954102014000832")</f>
        <v>http://dx.doi.org/10.1017/S0954102014000832</v>
      </c>
      <c r="BG509" t="s">
        <v>74</v>
      </c>
      <c r="BH509" t="s">
        <v>74</v>
      </c>
      <c r="BI509">
        <v>8</v>
      </c>
      <c r="BJ509" t="s">
        <v>2709</v>
      </c>
      <c r="BK509" t="s">
        <v>101</v>
      </c>
      <c r="BL509" t="s">
        <v>2710</v>
      </c>
      <c r="BM509" t="s">
        <v>10017</v>
      </c>
      <c r="BN509" t="s">
        <v>74</v>
      </c>
      <c r="BO509" t="s">
        <v>74</v>
      </c>
      <c r="BP509" t="s">
        <v>74</v>
      </c>
      <c r="BQ509" t="s">
        <v>74</v>
      </c>
      <c r="BR509" t="s">
        <v>103</v>
      </c>
      <c r="BS509" t="s">
        <v>10124</v>
      </c>
      <c r="BT509" t="str">
        <f>HYPERLINK("https%3A%2F%2Fwww.webofscience.com%2Fwos%2Fwoscc%2Ffull-record%2FWOS:000360201200010","View Full Record in Web of Science")</f>
        <v>View Full Record in Web of Science</v>
      </c>
    </row>
    <row r="510" spans="1:72" x14ac:dyDescent="0.15">
      <c r="A510" t="s">
        <v>72</v>
      </c>
      <c r="B510" t="s">
        <v>10125</v>
      </c>
      <c r="C510" t="s">
        <v>74</v>
      </c>
      <c r="D510" t="s">
        <v>74</v>
      </c>
      <c r="E510" t="s">
        <v>74</v>
      </c>
      <c r="F510" t="s">
        <v>10126</v>
      </c>
      <c r="G510" t="s">
        <v>74</v>
      </c>
      <c r="H510" t="s">
        <v>74</v>
      </c>
      <c r="I510" t="s">
        <v>10127</v>
      </c>
      <c r="J510" t="s">
        <v>2691</v>
      </c>
      <c r="K510" t="s">
        <v>74</v>
      </c>
      <c r="L510" t="s">
        <v>74</v>
      </c>
      <c r="M510" t="s">
        <v>78</v>
      </c>
      <c r="N510" t="s">
        <v>79</v>
      </c>
      <c r="O510" t="s">
        <v>74</v>
      </c>
      <c r="P510" t="s">
        <v>74</v>
      </c>
      <c r="Q510" t="s">
        <v>74</v>
      </c>
      <c r="R510" t="s">
        <v>74</v>
      </c>
      <c r="S510" t="s">
        <v>74</v>
      </c>
      <c r="T510" t="s">
        <v>10128</v>
      </c>
      <c r="U510" t="s">
        <v>10129</v>
      </c>
      <c r="V510" t="s">
        <v>10130</v>
      </c>
      <c r="W510" t="s">
        <v>10131</v>
      </c>
      <c r="X510" t="s">
        <v>10132</v>
      </c>
      <c r="Y510" t="s">
        <v>10133</v>
      </c>
      <c r="Z510" t="s">
        <v>10134</v>
      </c>
      <c r="AA510" t="s">
        <v>74</v>
      </c>
      <c r="AB510" t="s">
        <v>10135</v>
      </c>
      <c r="AC510" t="s">
        <v>10136</v>
      </c>
      <c r="AD510" t="s">
        <v>10137</v>
      </c>
      <c r="AE510" t="s">
        <v>10138</v>
      </c>
      <c r="AF510" t="s">
        <v>74</v>
      </c>
      <c r="AG510">
        <v>17</v>
      </c>
      <c r="AH510">
        <v>5</v>
      </c>
      <c r="AI510">
        <v>5</v>
      </c>
      <c r="AJ510">
        <v>0</v>
      </c>
      <c r="AK510">
        <v>3</v>
      </c>
      <c r="AL510" t="s">
        <v>741</v>
      </c>
      <c r="AM510" t="s">
        <v>550</v>
      </c>
      <c r="AN510" t="s">
        <v>742</v>
      </c>
      <c r="AO510" t="s">
        <v>2704</v>
      </c>
      <c r="AP510" t="s">
        <v>2705</v>
      </c>
      <c r="AQ510" t="s">
        <v>74</v>
      </c>
      <c r="AR510" t="s">
        <v>2706</v>
      </c>
      <c r="AS510" t="s">
        <v>2707</v>
      </c>
      <c r="AT510" t="s">
        <v>9714</v>
      </c>
      <c r="AU510">
        <v>2015</v>
      </c>
      <c r="AV510">
        <v>27</v>
      </c>
      <c r="AW510">
        <v>4</v>
      </c>
      <c r="AX510" t="s">
        <v>74</v>
      </c>
      <c r="AY510" t="s">
        <v>74</v>
      </c>
      <c r="AZ510" t="s">
        <v>74</v>
      </c>
      <c r="BA510" t="s">
        <v>74</v>
      </c>
      <c r="BB510">
        <v>411</v>
      </c>
      <c r="BC510">
        <v>415</v>
      </c>
      <c r="BD510" t="s">
        <v>74</v>
      </c>
      <c r="BE510" t="s">
        <v>10139</v>
      </c>
      <c r="BF510" t="str">
        <f>HYPERLINK("http://dx.doi.org/10.1017/S095410201500005X","http://dx.doi.org/10.1017/S095410201500005X")</f>
        <v>http://dx.doi.org/10.1017/S095410201500005X</v>
      </c>
      <c r="BG510" t="s">
        <v>74</v>
      </c>
      <c r="BH510" t="s">
        <v>74</v>
      </c>
      <c r="BI510">
        <v>5</v>
      </c>
      <c r="BJ510" t="s">
        <v>2709</v>
      </c>
      <c r="BK510" t="s">
        <v>101</v>
      </c>
      <c r="BL510" t="s">
        <v>2710</v>
      </c>
      <c r="BM510" t="s">
        <v>10017</v>
      </c>
      <c r="BN510" t="s">
        <v>74</v>
      </c>
      <c r="BO510" t="s">
        <v>74</v>
      </c>
      <c r="BP510" t="s">
        <v>74</v>
      </c>
      <c r="BQ510" t="s">
        <v>74</v>
      </c>
      <c r="BR510" t="s">
        <v>103</v>
      </c>
      <c r="BS510" t="s">
        <v>10140</v>
      </c>
      <c r="BT510" t="str">
        <f>HYPERLINK("https%3A%2F%2Fwww.webofscience.com%2Fwos%2Fwoscc%2Ffull-record%2FWOS:000360201200011","View Full Record in Web of Science")</f>
        <v>View Full Record in Web of Science</v>
      </c>
    </row>
    <row r="511" spans="1:72" x14ac:dyDescent="0.15">
      <c r="A511" t="s">
        <v>72</v>
      </c>
      <c r="B511" t="s">
        <v>10141</v>
      </c>
      <c r="C511" t="s">
        <v>74</v>
      </c>
      <c r="D511" t="s">
        <v>74</v>
      </c>
      <c r="E511" t="s">
        <v>74</v>
      </c>
      <c r="F511" t="s">
        <v>10142</v>
      </c>
      <c r="G511" t="s">
        <v>74</v>
      </c>
      <c r="H511" t="s">
        <v>74</v>
      </c>
      <c r="I511" t="s">
        <v>10143</v>
      </c>
      <c r="J511" t="s">
        <v>3747</v>
      </c>
      <c r="K511" t="s">
        <v>74</v>
      </c>
      <c r="L511" t="s">
        <v>74</v>
      </c>
      <c r="M511" t="s">
        <v>78</v>
      </c>
      <c r="N511" t="s">
        <v>79</v>
      </c>
      <c r="O511" t="s">
        <v>74</v>
      </c>
      <c r="P511" t="s">
        <v>74</v>
      </c>
      <c r="Q511" t="s">
        <v>74</v>
      </c>
      <c r="R511" t="s">
        <v>74</v>
      </c>
      <c r="S511" t="s">
        <v>74</v>
      </c>
      <c r="T511" t="s">
        <v>10144</v>
      </c>
      <c r="U511" t="s">
        <v>10145</v>
      </c>
      <c r="V511" t="s">
        <v>10146</v>
      </c>
      <c r="W511" t="s">
        <v>10147</v>
      </c>
      <c r="X511" t="s">
        <v>10148</v>
      </c>
      <c r="Y511" t="s">
        <v>10149</v>
      </c>
      <c r="Z511" t="s">
        <v>74</v>
      </c>
      <c r="AA511" t="s">
        <v>10150</v>
      </c>
      <c r="AB511" t="s">
        <v>10151</v>
      </c>
      <c r="AC511" t="s">
        <v>10152</v>
      </c>
      <c r="AD511" t="s">
        <v>10153</v>
      </c>
      <c r="AE511" t="s">
        <v>10154</v>
      </c>
      <c r="AF511" t="s">
        <v>74</v>
      </c>
      <c r="AG511">
        <v>44</v>
      </c>
      <c r="AH511">
        <v>9</v>
      </c>
      <c r="AI511">
        <v>12</v>
      </c>
      <c r="AJ511">
        <v>0</v>
      </c>
      <c r="AK511">
        <v>26</v>
      </c>
      <c r="AL511" t="s">
        <v>397</v>
      </c>
      <c r="AM511" t="s">
        <v>398</v>
      </c>
      <c r="AN511" t="s">
        <v>399</v>
      </c>
      <c r="AO511" t="s">
        <v>3759</v>
      </c>
      <c r="AP511" t="s">
        <v>3760</v>
      </c>
      <c r="AQ511" t="s">
        <v>74</v>
      </c>
      <c r="AR511" t="s">
        <v>3761</v>
      </c>
      <c r="AS511" t="s">
        <v>3762</v>
      </c>
      <c r="AT511" t="s">
        <v>9714</v>
      </c>
      <c r="AU511">
        <v>2015</v>
      </c>
      <c r="AV511">
        <v>118</v>
      </c>
      <c r="AW511" t="s">
        <v>74</v>
      </c>
      <c r="AX511" t="s">
        <v>4816</v>
      </c>
      <c r="AY511" t="s">
        <v>74</v>
      </c>
      <c r="AZ511" t="s">
        <v>931</v>
      </c>
      <c r="BA511" t="s">
        <v>74</v>
      </c>
      <c r="BB511">
        <v>7</v>
      </c>
      <c r="BC511">
        <v>17</v>
      </c>
      <c r="BD511" t="s">
        <v>74</v>
      </c>
      <c r="BE511" t="s">
        <v>10155</v>
      </c>
      <c r="BF511" t="str">
        <f>HYPERLINK("http://dx.doi.org/10.1016/j.dsr2.2015.04.006","http://dx.doi.org/10.1016/j.dsr2.2015.04.006")</f>
        <v>http://dx.doi.org/10.1016/j.dsr2.2015.04.006</v>
      </c>
      <c r="BG511" t="s">
        <v>74</v>
      </c>
      <c r="BH511" t="s">
        <v>74</v>
      </c>
      <c r="BI511">
        <v>11</v>
      </c>
      <c r="BJ511" t="s">
        <v>339</v>
      </c>
      <c r="BK511" t="s">
        <v>101</v>
      </c>
      <c r="BL511" t="s">
        <v>339</v>
      </c>
      <c r="BM511" t="s">
        <v>10156</v>
      </c>
      <c r="BN511" t="s">
        <v>74</v>
      </c>
      <c r="BO511" t="s">
        <v>74</v>
      </c>
      <c r="BP511" t="s">
        <v>74</v>
      </c>
      <c r="BQ511" t="s">
        <v>74</v>
      </c>
      <c r="BR511" t="s">
        <v>103</v>
      </c>
      <c r="BS511" t="s">
        <v>10157</v>
      </c>
      <c r="BT511" t="str">
        <f>HYPERLINK("https%3A%2F%2Fwww.webofscience.com%2Fwos%2Fwoscc%2Ffull-record%2FWOS:000360255300002","View Full Record in Web of Science")</f>
        <v>View Full Record in Web of Science</v>
      </c>
    </row>
    <row r="512" spans="1:72" x14ac:dyDescent="0.15">
      <c r="A512" t="s">
        <v>72</v>
      </c>
      <c r="B512" t="s">
        <v>10158</v>
      </c>
      <c r="C512" t="s">
        <v>74</v>
      </c>
      <c r="D512" t="s">
        <v>74</v>
      </c>
      <c r="E512" t="s">
        <v>74</v>
      </c>
      <c r="F512" t="s">
        <v>10159</v>
      </c>
      <c r="G512" t="s">
        <v>74</v>
      </c>
      <c r="H512" t="s">
        <v>74</v>
      </c>
      <c r="I512" t="s">
        <v>10160</v>
      </c>
      <c r="J512" t="s">
        <v>3747</v>
      </c>
      <c r="K512" t="s">
        <v>74</v>
      </c>
      <c r="L512" t="s">
        <v>74</v>
      </c>
      <c r="M512" t="s">
        <v>78</v>
      </c>
      <c r="N512" t="s">
        <v>79</v>
      </c>
      <c r="O512" t="s">
        <v>74</v>
      </c>
      <c r="P512" t="s">
        <v>74</v>
      </c>
      <c r="Q512" t="s">
        <v>74</v>
      </c>
      <c r="R512" t="s">
        <v>74</v>
      </c>
      <c r="S512" t="s">
        <v>74</v>
      </c>
      <c r="T512" t="s">
        <v>10161</v>
      </c>
      <c r="U512" t="s">
        <v>10162</v>
      </c>
      <c r="V512" t="s">
        <v>10163</v>
      </c>
      <c r="W512" t="s">
        <v>10164</v>
      </c>
      <c r="X512" t="s">
        <v>10165</v>
      </c>
      <c r="Y512" t="s">
        <v>10166</v>
      </c>
      <c r="Z512" t="s">
        <v>10167</v>
      </c>
      <c r="AA512" t="s">
        <v>10168</v>
      </c>
      <c r="AB512" t="s">
        <v>10169</v>
      </c>
      <c r="AC512" t="s">
        <v>820</v>
      </c>
      <c r="AD512" t="s">
        <v>821</v>
      </c>
      <c r="AE512" t="s">
        <v>10170</v>
      </c>
      <c r="AF512" t="s">
        <v>74</v>
      </c>
      <c r="AG512">
        <v>53</v>
      </c>
      <c r="AH512">
        <v>18</v>
      </c>
      <c r="AI512">
        <v>22</v>
      </c>
      <c r="AJ512">
        <v>1</v>
      </c>
      <c r="AK512">
        <v>24</v>
      </c>
      <c r="AL512" t="s">
        <v>397</v>
      </c>
      <c r="AM512" t="s">
        <v>398</v>
      </c>
      <c r="AN512" t="s">
        <v>399</v>
      </c>
      <c r="AO512" t="s">
        <v>3759</v>
      </c>
      <c r="AP512" t="s">
        <v>3760</v>
      </c>
      <c r="AQ512" t="s">
        <v>74</v>
      </c>
      <c r="AR512" t="s">
        <v>3761</v>
      </c>
      <c r="AS512" t="s">
        <v>3762</v>
      </c>
      <c r="AT512" t="s">
        <v>9714</v>
      </c>
      <c r="AU512">
        <v>2015</v>
      </c>
      <c r="AV512">
        <v>118</v>
      </c>
      <c r="AW512" t="s">
        <v>74</v>
      </c>
      <c r="AX512" t="s">
        <v>5574</v>
      </c>
      <c r="AY512" t="s">
        <v>74</v>
      </c>
      <c r="AZ512" t="s">
        <v>931</v>
      </c>
      <c r="BA512" t="s">
        <v>74</v>
      </c>
      <c r="BB512">
        <v>152</v>
      </c>
      <c r="BC512">
        <v>161</v>
      </c>
      <c r="BD512" t="s">
        <v>74</v>
      </c>
      <c r="BE512" t="s">
        <v>10171</v>
      </c>
      <c r="BF512" t="str">
        <f>HYPERLINK("http://dx.doi.org/10.1016/j.dsr2.2015.04.010","http://dx.doi.org/10.1016/j.dsr2.2015.04.010")</f>
        <v>http://dx.doi.org/10.1016/j.dsr2.2015.04.010</v>
      </c>
      <c r="BG512" t="s">
        <v>74</v>
      </c>
      <c r="BH512" t="s">
        <v>74</v>
      </c>
      <c r="BI512">
        <v>10</v>
      </c>
      <c r="BJ512" t="s">
        <v>339</v>
      </c>
      <c r="BK512" t="s">
        <v>101</v>
      </c>
      <c r="BL512" t="s">
        <v>339</v>
      </c>
      <c r="BM512" t="s">
        <v>10172</v>
      </c>
      <c r="BN512" t="s">
        <v>74</v>
      </c>
      <c r="BO512" t="s">
        <v>74</v>
      </c>
      <c r="BP512" t="s">
        <v>74</v>
      </c>
      <c r="BQ512" t="s">
        <v>74</v>
      </c>
      <c r="BR512" t="s">
        <v>103</v>
      </c>
      <c r="BS512" t="s">
        <v>10173</v>
      </c>
      <c r="BT512" t="str">
        <f>HYPERLINK("https%3A%2F%2Fwww.webofscience.com%2Fwos%2Fwoscc%2Ffull-record%2FWOS:000360255400003","View Full Record in Web of Science")</f>
        <v>View Full Record in Web of Science</v>
      </c>
    </row>
    <row r="513" spans="1:72" x14ac:dyDescent="0.15">
      <c r="A513" t="s">
        <v>72</v>
      </c>
      <c r="B513" t="s">
        <v>10174</v>
      </c>
      <c r="C513" t="s">
        <v>74</v>
      </c>
      <c r="D513" t="s">
        <v>74</v>
      </c>
      <c r="E513" t="s">
        <v>74</v>
      </c>
      <c r="F513" t="s">
        <v>10175</v>
      </c>
      <c r="G513" t="s">
        <v>74</v>
      </c>
      <c r="H513" t="s">
        <v>74</v>
      </c>
      <c r="I513" t="s">
        <v>10176</v>
      </c>
      <c r="J513" t="s">
        <v>3747</v>
      </c>
      <c r="K513" t="s">
        <v>74</v>
      </c>
      <c r="L513" t="s">
        <v>74</v>
      </c>
      <c r="M513" t="s">
        <v>78</v>
      </c>
      <c r="N513" t="s">
        <v>79</v>
      </c>
      <c r="O513" t="s">
        <v>74</v>
      </c>
      <c r="P513" t="s">
        <v>74</v>
      </c>
      <c r="Q513" t="s">
        <v>74</v>
      </c>
      <c r="R513" t="s">
        <v>74</v>
      </c>
      <c r="S513" t="s">
        <v>74</v>
      </c>
      <c r="T513" t="s">
        <v>10177</v>
      </c>
      <c r="U513" t="s">
        <v>10178</v>
      </c>
      <c r="V513" t="s">
        <v>10179</v>
      </c>
      <c r="W513" t="s">
        <v>10180</v>
      </c>
      <c r="X513" t="s">
        <v>10181</v>
      </c>
      <c r="Y513" t="s">
        <v>10182</v>
      </c>
      <c r="Z513" t="s">
        <v>10183</v>
      </c>
      <c r="AA513" t="s">
        <v>10184</v>
      </c>
      <c r="AB513" t="s">
        <v>10169</v>
      </c>
      <c r="AC513" t="s">
        <v>820</v>
      </c>
      <c r="AD513" t="s">
        <v>821</v>
      </c>
      <c r="AE513" t="s">
        <v>10185</v>
      </c>
      <c r="AF513" t="s">
        <v>74</v>
      </c>
      <c r="AG513">
        <v>61</v>
      </c>
      <c r="AH513">
        <v>17</v>
      </c>
      <c r="AI513">
        <v>19</v>
      </c>
      <c r="AJ513">
        <v>0</v>
      </c>
      <c r="AK513">
        <v>25</v>
      </c>
      <c r="AL513" t="s">
        <v>397</v>
      </c>
      <c r="AM513" t="s">
        <v>398</v>
      </c>
      <c r="AN513" t="s">
        <v>399</v>
      </c>
      <c r="AO513" t="s">
        <v>3759</v>
      </c>
      <c r="AP513" t="s">
        <v>3760</v>
      </c>
      <c r="AQ513" t="s">
        <v>74</v>
      </c>
      <c r="AR513" t="s">
        <v>3761</v>
      </c>
      <c r="AS513" t="s">
        <v>3762</v>
      </c>
      <c r="AT513" t="s">
        <v>9714</v>
      </c>
      <c r="AU513">
        <v>2015</v>
      </c>
      <c r="AV513">
        <v>118</v>
      </c>
      <c r="AW513" t="s">
        <v>74</v>
      </c>
      <c r="AX513" t="s">
        <v>5574</v>
      </c>
      <c r="AY513" t="s">
        <v>74</v>
      </c>
      <c r="AZ513" t="s">
        <v>931</v>
      </c>
      <c r="BA513" t="s">
        <v>74</v>
      </c>
      <c r="BB513">
        <v>162</v>
      </c>
      <c r="BC513">
        <v>169</v>
      </c>
      <c r="BD513" t="s">
        <v>74</v>
      </c>
      <c r="BE513" t="s">
        <v>10186</v>
      </c>
      <c r="BF513" t="str">
        <f>HYPERLINK("http://dx.doi.org/10.1016/j.dsr2.2015.03.009","http://dx.doi.org/10.1016/j.dsr2.2015.03.009")</f>
        <v>http://dx.doi.org/10.1016/j.dsr2.2015.03.009</v>
      </c>
      <c r="BG513" t="s">
        <v>74</v>
      </c>
      <c r="BH513" t="s">
        <v>74</v>
      </c>
      <c r="BI513">
        <v>8</v>
      </c>
      <c r="BJ513" t="s">
        <v>339</v>
      </c>
      <c r="BK513" t="s">
        <v>101</v>
      </c>
      <c r="BL513" t="s">
        <v>339</v>
      </c>
      <c r="BM513" t="s">
        <v>10172</v>
      </c>
      <c r="BN513" t="s">
        <v>74</v>
      </c>
      <c r="BO513" t="s">
        <v>74</v>
      </c>
      <c r="BP513" t="s">
        <v>74</v>
      </c>
      <c r="BQ513" t="s">
        <v>74</v>
      </c>
      <c r="BR513" t="s">
        <v>103</v>
      </c>
      <c r="BS513" t="s">
        <v>10187</v>
      </c>
      <c r="BT513" t="str">
        <f>HYPERLINK("https%3A%2F%2Fwww.webofscience.com%2Fwos%2Fwoscc%2Ffull-record%2FWOS:000360255400004","View Full Record in Web of Science")</f>
        <v>View Full Record in Web of Science</v>
      </c>
    </row>
    <row r="514" spans="1:72" x14ac:dyDescent="0.15">
      <c r="A514" t="s">
        <v>72</v>
      </c>
      <c r="B514" t="s">
        <v>10188</v>
      </c>
      <c r="C514" t="s">
        <v>74</v>
      </c>
      <c r="D514" t="s">
        <v>74</v>
      </c>
      <c r="E514" t="s">
        <v>74</v>
      </c>
      <c r="F514" t="s">
        <v>10189</v>
      </c>
      <c r="G514" t="s">
        <v>74</v>
      </c>
      <c r="H514" t="s">
        <v>74</v>
      </c>
      <c r="I514" t="s">
        <v>10190</v>
      </c>
      <c r="J514" t="s">
        <v>3747</v>
      </c>
      <c r="K514" t="s">
        <v>74</v>
      </c>
      <c r="L514" t="s">
        <v>74</v>
      </c>
      <c r="M514" t="s">
        <v>78</v>
      </c>
      <c r="N514" t="s">
        <v>79</v>
      </c>
      <c r="O514" t="s">
        <v>74</v>
      </c>
      <c r="P514" t="s">
        <v>74</v>
      </c>
      <c r="Q514" t="s">
        <v>74</v>
      </c>
      <c r="R514" t="s">
        <v>74</v>
      </c>
      <c r="S514" t="s">
        <v>74</v>
      </c>
      <c r="T514" t="s">
        <v>10191</v>
      </c>
      <c r="U514" t="s">
        <v>10192</v>
      </c>
      <c r="V514" t="s">
        <v>10193</v>
      </c>
      <c r="W514" t="s">
        <v>10194</v>
      </c>
      <c r="X514" t="s">
        <v>10181</v>
      </c>
      <c r="Y514" t="s">
        <v>7554</v>
      </c>
      <c r="Z514" t="s">
        <v>7555</v>
      </c>
      <c r="AA514" t="s">
        <v>74</v>
      </c>
      <c r="AB514" t="s">
        <v>10195</v>
      </c>
      <c r="AC514" t="s">
        <v>10196</v>
      </c>
      <c r="AD514" t="s">
        <v>10197</v>
      </c>
      <c r="AE514" t="s">
        <v>10198</v>
      </c>
      <c r="AF514" t="s">
        <v>74</v>
      </c>
      <c r="AG514">
        <v>33</v>
      </c>
      <c r="AH514">
        <v>6</v>
      </c>
      <c r="AI514">
        <v>8</v>
      </c>
      <c r="AJ514">
        <v>3</v>
      </c>
      <c r="AK514">
        <v>17</v>
      </c>
      <c r="AL514" t="s">
        <v>397</v>
      </c>
      <c r="AM514" t="s">
        <v>398</v>
      </c>
      <c r="AN514" t="s">
        <v>399</v>
      </c>
      <c r="AO514" t="s">
        <v>3759</v>
      </c>
      <c r="AP514" t="s">
        <v>3760</v>
      </c>
      <c r="AQ514" t="s">
        <v>74</v>
      </c>
      <c r="AR514" t="s">
        <v>3761</v>
      </c>
      <c r="AS514" t="s">
        <v>3762</v>
      </c>
      <c r="AT514" t="s">
        <v>9714</v>
      </c>
      <c r="AU514">
        <v>2015</v>
      </c>
      <c r="AV514">
        <v>118</v>
      </c>
      <c r="AW514" t="s">
        <v>74</v>
      </c>
      <c r="AX514" t="s">
        <v>5574</v>
      </c>
      <c r="AY514" t="s">
        <v>74</v>
      </c>
      <c r="AZ514" t="s">
        <v>931</v>
      </c>
      <c r="BA514" t="s">
        <v>74</v>
      </c>
      <c r="BB514">
        <v>170</v>
      </c>
      <c r="BC514">
        <v>176</v>
      </c>
      <c r="BD514" t="s">
        <v>74</v>
      </c>
      <c r="BE514" t="s">
        <v>10199</v>
      </c>
      <c r="BF514" t="str">
        <f>HYPERLINK("http://dx.doi.org/10.1016/j.dsr2.2015.04.022","http://dx.doi.org/10.1016/j.dsr2.2015.04.022")</f>
        <v>http://dx.doi.org/10.1016/j.dsr2.2015.04.022</v>
      </c>
      <c r="BG514" t="s">
        <v>74</v>
      </c>
      <c r="BH514" t="s">
        <v>74</v>
      </c>
      <c r="BI514">
        <v>7</v>
      </c>
      <c r="BJ514" t="s">
        <v>339</v>
      </c>
      <c r="BK514" t="s">
        <v>101</v>
      </c>
      <c r="BL514" t="s">
        <v>339</v>
      </c>
      <c r="BM514" t="s">
        <v>10172</v>
      </c>
      <c r="BN514" t="s">
        <v>74</v>
      </c>
      <c r="BO514" t="s">
        <v>74</v>
      </c>
      <c r="BP514" t="s">
        <v>74</v>
      </c>
      <c r="BQ514" t="s">
        <v>74</v>
      </c>
      <c r="BR514" t="s">
        <v>103</v>
      </c>
      <c r="BS514" t="s">
        <v>10200</v>
      </c>
      <c r="BT514" t="str">
        <f>HYPERLINK("https%3A%2F%2Fwww.webofscience.com%2Fwos%2Fwoscc%2Ffull-record%2FWOS:000360255400005","View Full Record in Web of Science")</f>
        <v>View Full Record in Web of Science</v>
      </c>
    </row>
    <row r="515" spans="1:72" x14ac:dyDescent="0.15">
      <c r="A515" t="s">
        <v>72</v>
      </c>
      <c r="B515" t="s">
        <v>10201</v>
      </c>
      <c r="C515" t="s">
        <v>74</v>
      </c>
      <c r="D515" t="s">
        <v>74</v>
      </c>
      <c r="E515" t="s">
        <v>74</v>
      </c>
      <c r="F515" t="s">
        <v>10202</v>
      </c>
      <c r="G515" t="s">
        <v>74</v>
      </c>
      <c r="H515" t="s">
        <v>74</v>
      </c>
      <c r="I515" t="s">
        <v>10203</v>
      </c>
      <c r="J515" t="s">
        <v>3747</v>
      </c>
      <c r="K515" t="s">
        <v>74</v>
      </c>
      <c r="L515" t="s">
        <v>74</v>
      </c>
      <c r="M515" t="s">
        <v>78</v>
      </c>
      <c r="N515" t="s">
        <v>79</v>
      </c>
      <c r="O515" t="s">
        <v>74</v>
      </c>
      <c r="P515" t="s">
        <v>74</v>
      </c>
      <c r="Q515" t="s">
        <v>74</v>
      </c>
      <c r="R515" t="s">
        <v>74</v>
      </c>
      <c r="S515" t="s">
        <v>74</v>
      </c>
      <c r="T515" t="s">
        <v>10204</v>
      </c>
      <c r="U515" t="s">
        <v>10205</v>
      </c>
      <c r="V515" t="s">
        <v>10206</v>
      </c>
      <c r="W515" t="s">
        <v>10207</v>
      </c>
      <c r="X515" t="s">
        <v>10208</v>
      </c>
      <c r="Y515" t="s">
        <v>10209</v>
      </c>
      <c r="Z515" t="s">
        <v>10210</v>
      </c>
      <c r="AA515" t="s">
        <v>10211</v>
      </c>
      <c r="AB515" t="s">
        <v>10212</v>
      </c>
      <c r="AC515" t="s">
        <v>10213</v>
      </c>
      <c r="AD515" t="s">
        <v>10213</v>
      </c>
      <c r="AE515" t="s">
        <v>10214</v>
      </c>
      <c r="AF515" t="s">
        <v>74</v>
      </c>
      <c r="AG515">
        <v>33</v>
      </c>
      <c r="AH515">
        <v>9</v>
      </c>
      <c r="AI515">
        <v>9</v>
      </c>
      <c r="AJ515">
        <v>0</v>
      </c>
      <c r="AK515">
        <v>21</v>
      </c>
      <c r="AL515" t="s">
        <v>397</v>
      </c>
      <c r="AM515" t="s">
        <v>398</v>
      </c>
      <c r="AN515" t="s">
        <v>399</v>
      </c>
      <c r="AO515" t="s">
        <v>3759</v>
      </c>
      <c r="AP515" t="s">
        <v>3760</v>
      </c>
      <c r="AQ515" t="s">
        <v>74</v>
      </c>
      <c r="AR515" t="s">
        <v>3761</v>
      </c>
      <c r="AS515" t="s">
        <v>3762</v>
      </c>
      <c r="AT515" t="s">
        <v>9714</v>
      </c>
      <c r="AU515">
        <v>2015</v>
      </c>
      <c r="AV515">
        <v>118</v>
      </c>
      <c r="AW515" t="s">
        <v>74</v>
      </c>
      <c r="AX515" t="s">
        <v>5574</v>
      </c>
      <c r="AY515" t="s">
        <v>74</v>
      </c>
      <c r="AZ515" t="s">
        <v>931</v>
      </c>
      <c r="BA515" t="s">
        <v>74</v>
      </c>
      <c r="BB515">
        <v>177</v>
      </c>
      <c r="BC515">
        <v>185</v>
      </c>
      <c r="BD515" t="s">
        <v>74</v>
      </c>
      <c r="BE515" t="s">
        <v>10215</v>
      </c>
      <c r="BF515" t="str">
        <f>HYPERLINK("http://dx.doi.org/10.1016/j.dsr2.2015.04.009","http://dx.doi.org/10.1016/j.dsr2.2015.04.009")</f>
        <v>http://dx.doi.org/10.1016/j.dsr2.2015.04.009</v>
      </c>
      <c r="BG515" t="s">
        <v>74</v>
      </c>
      <c r="BH515" t="s">
        <v>74</v>
      </c>
      <c r="BI515">
        <v>9</v>
      </c>
      <c r="BJ515" t="s">
        <v>339</v>
      </c>
      <c r="BK515" t="s">
        <v>101</v>
      </c>
      <c r="BL515" t="s">
        <v>339</v>
      </c>
      <c r="BM515" t="s">
        <v>10172</v>
      </c>
      <c r="BN515" t="s">
        <v>74</v>
      </c>
      <c r="BO515" t="s">
        <v>74</v>
      </c>
      <c r="BP515" t="s">
        <v>74</v>
      </c>
      <c r="BQ515" t="s">
        <v>74</v>
      </c>
      <c r="BR515" t="s">
        <v>103</v>
      </c>
      <c r="BS515" t="s">
        <v>10216</v>
      </c>
      <c r="BT515" t="str">
        <f>HYPERLINK("https%3A%2F%2Fwww.webofscience.com%2Fwos%2Fwoscc%2Ffull-record%2FWOS:000360255400006","View Full Record in Web of Science")</f>
        <v>View Full Record in Web of Science</v>
      </c>
    </row>
    <row r="516" spans="1:72" x14ac:dyDescent="0.15">
      <c r="A516" t="s">
        <v>72</v>
      </c>
      <c r="B516" t="s">
        <v>10217</v>
      </c>
      <c r="C516" t="s">
        <v>74</v>
      </c>
      <c r="D516" t="s">
        <v>74</v>
      </c>
      <c r="E516" t="s">
        <v>74</v>
      </c>
      <c r="F516" t="s">
        <v>10218</v>
      </c>
      <c r="G516" t="s">
        <v>74</v>
      </c>
      <c r="H516" t="s">
        <v>74</v>
      </c>
      <c r="I516" t="s">
        <v>10219</v>
      </c>
      <c r="J516" t="s">
        <v>3747</v>
      </c>
      <c r="K516" t="s">
        <v>74</v>
      </c>
      <c r="L516" t="s">
        <v>74</v>
      </c>
      <c r="M516" t="s">
        <v>78</v>
      </c>
      <c r="N516" t="s">
        <v>79</v>
      </c>
      <c r="O516" t="s">
        <v>74</v>
      </c>
      <c r="P516" t="s">
        <v>74</v>
      </c>
      <c r="Q516" t="s">
        <v>74</v>
      </c>
      <c r="R516" t="s">
        <v>74</v>
      </c>
      <c r="S516" t="s">
        <v>74</v>
      </c>
      <c r="T516" t="s">
        <v>10220</v>
      </c>
      <c r="U516" t="s">
        <v>10221</v>
      </c>
      <c r="V516" t="s">
        <v>10222</v>
      </c>
      <c r="W516" t="s">
        <v>10223</v>
      </c>
      <c r="X516" t="s">
        <v>10181</v>
      </c>
      <c r="Y516" t="s">
        <v>10224</v>
      </c>
      <c r="Z516" t="s">
        <v>10225</v>
      </c>
      <c r="AA516" t="s">
        <v>10226</v>
      </c>
      <c r="AB516" t="s">
        <v>10227</v>
      </c>
      <c r="AC516" t="s">
        <v>10228</v>
      </c>
      <c r="AD516" t="s">
        <v>10228</v>
      </c>
      <c r="AE516" t="s">
        <v>10229</v>
      </c>
      <c r="AF516" t="s">
        <v>74</v>
      </c>
      <c r="AG516">
        <v>79</v>
      </c>
      <c r="AH516">
        <v>19</v>
      </c>
      <c r="AI516">
        <v>21</v>
      </c>
      <c r="AJ516">
        <v>3</v>
      </c>
      <c r="AK516">
        <v>44</v>
      </c>
      <c r="AL516" t="s">
        <v>397</v>
      </c>
      <c r="AM516" t="s">
        <v>398</v>
      </c>
      <c r="AN516" t="s">
        <v>399</v>
      </c>
      <c r="AO516" t="s">
        <v>3759</v>
      </c>
      <c r="AP516" t="s">
        <v>3760</v>
      </c>
      <c r="AQ516" t="s">
        <v>74</v>
      </c>
      <c r="AR516" t="s">
        <v>3761</v>
      </c>
      <c r="AS516" t="s">
        <v>3762</v>
      </c>
      <c r="AT516" t="s">
        <v>9714</v>
      </c>
      <c r="AU516">
        <v>2015</v>
      </c>
      <c r="AV516">
        <v>118</v>
      </c>
      <c r="AW516" t="s">
        <v>74</v>
      </c>
      <c r="AX516" t="s">
        <v>5574</v>
      </c>
      <c r="AY516" t="s">
        <v>74</v>
      </c>
      <c r="AZ516" t="s">
        <v>931</v>
      </c>
      <c r="BA516" t="s">
        <v>74</v>
      </c>
      <c r="BB516">
        <v>186</v>
      </c>
      <c r="BC516">
        <v>196</v>
      </c>
      <c r="BD516" t="s">
        <v>74</v>
      </c>
      <c r="BE516" t="s">
        <v>10230</v>
      </c>
      <c r="BF516" t="str">
        <f>HYPERLINK("http://dx.doi.org/10.1016/j.dsr2.2015.06.009","http://dx.doi.org/10.1016/j.dsr2.2015.06.009")</f>
        <v>http://dx.doi.org/10.1016/j.dsr2.2015.06.009</v>
      </c>
      <c r="BG516" t="s">
        <v>74</v>
      </c>
      <c r="BH516" t="s">
        <v>74</v>
      </c>
      <c r="BI516">
        <v>11</v>
      </c>
      <c r="BJ516" t="s">
        <v>339</v>
      </c>
      <c r="BK516" t="s">
        <v>101</v>
      </c>
      <c r="BL516" t="s">
        <v>339</v>
      </c>
      <c r="BM516" t="s">
        <v>10172</v>
      </c>
      <c r="BN516" t="s">
        <v>74</v>
      </c>
      <c r="BO516" t="s">
        <v>74</v>
      </c>
      <c r="BP516" t="s">
        <v>74</v>
      </c>
      <c r="BQ516" t="s">
        <v>74</v>
      </c>
      <c r="BR516" t="s">
        <v>103</v>
      </c>
      <c r="BS516" t="s">
        <v>10231</v>
      </c>
      <c r="BT516" t="str">
        <f>HYPERLINK("https%3A%2F%2Fwww.webofscience.com%2Fwos%2Fwoscc%2Ffull-record%2FWOS:000360255400007","View Full Record in Web of Science")</f>
        <v>View Full Record in Web of Science</v>
      </c>
    </row>
    <row r="517" spans="1:72" x14ac:dyDescent="0.15">
      <c r="A517" t="s">
        <v>72</v>
      </c>
      <c r="B517" t="s">
        <v>10232</v>
      </c>
      <c r="C517" t="s">
        <v>74</v>
      </c>
      <c r="D517" t="s">
        <v>74</v>
      </c>
      <c r="E517" t="s">
        <v>74</v>
      </c>
      <c r="F517" t="s">
        <v>10233</v>
      </c>
      <c r="G517" t="s">
        <v>74</v>
      </c>
      <c r="H517" t="s">
        <v>74</v>
      </c>
      <c r="I517" t="s">
        <v>10234</v>
      </c>
      <c r="J517" t="s">
        <v>3747</v>
      </c>
      <c r="K517" t="s">
        <v>74</v>
      </c>
      <c r="L517" t="s">
        <v>74</v>
      </c>
      <c r="M517" t="s">
        <v>78</v>
      </c>
      <c r="N517" t="s">
        <v>79</v>
      </c>
      <c r="O517" t="s">
        <v>74</v>
      </c>
      <c r="P517" t="s">
        <v>74</v>
      </c>
      <c r="Q517" t="s">
        <v>74</v>
      </c>
      <c r="R517" t="s">
        <v>74</v>
      </c>
      <c r="S517" t="s">
        <v>74</v>
      </c>
      <c r="T517" t="s">
        <v>10235</v>
      </c>
      <c r="U517" t="s">
        <v>10236</v>
      </c>
      <c r="V517" t="s">
        <v>10237</v>
      </c>
      <c r="W517" t="s">
        <v>10238</v>
      </c>
      <c r="X517" t="s">
        <v>10239</v>
      </c>
      <c r="Y517" t="s">
        <v>10240</v>
      </c>
      <c r="Z517" t="s">
        <v>10241</v>
      </c>
      <c r="AA517" t="s">
        <v>10242</v>
      </c>
      <c r="AB517" t="s">
        <v>10243</v>
      </c>
      <c r="AC517" t="s">
        <v>10244</v>
      </c>
      <c r="AD517" t="s">
        <v>10245</v>
      </c>
      <c r="AE517" t="s">
        <v>10246</v>
      </c>
      <c r="AF517" t="s">
        <v>74</v>
      </c>
      <c r="AG517">
        <v>106</v>
      </c>
      <c r="AH517">
        <v>5</v>
      </c>
      <c r="AI517">
        <v>7</v>
      </c>
      <c r="AJ517">
        <v>0</v>
      </c>
      <c r="AK517">
        <v>36</v>
      </c>
      <c r="AL517" t="s">
        <v>397</v>
      </c>
      <c r="AM517" t="s">
        <v>398</v>
      </c>
      <c r="AN517" t="s">
        <v>399</v>
      </c>
      <c r="AO517" t="s">
        <v>3759</v>
      </c>
      <c r="AP517" t="s">
        <v>3760</v>
      </c>
      <c r="AQ517" t="s">
        <v>74</v>
      </c>
      <c r="AR517" t="s">
        <v>3761</v>
      </c>
      <c r="AS517" t="s">
        <v>3762</v>
      </c>
      <c r="AT517" t="s">
        <v>9714</v>
      </c>
      <c r="AU517">
        <v>2015</v>
      </c>
      <c r="AV517">
        <v>118</v>
      </c>
      <c r="AW517" t="s">
        <v>74</v>
      </c>
      <c r="AX517" t="s">
        <v>5574</v>
      </c>
      <c r="AY517" t="s">
        <v>74</v>
      </c>
      <c r="AZ517" t="s">
        <v>931</v>
      </c>
      <c r="BA517" t="s">
        <v>74</v>
      </c>
      <c r="BB517">
        <v>197</v>
      </c>
      <c r="BC517">
        <v>208</v>
      </c>
      <c r="BD517" t="s">
        <v>74</v>
      </c>
      <c r="BE517" t="s">
        <v>10247</v>
      </c>
      <c r="BF517" t="str">
        <f>HYPERLINK("http://dx.doi.org/10.1016/j.dsr2.2015.01.009","http://dx.doi.org/10.1016/j.dsr2.2015.01.009")</f>
        <v>http://dx.doi.org/10.1016/j.dsr2.2015.01.009</v>
      </c>
      <c r="BG517" t="s">
        <v>74</v>
      </c>
      <c r="BH517" t="s">
        <v>74</v>
      </c>
      <c r="BI517">
        <v>12</v>
      </c>
      <c r="BJ517" t="s">
        <v>339</v>
      </c>
      <c r="BK517" t="s">
        <v>101</v>
      </c>
      <c r="BL517" t="s">
        <v>339</v>
      </c>
      <c r="BM517" t="s">
        <v>10172</v>
      </c>
      <c r="BN517" t="s">
        <v>74</v>
      </c>
      <c r="BO517" t="s">
        <v>74</v>
      </c>
      <c r="BP517" t="s">
        <v>74</v>
      </c>
      <c r="BQ517" t="s">
        <v>74</v>
      </c>
      <c r="BR517" t="s">
        <v>103</v>
      </c>
      <c r="BS517" t="s">
        <v>10248</v>
      </c>
      <c r="BT517" t="str">
        <f>HYPERLINK("https%3A%2F%2Fwww.webofscience.com%2Fwos%2Fwoscc%2Ffull-record%2FWOS:000360255400008","View Full Record in Web of Science")</f>
        <v>View Full Record in Web of Science</v>
      </c>
    </row>
    <row r="518" spans="1:72" x14ac:dyDescent="0.15">
      <c r="A518" t="s">
        <v>72</v>
      </c>
      <c r="B518" t="s">
        <v>10249</v>
      </c>
      <c r="C518" t="s">
        <v>74</v>
      </c>
      <c r="D518" t="s">
        <v>74</v>
      </c>
      <c r="E518" t="s">
        <v>74</v>
      </c>
      <c r="F518" t="s">
        <v>10250</v>
      </c>
      <c r="G518" t="s">
        <v>74</v>
      </c>
      <c r="H518" t="s">
        <v>74</v>
      </c>
      <c r="I518" t="s">
        <v>10251</v>
      </c>
      <c r="J518" t="s">
        <v>3747</v>
      </c>
      <c r="K518" t="s">
        <v>74</v>
      </c>
      <c r="L518" t="s">
        <v>74</v>
      </c>
      <c r="M518" t="s">
        <v>78</v>
      </c>
      <c r="N518" t="s">
        <v>79</v>
      </c>
      <c r="O518" t="s">
        <v>74</v>
      </c>
      <c r="P518" t="s">
        <v>74</v>
      </c>
      <c r="Q518" t="s">
        <v>74</v>
      </c>
      <c r="R518" t="s">
        <v>74</v>
      </c>
      <c r="S518" t="s">
        <v>74</v>
      </c>
      <c r="T518" t="s">
        <v>10252</v>
      </c>
      <c r="U518" t="s">
        <v>10253</v>
      </c>
      <c r="V518" t="s">
        <v>10254</v>
      </c>
      <c r="W518" t="s">
        <v>10255</v>
      </c>
      <c r="X518" t="s">
        <v>10256</v>
      </c>
      <c r="Y518" t="s">
        <v>10257</v>
      </c>
      <c r="Z518" t="s">
        <v>10241</v>
      </c>
      <c r="AA518" t="s">
        <v>10258</v>
      </c>
      <c r="AB518" t="s">
        <v>10259</v>
      </c>
      <c r="AC518" t="s">
        <v>10244</v>
      </c>
      <c r="AD518" t="s">
        <v>10245</v>
      </c>
      <c r="AE518" t="s">
        <v>10260</v>
      </c>
      <c r="AF518" t="s">
        <v>74</v>
      </c>
      <c r="AG518">
        <v>93</v>
      </c>
      <c r="AH518">
        <v>7</v>
      </c>
      <c r="AI518">
        <v>8</v>
      </c>
      <c r="AJ518">
        <v>1</v>
      </c>
      <c r="AK518">
        <v>38</v>
      </c>
      <c r="AL518" t="s">
        <v>397</v>
      </c>
      <c r="AM518" t="s">
        <v>398</v>
      </c>
      <c r="AN518" t="s">
        <v>399</v>
      </c>
      <c r="AO518" t="s">
        <v>3759</v>
      </c>
      <c r="AP518" t="s">
        <v>3760</v>
      </c>
      <c r="AQ518" t="s">
        <v>74</v>
      </c>
      <c r="AR518" t="s">
        <v>3761</v>
      </c>
      <c r="AS518" t="s">
        <v>3762</v>
      </c>
      <c r="AT518" t="s">
        <v>9714</v>
      </c>
      <c r="AU518">
        <v>2015</v>
      </c>
      <c r="AV518">
        <v>118</v>
      </c>
      <c r="AW518" t="s">
        <v>74</v>
      </c>
      <c r="AX518" t="s">
        <v>5574</v>
      </c>
      <c r="AY518" t="s">
        <v>74</v>
      </c>
      <c r="AZ518" t="s">
        <v>931</v>
      </c>
      <c r="BA518" t="s">
        <v>74</v>
      </c>
      <c r="BB518">
        <v>209</v>
      </c>
      <c r="BC518">
        <v>220</v>
      </c>
      <c r="BD518" t="s">
        <v>74</v>
      </c>
      <c r="BE518" t="s">
        <v>10261</v>
      </c>
      <c r="BF518" t="str">
        <f>HYPERLINK("http://dx.doi.org/10.1016/j.dsr2.2015.03.013","http://dx.doi.org/10.1016/j.dsr2.2015.03.013")</f>
        <v>http://dx.doi.org/10.1016/j.dsr2.2015.03.013</v>
      </c>
      <c r="BG518" t="s">
        <v>74</v>
      </c>
      <c r="BH518" t="s">
        <v>74</v>
      </c>
      <c r="BI518">
        <v>12</v>
      </c>
      <c r="BJ518" t="s">
        <v>339</v>
      </c>
      <c r="BK518" t="s">
        <v>101</v>
      </c>
      <c r="BL518" t="s">
        <v>339</v>
      </c>
      <c r="BM518" t="s">
        <v>10172</v>
      </c>
      <c r="BN518" t="s">
        <v>74</v>
      </c>
      <c r="BO518" t="s">
        <v>74</v>
      </c>
      <c r="BP518" t="s">
        <v>74</v>
      </c>
      <c r="BQ518" t="s">
        <v>74</v>
      </c>
      <c r="BR518" t="s">
        <v>103</v>
      </c>
      <c r="BS518" t="s">
        <v>10262</v>
      </c>
      <c r="BT518" t="str">
        <f>HYPERLINK("https%3A%2F%2Fwww.webofscience.com%2Fwos%2Fwoscc%2Ffull-record%2FWOS:000360255400009","View Full Record in Web of Science")</f>
        <v>View Full Record in Web of Science</v>
      </c>
    </row>
    <row r="519" spans="1:72" x14ac:dyDescent="0.15">
      <c r="A519" t="s">
        <v>72</v>
      </c>
      <c r="B519" t="s">
        <v>10263</v>
      </c>
      <c r="C519" t="s">
        <v>74</v>
      </c>
      <c r="D519" t="s">
        <v>74</v>
      </c>
      <c r="E519" t="s">
        <v>74</v>
      </c>
      <c r="F519" t="s">
        <v>10264</v>
      </c>
      <c r="G519" t="s">
        <v>74</v>
      </c>
      <c r="H519" t="s">
        <v>74</v>
      </c>
      <c r="I519" t="s">
        <v>10265</v>
      </c>
      <c r="J519" t="s">
        <v>3747</v>
      </c>
      <c r="K519" t="s">
        <v>74</v>
      </c>
      <c r="L519" t="s">
        <v>74</v>
      </c>
      <c r="M519" t="s">
        <v>78</v>
      </c>
      <c r="N519" t="s">
        <v>79</v>
      </c>
      <c r="O519" t="s">
        <v>74</v>
      </c>
      <c r="P519" t="s">
        <v>74</v>
      </c>
      <c r="Q519" t="s">
        <v>74</v>
      </c>
      <c r="R519" t="s">
        <v>74</v>
      </c>
      <c r="S519" t="s">
        <v>74</v>
      </c>
      <c r="T519" t="s">
        <v>10266</v>
      </c>
      <c r="U519" t="s">
        <v>10267</v>
      </c>
      <c r="V519" t="s">
        <v>10268</v>
      </c>
      <c r="W519" t="s">
        <v>10269</v>
      </c>
      <c r="X519" t="s">
        <v>10270</v>
      </c>
      <c r="Y519" t="s">
        <v>10271</v>
      </c>
      <c r="Z519" t="s">
        <v>10272</v>
      </c>
      <c r="AA519" t="s">
        <v>10273</v>
      </c>
      <c r="AB519" t="s">
        <v>10274</v>
      </c>
      <c r="AC519" t="s">
        <v>10275</v>
      </c>
      <c r="AD519" t="s">
        <v>10275</v>
      </c>
      <c r="AE519" t="s">
        <v>10276</v>
      </c>
      <c r="AF519" t="s">
        <v>74</v>
      </c>
      <c r="AG519">
        <v>42</v>
      </c>
      <c r="AH519">
        <v>20</v>
      </c>
      <c r="AI519">
        <v>21</v>
      </c>
      <c r="AJ519">
        <v>2</v>
      </c>
      <c r="AK519">
        <v>33</v>
      </c>
      <c r="AL519" t="s">
        <v>397</v>
      </c>
      <c r="AM519" t="s">
        <v>398</v>
      </c>
      <c r="AN519" t="s">
        <v>399</v>
      </c>
      <c r="AO519" t="s">
        <v>3759</v>
      </c>
      <c r="AP519" t="s">
        <v>3760</v>
      </c>
      <c r="AQ519" t="s">
        <v>74</v>
      </c>
      <c r="AR519" t="s">
        <v>3761</v>
      </c>
      <c r="AS519" t="s">
        <v>3762</v>
      </c>
      <c r="AT519" t="s">
        <v>9714</v>
      </c>
      <c r="AU519">
        <v>2015</v>
      </c>
      <c r="AV519">
        <v>118</v>
      </c>
      <c r="AW519" t="s">
        <v>74</v>
      </c>
      <c r="AX519" t="s">
        <v>5574</v>
      </c>
      <c r="AY519" t="s">
        <v>74</v>
      </c>
      <c r="AZ519" t="s">
        <v>931</v>
      </c>
      <c r="BA519" t="s">
        <v>74</v>
      </c>
      <c r="BB519">
        <v>233</v>
      </c>
      <c r="BC519">
        <v>239</v>
      </c>
      <c r="BD519" t="s">
        <v>74</v>
      </c>
      <c r="BE519" t="s">
        <v>10277</v>
      </c>
      <c r="BF519" t="str">
        <f>HYPERLINK("http://dx.doi.org/10.1016/j.dsr2.2015.01.002","http://dx.doi.org/10.1016/j.dsr2.2015.01.002")</f>
        <v>http://dx.doi.org/10.1016/j.dsr2.2015.01.002</v>
      </c>
      <c r="BG519" t="s">
        <v>74</v>
      </c>
      <c r="BH519" t="s">
        <v>74</v>
      </c>
      <c r="BI519">
        <v>7</v>
      </c>
      <c r="BJ519" t="s">
        <v>339</v>
      </c>
      <c r="BK519" t="s">
        <v>101</v>
      </c>
      <c r="BL519" t="s">
        <v>339</v>
      </c>
      <c r="BM519" t="s">
        <v>10172</v>
      </c>
      <c r="BN519" t="s">
        <v>74</v>
      </c>
      <c r="BO519" t="s">
        <v>74</v>
      </c>
      <c r="BP519" t="s">
        <v>74</v>
      </c>
      <c r="BQ519" t="s">
        <v>74</v>
      </c>
      <c r="BR519" t="s">
        <v>103</v>
      </c>
      <c r="BS519" t="s">
        <v>10278</v>
      </c>
      <c r="BT519" t="str">
        <f>HYPERLINK("https%3A%2F%2Fwww.webofscience.com%2Fwos%2Fwoscc%2Ffull-record%2FWOS:000360255400011","View Full Record in Web of Science")</f>
        <v>View Full Record in Web of Science</v>
      </c>
    </row>
    <row r="520" spans="1:72" x14ac:dyDescent="0.15">
      <c r="A520" t="s">
        <v>72</v>
      </c>
      <c r="B520" t="s">
        <v>10279</v>
      </c>
      <c r="C520" t="s">
        <v>74</v>
      </c>
      <c r="D520" t="s">
        <v>74</v>
      </c>
      <c r="E520" t="s">
        <v>74</v>
      </c>
      <c r="F520" t="s">
        <v>10280</v>
      </c>
      <c r="G520" t="s">
        <v>74</v>
      </c>
      <c r="H520" t="s">
        <v>74</v>
      </c>
      <c r="I520" t="s">
        <v>10281</v>
      </c>
      <c r="J520" t="s">
        <v>3747</v>
      </c>
      <c r="K520" t="s">
        <v>74</v>
      </c>
      <c r="L520" t="s">
        <v>74</v>
      </c>
      <c r="M520" t="s">
        <v>78</v>
      </c>
      <c r="N520" t="s">
        <v>79</v>
      </c>
      <c r="O520" t="s">
        <v>74</v>
      </c>
      <c r="P520" t="s">
        <v>74</v>
      </c>
      <c r="Q520" t="s">
        <v>74</v>
      </c>
      <c r="R520" t="s">
        <v>74</v>
      </c>
      <c r="S520" t="s">
        <v>74</v>
      </c>
      <c r="T520" t="s">
        <v>10282</v>
      </c>
      <c r="U520" t="s">
        <v>10283</v>
      </c>
      <c r="V520" t="s">
        <v>10284</v>
      </c>
      <c r="W520" t="s">
        <v>10285</v>
      </c>
      <c r="X520" t="s">
        <v>10286</v>
      </c>
      <c r="Y520" t="s">
        <v>10287</v>
      </c>
      <c r="Z520" t="s">
        <v>10288</v>
      </c>
      <c r="AA520" t="s">
        <v>74</v>
      </c>
      <c r="AB520" t="s">
        <v>10289</v>
      </c>
      <c r="AC520" t="s">
        <v>820</v>
      </c>
      <c r="AD520" t="s">
        <v>821</v>
      </c>
      <c r="AE520" t="s">
        <v>10290</v>
      </c>
      <c r="AF520" t="s">
        <v>74</v>
      </c>
      <c r="AG520">
        <v>75</v>
      </c>
      <c r="AH520">
        <v>29</v>
      </c>
      <c r="AI520">
        <v>31</v>
      </c>
      <c r="AJ520">
        <v>3</v>
      </c>
      <c r="AK520">
        <v>30</v>
      </c>
      <c r="AL520" t="s">
        <v>397</v>
      </c>
      <c r="AM520" t="s">
        <v>398</v>
      </c>
      <c r="AN520" t="s">
        <v>399</v>
      </c>
      <c r="AO520" t="s">
        <v>3759</v>
      </c>
      <c r="AP520" t="s">
        <v>3760</v>
      </c>
      <c r="AQ520" t="s">
        <v>74</v>
      </c>
      <c r="AR520" t="s">
        <v>3761</v>
      </c>
      <c r="AS520" t="s">
        <v>3762</v>
      </c>
      <c r="AT520" t="s">
        <v>9714</v>
      </c>
      <c r="AU520">
        <v>2015</v>
      </c>
      <c r="AV520">
        <v>118</v>
      </c>
      <c r="AW520" t="s">
        <v>74</v>
      </c>
      <c r="AX520" t="s">
        <v>5574</v>
      </c>
      <c r="AY520" t="s">
        <v>74</v>
      </c>
      <c r="AZ520" t="s">
        <v>931</v>
      </c>
      <c r="BA520" t="s">
        <v>74</v>
      </c>
      <c r="BB520">
        <v>240</v>
      </c>
      <c r="BC520">
        <v>249</v>
      </c>
      <c r="BD520" t="s">
        <v>74</v>
      </c>
      <c r="BE520" t="s">
        <v>10291</v>
      </c>
      <c r="BF520" t="str">
        <f>HYPERLINK("http://dx.doi.org/10.1016/j.dsr2.2015.01.004","http://dx.doi.org/10.1016/j.dsr2.2015.01.004")</f>
        <v>http://dx.doi.org/10.1016/j.dsr2.2015.01.004</v>
      </c>
      <c r="BG520" t="s">
        <v>74</v>
      </c>
      <c r="BH520" t="s">
        <v>74</v>
      </c>
      <c r="BI520">
        <v>10</v>
      </c>
      <c r="BJ520" t="s">
        <v>339</v>
      </c>
      <c r="BK520" t="s">
        <v>101</v>
      </c>
      <c r="BL520" t="s">
        <v>339</v>
      </c>
      <c r="BM520" t="s">
        <v>10172</v>
      </c>
      <c r="BN520" t="s">
        <v>74</v>
      </c>
      <c r="BO520" t="s">
        <v>74</v>
      </c>
      <c r="BP520" t="s">
        <v>74</v>
      </c>
      <c r="BQ520" t="s">
        <v>74</v>
      </c>
      <c r="BR520" t="s">
        <v>103</v>
      </c>
      <c r="BS520" t="s">
        <v>10292</v>
      </c>
      <c r="BT520" t="str">
        <f>HYPERLINK("https%3A%2F%2Fwww.webofscience.com%2Fwos%2Fwoscc%2Ffull-record%2FWOS:000360255400012","View Full Record in Web of Science")</f>
        <v>View Full Record in Web of Science</v>
      </c>
    </row>
    <row r="521" spans="1:72" x14ac:dyDescent="0.15">
      <c r="A521" t="s">
        <v>72</v>
      </c>
      <c r="B521" t="s">
        <v>10293</v>
      </c>
      <c r="C521" t="s">
        <v>74</v>
      </c>
      <c r="D521" t="s">
        <v>74</v>
      </c>
      <c r="E521" t="s">
        <v>74</v>
      </c>
      <c r="F521" t="s">
        <v>10294</v>
      </c>
      <c r="G521" t="s">
        <v>74</v>
      </c>
      <c r="H521" t="s">
        <v>74</v>
      </c>
      <c r="I521" t="s">
        <v>10295</v>
      </c>
      <c r="J521" t="s">
        <v>3747</v>
      </c>
      <c r="K521" t="s">
        <v>74</v>
      </c>
      <c r="L521" t="s">
        <v>74</v>
      </c>
      <c r="M521" t="s">
        <v>78</v>
      </c>
      <c r="N521" t="s">
        <v>79</v>
      </c>
      <c r="O521" t="s">
        <v>74</v>
      </c>
      <c r="P521" t="s">
        <v>74</v>
      </c>
      <c r="Q521" t="s">
        <v>74</v>
      </c>
      <c r="R521" t="s">
        <v>74</v>
      </c>
      <c r="S521" t="s">
        <v>74</v>
      </c>
      <c r="T521" t="s">
        <v>10296</v>
      </c>
      <c r="U521" t="s">
        <v>10297</v>
      </c>
      <c r="V521" t="s">
        <v>10298</v>
      </c>
      <c r="W521" t="s">
        <v>10299</v>
      </c>
      <c r="X521" t="s">
        <v>10300</v>
      </c>
      <c r="Y521" t="s">
        <v>10301</v>
      </c>
      <c r="Z521" t="s">
        <v>10302</v>
      </c>
      <c r="AA521" t="s">
        <v>10303</v>
      </c>
      <c r="AB521" t="s">
        <v>10304</v>
      </c>
      <c r="AC521" t="s">
        <v>10305</v>
      </c>
      <c r="AD521" t="s">
        <v>10305</v>
      </c>
      <c r="AE521" t="s">
        <v>10306</v>
      </c>
      <c r="AF521" t="s">
        <v>74</v>
      </c>
      <c r="AG521">
        <v>59</v>
      </c>
      <c r="AH521">
        <v>14</v>
      </c>
      <c r="AI521">
        <v>14</v>
      </c>
      <c r="AJ521">
        <v>0</v>
      </c>
      <c r="AK521">
        <v>9</v>
      </c>
      <c r="AL521" t="s">
        <v>397</v>
      </c>
      <c r="AM521" t="s">
        <v>398</v>
      </c>
      <c r="AN521" t="s">
        <v>399</v>
      </c>
      <c r="AO521" t="s">
        <v>3759</v>
      </c>
      <c r="AP521" t="s">
        <v>3760</v>
      </c>
      <c r="AQ521" t="s">
        <v>74</v>
      </c>
      <c r="AR521" t="s">
        <v>3761</v>
      </c>
      <c r="AS521" t="s">
        <v>3762</v>
      </c>
      <c r="AT521" t="s">
        <v>9714</v>
      </c>
      <c r="AU521">
        <v>2015</v>
      </c>
      <c r="AV521">
        <v>118</v>
      </c>
      <c r="AW521" t="s">
        <v>74</v>
      </c>
      <c r="AX521" t="s">
        <v>5574</v>
      </c>
      <c r="AY521" t="s">
        <v>74</v>
      </c>
      <c r="AZ521" t="s">
        <v>931</v>
      </c>
      <c r="BA521" t="s">
        <v>74</v>
      </c>
      <c r="BB521">
        <v>250</v>
      </c>
      <c r="BC521">
        <v>260</v>
      </c>
      <c r="BD521" t="s">
        <v>74</v>
      </c>
      <c r="BE521" t="s">
        <v>10307</v>
      </c>
      <c r="BF521" t="str">
        <f>HYPERLINK("http://dx.doi.org/10.1016/j.dsr2.2015.05.017","http://dx.doi.org/10.1016/j.dsr2.2015.05.017")</f>
        <v>http://dx.doi.org/10.1016/j.dsr2.2015.05.017</v>
      </c>
      <c r="BG521" t="s">
        <v>74</v>
      </c>
      <c r="BH521" t="s">
        <v>74</v>
      </c>
      <c r="BI521">
        <v>11</v>
      </c>
      <c r="BJ521" t="s">
        <v>339</v>
      </c>
      <c r="BK521" t="s">
        <v>101</v>
      </c>
      <c r="BL521" t="s">
        <v>339</v>
      </c>
      <c r="BM521" t="s">
        <v>10172</v>
      </c>
      <c r="BN521" t="s">
        <v>74</v>
      </c>
      <c r="BO521" t="s">
        <v>74</v>
      </c>
      <c r="BP521" t="s">
        <v>74</v>
      </c>
      <c r="BQ521" t="s">
        <v>74</v>
      </c>
      <c r="BR521" t="s">
        <v>103</v>
      </c>
      <c r="BS521" t="s">
        <v>10308</v>
      </c>
      <c r="BT521" t="str">
        <f>HYPERLINK("https%3A%2F%2Fwww.webofscience.com%2Fwos%2Fwoscc%2Ffull-record%2FWOS:000360255400013","View Full Record in Web of Science")</f>
        <v>View Full Record in Web of Science</v>
      </c>
    </row>
    <row r="522" spans="1:72" x14ac:dyDescent="0.15">
      <c r="A522" t="s">
        <v>72</v>
      </c>
      <c r="B522" t="s">
        <v>10309</v>
      </c>
      <c r="C522" t="s">
        <v>74</v>
      </c>
      <c r="D522" t="s">
        <v>74</v>
      </c>
      <c r="E522" t="s">
        <v>74</v>
      </c>
      <c r="F522" t="s">
        <v>10310</v>
      </c>
      <c r="G522" t="s">
        <v>74</v>
      </c>
      <c r="H522" t="s">
        <v>74</v>
      </c>
      <c r="I522" t="s">
        <v>10311</v>
      </c>
      <c r="J522" t="s">
        <v>8187</v>
      </c>
      <c r="K522" t="s">
        <v>74</v>
      </c>
      <c r="L522" t="s">
        <v>74</v>
      </c>
      <c r="M522" t="s">
        <v>78</v>
      </c>
      <c r="N522" t="s">
        <v>79</v>
      </c>
      <c r="O522" t="s">
        <v>74</v>
      </c>
      <c r="P522" t="s">
        <v>74</v>
      </c>
      <c r="Q522" t="s">
        <v>74</v>
      </c>
      <c r="R522" t="s">
        <v>74</v>
      </c>
      <c r="S522" t="s">
        <v>74</v>
      </c>
      <c r="T522" t="s">
        <v>10312</v>
      </c>
      <c r="U522" t="s">
        <v>10313</v>
      </c>
      <c r="V522" t="s">
        <v>10314</v>
      </c>
      <c r="W522" t="s">
        <v>10315</v>
      </c>
      <c r="X522" t="s">
        <v>10316</v>
      </c>
      <c r="Y522" t="s">
        <v>10317</v>
      </c>
      <c r="Z522" t="s">
        <v>10318</v>
      </c>
      <c r="AA522" t="s">
        <v>7531</v>
      </c>
      <c r="AB522" t="s">
        <v>10319</v>
      </c>
      <c r="AC522" t="s">
        <v>10320</v>
      </c>
      <c r="AD522" t="s">
        <v>10321</v>
      </c>
      <c r="AE522" t="s">
        <v>10322</v>
      </c>
      <c r="AF522" t="s">
        <v>74</v>
      </c>
      <c r="AG522">
        <v>74</v>
      </c>
      <c r="AH522">
        <v>10</v>
      </c>
      <c r="AI522">
        <v>10</v>
      </c>
      <c r="AJ522">
        <v>0</v>
      </c>
      <c r="AK522">
        <v>22</v>
      </c>
      <c r="AL522" t="s">
        <v>496</v>
      </c>
      <c r="AM522" t="s">
        <v>398</v>
      </c>
      <c r="AN522" t="s">
        <v>497</v>
      </c>
      <c r="AO522" t="s">
        <v>8197</v>
      </c>
      <c r="AP522" t="s">
        <v>8198</v>
      </c>
      <c r="AQ522" t="s">
        <v>74</v>
      </c>
      <c r="AR522" t="s">
        <v>8199</v>
      </c>
      <c r="AS522" t="s">
        <v>8200</v>
      </c>
      <c r="AT522" t="s">
        <v>9714</v>
      </c>
      <c r="AU522">
        <v>2015</v>
      </c>
      <c r="AV522">
        <v>109</v>
      </c>
      <c r="AW522" t="s">
        <v>74</v>
      </c>
      <c r="AX522" t="s">
        <v>74</v>
      </c>
      <c r="AY522" t="s">
        <v>74</v>
      </c>
      <c r="AZ522" t="s">
        <v>74</v>
      </c>
      <c r="BA522" t="s">
        <v>74</v>
      </c>
      <c r="BB522">
        <v>28</v>
      </c>
      <c r="BC522">
        <v>40</v>
      </c>
      <c r="BD522" t="s">
        <v>74</v>
      </c>
      <c r="BE522" t="s">
        <v>10323</v>
      </c>
      <c r="BF522" t="str">
        <f>HYPERLINK("http://dx.doi.org/10.1016/j.marenvres.2015.05.011","http://dx.doi.org/10.1016/j.marenvres.2015.05.011")</f>
        <v>http://dx.doi.org/10.1016/j.marenvres.2015.05.011</v>
      </c>
      <c r="BG522" t="s">
        <v>74</v>
      </c>
      <c r="BH522" t="s">
        <v>74</v>
      </c>
      <c r="BI522">
        <v>13</v>
      </c>
      <c r="BJ522" t="s">
        <v>8202</v>
      </c>
      <c r="BK522" t="s">
        <v>101</v>
      </c>
      <c r="BL522" t="s">
        <v>8203</v>
      </c>
      <c r="BM522" t="s">
        <v>10324</v>
      </c>
      <c r="BN522">
        <v>26070020</v>
      </c>
      <c r="BO522" t="s">
        <v>74</v>
      </c>
      <c r="BP522" t="s">
        <v>74</v>
      </c>
      <c r="BQ522" t="s">
        <v>74</v>
      </c>
      <c r="BR522" t="s">
        <v>103</v>
      </c>
      <c r="BS522" t="s">
        <v>10325</v>
      </c>
      <c r="BT522" t="str">
        <f>HYPERLINK("https%3A%2F%2Fwww.webofscience.com%2Fwos%2Fwoscc%2Ffull-record%2FWOS:000360514300004","View Full Record in Web of Science")</f>
        <v>View Full Record in Web of Science</v>
      </c>
    </row>
    <row r="523" spans="1:72" x14ac:dyDescent="0.15">
      <c r="A523" t="s">
        <v>72</v>
      </c>
      <c r="B523" t="s">
        <v>10326</v>
      </c>
      <c r="C523" t="s">
        <v>74</v>
      </c>
      <c r="D523" t="s">
        <v>74</v>
      </c>
      <c r="E523" t="s">
        <v>74</v>
      </c>
      <c r="F523" t="s">
        <v>10327</v>
      </c>
      <c r="G523" t="s">
        <v>74</v>
      </c>
      <c r="H523" t="s">
        <v>74</v>
      </c>
      <c r="I523" t="s">
        <v>10328</v>
      </c>
      <c r="J523" t="s">
        <v>10329</v>
      </c>
      <c r="K523" t="s">
        <v>74</v>
      </c>
      <c r="L523" t="s">
        <v>74</v>
      </c>
      <c r="M523" t="s">
        <v>78</v>
      </c>
      <c r="N523" t="s">
        <v>79</v>
      </c>
      <c r="O523" t="s">
        <v>74</v>
      </c>
      <c r="P523" t="s">
        <v>74</v>
      </c>
      <c r="Q523" t="s">
        <v>74</v>
      </c>
      <c r="R523" t="s">
        <v>74</v>
      </c>
      <c r="S523" t="s">
        <v>74</v>
      </c>
      <c r="T523" t="s">
        <v>10330</v>
      </c>
      <c r="U523" t="s">
        <v>74</v>
      </c>
      <c r="V523" t="s">
        <v>10331</v>
      </c>
      <c r="W523" t="s">
        <v>10332</v>
      </c>
      <c r="X523" t="s">
        <v>10333</v>
      </c>
      <c r="Y523" t="s">
        <v>10334</v>
      </c>
      <c r="Z523" t="s">
        <v>10335</v>
      </c>
      <c r="AA523" t="s">
        <v>74</v>
      </c>
      <c r="AB523" t="s">
        <v>3227</v>
      </c>
      <c r="AC523" t="s">
        <v>10336</v>
      </c>
      <c r="AD523" t="s">
        <v>10337</v>
      </c>
      <c r="AE523" t="s">
        <v>10338</v>
      </c>
      <c r="AF523" t="s">
        <v>74</v>
      </c>
      <c r="AG523">
        <v>4</v>
      </c>
      <c r="AH523">
        <v>7</v>
      </c>
      <c r="AI523">
        <v>7</v>
      </c>
      <c r="AJ523">
        <v>0</v>
      </c>
      <c r="AK523">
        <v>9</v>
      </c>
      <c r="AL523" t="s">
        <v>1474</v>
      </c>
      <c r="AM523" t="s">
        <v>1475</v>
      </c>
      <c r="AN523" t="s">
        <v>2106</v>
      </c>
      <c r="AO523" t="s">
        <v>10339</v>
      </c>
      <c r="AP523" t="s">
        <v>10340</v>
      </c>
      <c r="AQ523" t="s">
        <v>74</v>
      </c>
      <c r="AR523" t="s">
        <v>10341</v>
      </c>
      <c r="AS523" t="s">
        <v>10342</v>
      </c>
      <c r="AT523" t="s">
        <v>9714</v>
      </c>
      <c r="AU523">
        <v>2015</v>
      </c>
      <c r="AV523">
        <v>26</v>
      </c>
      <c r="AW523">
        <v>4</v>
      </c>
      <c r="AX523" t="s">
        <v>74</v>
      </c>
      <c r="AY523" t="s">
        <v>74</v>
      </c>
      <c r="AZ523" t="s">
        <v>74</v>
      </c>
      <c r="BA523" t="s">
        <v>74</v>
      </c>
      <c r="BB523">
        <v>642</v>
      </c>
      <c r="BC523">
        <v>643</v>
      </c>
      <c r="BD523" t="s">
        <v>74</v>
      </c>
      <c r="BE523" t="s">
        <v>10343</v>
      </c>
      <c r="BF523" t="str">
        <f>HYPERLINK("http://dx.doi.org/10.3109/19401736.2013.836515","http://dx.doi.org/10.3109/19401736.2013.836515")</f>
        <v>http://dx.doi.org/10.3109/19401736.2013.836515</v>
      </c>
      <c r="BG523" t="s">
        <v>74</v>
      </c>
      <c r="BH523" t="s">
        <v>74</v>
      </c>
      <c r="BI523">
        <v>2</v>
      </c>
      <c r="BJ523" t="s">
        <v>10344</v>
      </c>
      <c r="BK523" t="s">
        <v>101</v>
      </c>
      <c r="BL523" t="s">
        <v>10344</v>
      </c>
      <c r="BM523" t="s">
        <v>10345</v>
      </c>
      <c r="BN523">
        <v>24083971</v>
      </c>
      <c r="BO523" t="s">
        <v>74</v>
      </c>
      <c r="BP523" t="s">
        <v>74</v>
      </c>
      <c r="BQ523" t="s">
        <v>74</v>
      </c>
      <c r="BR523" t="s">
        <v>103</v>
      </c>
      <c r="BS523" t="s">
        <v>10346</v>
      </c>
      <c r="BT523" t="str">
        <f>HYPERLINK("https%3A%2F%2Fwww.webofscience.com%2Fwos%2Fwoscc%2Ffull-record%2FWOS:000360098200030","View Full Record in Web of Science")</f>
        <v>View Full Record in Web of Science</v>
      </c>
    </row>
    <row r="524" spans="1:72" x14ac:dyDescent="0.15">
      <c r="A524" t="s">
        <v>72</v>
      </c>
      <c r="B524" t="s">
        <v>10347</v>
      </c>
      <c r="C524" t="s">
        <v>74</v>
      </c>
      <c r="D524" t="s">
        <v>74</v>
      </c>
      <c r="E524" t="s">
        <v>74</v>
      </c>
      <c r="F524" t="s">
        <v>10348</v>
      </c>
      <c r="G524" t="s">
        <v>74</v>
      </c>
      <c r="H524" t="s">
        <v>74</v>
      </c>
      <c r="I524" t="s">
        <v>10349</v>
      </c>
      <c r="J524" t="s">
        <v>10350</v>
      </c>
      <c r="K524" t="s">
        <v>74</v>
      </c>
      <c r="L524" t="s">
        <v>74</v>
      </c>
      <c r="M524" t="s">
        <v>78</v>
      </c>
      <c r="N524" t="s">
        <v>79</v>
      </c>
      <c r="O524" t="s">
        <v>74</v>
      </c>
      <c r="P524" t="s">
        <v>74</v>
      </c>
      <c r="Q524" t="s">
        <v>74</v>
      </c>
      <c r="R524" t="s">
        <v>74</v>
      </c>
      <c r="S524" t="s">
        <v>74</v>
      </c>
      <c r="T524" t="s">
        <v>10351</v>
      </c>
      <c r="U524" t="s">
        <v>10352</v>
      </c>
      <c r="V524" t="s">
        <v>10353</v>
      </c>
      <c r="W524" t="s">
        <v>10354</v>
      </c>
      <c r="X524" t="s">
        <v>10355</v>
      </c>
      <c r="Y524" t="s">
        <v>10356</v>
      </c>
      <c r="Z524" t="s">
        <v>10357</v>
      </c>
      <c r="AA524" t="s">
        <v>10358</v>
      </c>
      <c r="AB524" t="s">
        <v>10359</v>
      </c>
      <c r="AC524" t="s">
        <v>10360</v>
      </c>
      <c r="AD524" t="s">
        <v>10361</v>
      </c>
      <c r="AE524" t="s">
        <v>10362</v>
      </c>
      <c r="AF524" t="s">
        <v>74</v>
      </c>
      <c r="AG524">
        <v>62</v>
      </c>
      <c r="AH524">
        <v>12</v>
      </c>
      <c r="AI524">
        <v>14</v>
      </c>
      <c r="AJ524">
        <v>0</v>
      </c>
      <c r="AK524">
        <v>30</v>
      </c>
      <c r="AL524" t="s">
        <v>92</v>
      </c>
      <c r="AM524" t="s">
        <v>550</v>
      </c>
      <c r="AN524" t="s">
        <v>4772</v>
      </c>
      <c r="AO524" t="s">
        <v>10363</v>
      </c>
      <c r="AP524" t="s">
        <v>10364</v>
      </c>
      <c r="AQ524" t="s">
        <v>74</v>
      </c>
      <c r="AR524" t="s">
        <v>10365</v>
      </c>
      <c r="AS524" t="s">
        <v>10366</v>
      </c>
      <c r="AT524" t="s">
        <v>9714</v>
      </c>
      <c r="AU524">
        <v>2015</v>
      </c>
      <c r="AV524">
        <v>33</v>
      </c>
      <c r="AW524">
        <v>4</v>
      </c>
      <c r="AX524" t="s">
        <v>74</v>
      </c>
      <c r="AY524" t="s">
        <v>74</v>
      </c>
      <c r="AZ524" t="s">
        <v>74</v>
      </c>
      <c r="BA524" t="s">
        <v>74</v>
      </c>
      <c r="BB524">
        <v>1156</v>
      </c>
      <c r="BC524">
        <v>1170</v>
      </c>
      <c r="BD524" t="s">
        <v>74</v>
      </c>
      <c r="BE524" t="s">
        <v>10367</v>
      </c>
      <c r="BF524" t="str">
        <f>HYPERLINK("http://dx.doi.org/10.1007/s11105-014-0823-0","http://dx.doi.org/10.1007/s11105-014-0823-0")</f>
        <v>http://dx.doi.org/10.1007/s11105-014-0823-0</v>
      </c>
      <c r="BG524" t="s">
        <v>74</v>
      </c>
      <c r="BH524" t="s">
        <v>74</v>
      </c>
      <c r="BI524">
        <v>15</v>
      </c>
      <c r="BJ524" t="s">
        <v>10368</v>
      </c>
      <c r="BK524" t="s">
        <v>101</v>
      </c>
      <c r="BL524" t="s">
        <v>10369</v>
      </c>
      <c r="BM524" t="s">
        <v>10370</v>
      </c>
      <c r="BN524" t="s">
        <v>74</v>
      </c>
      <c r="BO524" t="s">
        <v>74</v>
      </c>
      <c r="BP524" t="s">
        <v>74</v>
      </c>
      <c r="BQ524" t="s">
        <v>74</v>
      </c>
      <c r="BR524" t="s">
        <v>103</v>
      </c>
      <c r="BS524" t="s">
        <v>10371</v>
      </c>
      <c r="BT524" t="str">
        <f>HYPERLINK("https%3A%2F%2Fwww.webofscience.com%2Fwos%2Fwoscc%2Ffull-record%2FWOS:000360392400034","View Full Record in Web of Science")</f>
        <v>View Full Record in Web of Science</v>
      </c>
    </row>
    <row r="525" spans="1:72" x14ac:dyDescent="0.15">
      <c r="A525" t="s">
        <v>72</v>
      </c>
      <c r="B525" t="s">
        <v>10372</v>
      </c>
      <c r="C525" t="s">
        <v>74</v>
      </c>
      <c r="D525" t="s">
        <v>74</v>
      </c>
      <c r="E525" t="s">
        <v>74</v>
      </c>
      <c r="F525" t="s">
        <v>10373</v>
      </c>
      <c r="G525" t="s">
        <v>74</v>
      </c>
      <c r="H525" t="s">
        <v>74</v>
      </c>
      <c r="I525" t="s">
        <v>10374</v>
      </c>
      <c r="J525" t="s">
        <v>10375</v>
      </c>
      <c r="K525" t="s">
        <v>74</v>
      </c>
      <c r="L525" t="s">
        <v>74</v>
      </c>
      <c r="M525" t="s">
        <v>78</v>
      </c>
      <c r="N525" t="s">
        <v>79</v>
      </c>
      <c r="O525" t="s">
        <v>74</v>
      </c>
      <c r="P525" t="s">
        <v>74</v>
      </c>
      <c r="Q525" t="s">
        <v>74</v>
      </c>
      <c r="R525" t="s">
        <v>74</v>
      </c>
      <c r="S525" t="s">
        <v>74</v>
      </c>
      <c r="T525" t="s">
        <v>74</v>
      </c>
      <c r="U525" t="s">
        <v>10376</v>
      </c>
      <c r="V525" t="s">
        <v>10377</v>
      </c>
      <c r="W525" t="s">
        <v>10378</v>
      </c>
      <c r="X525" t="s">
        <v>10379</v>
      </c>
      <c r="Y525" t="s">
        <v>10380</v>
      </c>
      <c r="Z525" t="s">
        <v>10381</v>
      </c>
      <c r="AA525" t="s">
        <v>10382</v>
      </c>
      <c r="AB525" t="s">
        <v>10383</v>
      </c>
      <c r="AC525" t="s">
        <v>10384</v>
      </c>
      <c r="AD525" t="s">
        <v>10385</v>
      </c>
      <c r="AE525" t="s">
        <v>10386</v>
      </c>
      <c r="AF525" t="s">
        <v>74</v>
      </c>
      <c r="AG525">
        <v>66</v>
      </c>
      <c r="AH525">
        <v>22</v>
      </c>
      <c r="AI525">
        <v>22</v>
      </c>
      <c r="AJ525">
        <v>0</v>
      </c>
      <c r="AK525">
        <v>22</v>
      </c>
      <c r="AL525" t="s">
        <v>1474</v>
      </c>
      <c r="AM525" t="s">
        <v>1475</v>
      </c>
      <c r="AN525" t="s">
        <v>1476</v>
      </c>
      <c r="AO525" t="s">
        <v>10387</v>
      </c>
      <c r="AP525" t="s">
        <v>10388</v>
      </c>
      <c r="AQ525" t="s">
        <v>74</v>
      </c>
      <c r="AR525" t="s">
        <v>10389</v>
      </c>
      <c r="AS525" t="s">
        <v>10390</v>
      </c>
      <c r="AT525" t="s">
        <v>9714</v>
      </c>
      <c r="AU525">
        <v>2015</v>
      </c>
      <c r="AV525">
        <v>47</v>
      </c>
      <c r="AW525">
        <v>3</v>
      </c>
      <c r="AX525" t="s">
        <v>74</v>
      </c>
      <c r="AY525" t="s">
        <v>74</v>
      </c>
      <c r="AZ525" t="s">
        <v>74</v>
      </c>
      <c r="BA525" t="s">
        <v>74</v>
      </c>
      <c r="BB525">
        <v>449</v>
      </c>
      <c r="BC525">
        <v>460</v>
      </c>
      <c r="BD525" t="s">
        <v>74</v>
      </c>
      <c r="BE525" t="s">
        <v>10391</v>
      </c>
      <c r="BF525" t="str">
        <f>HYPERLINK("http://dx.doi.org/10.1657/AAAR0014-063","http://dx.doi.org/10.1657/AAAR0014-063")</f>
        <v>http://dx.doi.org/10.1657/AAAR0014-063</v>
      </c>
      <c r="BG525" t="s">
        <v>74</v>
      </c>
      <c r="BH525" t="s">
        <v>74</v>
      </c>
      <c r="BI525">
        <v>12</v>
      </c>
      <c r="BJ525" t="s">
        <v>10392</v>
      </c>
      <c r="BK525" t="s">
        <v>101</v>
      </c>
      <c r="BL525" t="s">
        <v>7651</v>
      </c>
      <c r="BM525" t="s">
        <v>10393</v>
      </c>
      <c r="BN525" t="s">
        <v>74</v>
      </c>
      <c r="BO525" t="s">
        <v>4189</v>
      </c>
      <c r="BP525" t="s">
        <v>74</v>
      </c>
      <c r="BQ525" t="s">
        <v>74</v>
      </c>
      <c r="BR525" t="s">
        <v>103</v>
      </c>
      <c r="BS525" t="s">
        <v>10394</v>
      </c>
      <c r="BT525" t="str">
        <f>HYPERLINK("https%3A%2F%2Fwww.webofscience.com%2Fwos%2Fwoscc%2Ffull-record%2FWOS:000359679000003","View Full Record in Web of Science")</f>
        <v>View Full Record in Web of Science</v>
      </c>
    </row>
    <row r="526" spans="1:72" x14ac:dyDescent="0.15">
      <c r="A526" t="s">
        <v>72</v>
      </c>
      <c r="B526" t="s">
        <v>10395</v>
      </c>
      <c r="C526" t="s">
        <v>74</v>
      </c>
      <c r="D526" t="s">
        <v>74</v>
      </c>
      <c r="E526" t="s">
        <v>74</v>
      </c>
      <c r="F526" t="s">
        <v>10396</v>
      </c>
      <c r="G526" t="s">
        <v>74</v>
      </c>
      <c r="H526" t="s">
        <v>74</v>
      </c>
      <c r="I526" t="s">
        <v>10397</v>
      </c>
      <c r="J526" t="s">
        <v>10375</v>
      </c>
      <c r="K526" t="s">
        <v>74</v>
      </c>
      <c r="L526" t="s">
        <v>74</v>
      </c>
      <c r="M526" t="s">
        <v>78</v>
      </c>
      <c r="N526" t="s">
        <v>79</v>
      </c>
      <c r="O526" t="s">
        <v>74</v>
      </c>
      <c r="P526" t="s">
        <v>74</v>
      </c>
      <c r="Q526" t="s">
        <v>74</v>
      </c>
      <c r="R526" t="s">
        <v>74</v>
      </c>
      <c r="S526" t="s">
        <v>74</v>
      </c>
      <c r="T526" t="s">
        <v>74</v>
      </c>
      <c r="U526" t="s">
        <v>10398</v>
      </c>
      <c r="V526" t="s">
        <v>10399</v>
      </c>
      <c r="W526" t="s">
        <v>10400</v>
      </c>
      <c r="X526" t="s">
        <v>10401</v>
      </c>
      <c r="Y526" t="s">
        <v>10402</v>
      </c>
      <c r="Z526" t="s">
        <v>10403</v>
      </c>
      <c r="AA526" t="s">
        <v>10404</v>
      </c>
      <c r="AB526" t="s">
        <v>10405</v>
      </c>
      <c r="AC526" t="s">
        <v>10406</v>
      </c>
      <c r="AD526" t="s">
        <v>10406</v>
      </c>
      <c r="AE526" t="s">
        <v>10407</v>
      </c>
      <c r="AF526" t="s">
        <v>74</v>
      </c>
      <c r="AG526">
        <v>70</v>
      </c>
      <c r="AH526">
        <v>13</v>
      </c>
      <c r="AI526">
        <v>13</v>
      </c>
      <c r="AJ526">
        <v>0</v>
      </c>
      <c r="AK526">
        <v>20</v>
      </c>
      <c r="AL526" t="s">
        <v>1474</v>
      </c>
      <c r="AM526" t="s">
        <v>1475</v>
      </c>
      <c r="AN526" t="s">
        <v>1476</v>
      </c>
      <c r="AO526" t="s">
        <v>10387</v>
      </c>
      <c r="AP526" t="s">
        <v>10388</v>
      </c>
      <c r="AQ526" t="s">
        <v>74</v>
      </c>
      <c r="AR526" t="s">
        <v>10389</v>
      </c>
      <c r="AS526" t="s">
        <v>10390</v>
      </c>
      <c r="AT526" t="s">
        <v>9714</v>
      </c>
      <c r="AU526">
        <v>2015</v>
      </c>
      <c r="AV526">
        <v>47</v>
      </c>
      <c r="AW526">
        <v>3</v>
      </c>
      <c r="AX526" t="s">
        <v>74</v>
      </c>
      <c r="AY526" t="s">
        <v>74</v>
      </c>
      <c r="AZ526" t="s">
        <v>74</v>
      </c>
      <c r="BA526" t="s">
        <v>74</v>
      </c>
      <c r="BB526">
        <v>473</v>
      </c>
      <c r="BC526">
        <v>479</v>
      </c>
      <c r="BD526" t="s">
        <v>74</v>
      </c>
      <c r="BE526" t="s">
        <v>10408</v>
      </c>
      <c r="BF526" t="str">
        <f>HYPERLINK("http://dx.doi.org/10.1657/AAAR0013-111","http://dx.doi.org/10.1657/AAAR0013-111")</f>
        <v>http://dx.doi.org/10.1657/AAAR0013-111</v>
      </c>
      <c r="BG526" t="s">
        <v>74</v>
      </c>
      <c r="BH526" t="s">
        <v>74</v>
      </c>
      <c r="BI526">
        <v>7</v>
      </c>
      <c r="BJ526" t="s">
        <v>10392</v>
      </c>
      <c r="BK526" t="s">
        <v>101</v>
      </c>
      <c r="BL526" t="s">
        <v>7651</v>
      </c>
      <c r="BM526" t="s">
        <v>10393</v>
      </c>
      <c r="BN526" t="s">
        <v>74</v>
      </c>
      <c r="BO526" t="s">
        <v>4189</v>
      </c>
      <c r="BP526" t="s">
        <v>74</v>
      </c>
      <c r="BQ526" t="s">
        <v>74</v>
      </c>
      <c r="BR526" t="s">
        <v>103</v>
      </c>
      <c r="BS526" t="s">
        <v>10409</v>
      </c>
      <c r="BT526" t="str">
        <f>HYPERLINK("https%3A%2F%2Fwww.webofscience.com%2Fwos%2Fwoscc%2Ffull-record%2FWOS:000359679000005","View Full Record in Web of Science")</f>
        <v>View Full Record in Web of Science</v>
      </c>
    </row>
    <row r="527" spans="1:72" x14ac:dyDescent="0.15">
      <c r="A527" t="s">
        <v>72</v>
      </c>
      <c r="B527" t="s">
        <v>10410</v>
      </c>
      <c r="C527" t="s">
        <v>74</v>
      </c>
      <c r="D527" t="s">
        <v>74</v>
      </c>
      <c r="E527" t="s">
        <v>74</v>
      </c>
      <c r="F527" t="s">
        <v>10411</v>
      </c>
      <c r="G527" t="s">
        <v>74</v>
      </c>
      <c r="H527" t="s">
        <v>74</v>
      </c>
      <c r="I527" t="s">
        <v>10412</v>
      </c>
      <c r="J527" t="s">
        <v>10375</v>
      </c>
      <c r="K527" t="s">
        <v>74</v>
      </c>
      <c r="L527" t="s">
        <v>74</v>
      </c>
      <c r="M527" t="s">
        <v>78</v>
      </c>
      <c r="N527" t="s">
        <v>79</v>
      </c>
      <c r="O527" t="s">
        <v>74</v>
      </c>
      <c r="P527" t="s">
        <v>74</v>
      </c>
      <c r="Q527" t="s">
        <v>74</v>
      </c>
      <c r="R527" t="s">
        <v>74</v>
      </c>
      <c r="S527" t="s">
        <v>74</v>
      </c>
      <c r="T527" t="s">
        <v>74</v>
      </c>
      <c r="U527" t="s">
        <v>10413</v>
      </c>
      <c r="V527" t="s">
        <v>10414</v>
      </c>
      <c r="W527" t="s">
        <v>10415</v>
      </c>
      <c r="X527" t="s">
        <v>74</v>
      </c>
      <c r="Y527" t="s">
        <v>10416</v>
      </c>
      <c r="Z527" t="s">
        <v>10417</v>
      </c>
      <c r="AA527" t="s">
        <v>74</v>
      </c>
      <c r="AB527" t="s">
        <v>10418</v>
      </c>
      <c r="AC527" t="s">
        <v>10419</v>
      </c>
      <c r="AD527" t="s">
        <v>10419</v>
      </c>
      <c r="AE527" t="s">
        <v>10420</v>
      </c>
      <c r="AF527" t="s">
        <v>74</v>
      </c>
      <c r="AG527">
        <v>38</v>
      </c>
      <c r="AH527">
        <v>3</v>
      </c>
      <c r="AI527">
        <v>3</v>
      </c>
      <c r="AJ527">
        <v>0</v>
      </c>
      <c r="AK527">
        <v>12</v>
      </c>
      <c r="AL527" t="s">
        <v>1474</v>
      </c>
      <c r="AM527" t="s">
        <v>1475</v>
      </c>
      <c r="AN527" t="s">
        <v>1476</v>
      </c>
      <c r="AO527" t="s">
        <v>10387</v>
      </c>
      <c r="AP527" t="s">
        <v>10388</v>
      </c>
      <c r="AQ527" t="s">
        <v>74</v>
      </c>
      <c r="AR527" t="s">
        <v>10389</v>
      </c>
      <c r="AS527" t="s">
        <v>10390</v>
      </c>
      <c r="AT527" t="s">
        <v>9714</v>
      </c>
      <c r="AU527">
        <v>2015</v>
      </c>
      <c r="AV527">
        <v>47</v>
      </c>
      <c r="AW527">
        <v>3</v>
      </c>
      <c r="AX527" t="s">
        <v>74</v>
      </c>
      <c r="AY527" t="s">
        <v>74</v>
      </c>
      <c r="AZ527" t="s">
        <v>74</v>
      </c>
      <c r="BA527" t="s">
        <v>74</v>
      </c>
      <c r="BB527">
        <v>481</v>
      </c>
      <c r="BC527">
        <v>494</v>
      </c>
      <c r="BD527" t="s">
        <v>74</v>
      </c>
      <c r="BE527" t="s">
        <v>10421</v>
      </c>
      <c r="BF527" t="str">
        <f>HYPERLINK("http://dx.doi.org/10.1657/AAAR0014-052","http://dx.doi.org/10.1657/AAAR0014-052")</f>
        <v>http://dx.doi.org/10.1657/AAAR0014-052</v>
      </c>
      <c r="BG527" t="s">
        <v>74</v>
      </c>
      <c r="BH527" t="s">
        <v>74</v>
      </c>
      <c r="BI527">
        <v>14</v>
      </c>
      <c r="BJ527" t="s">
        <v>10392</v>
      </c>
      <c r="BK527" t="s">
        <v>101</v>
      </c>
      <c r="BL527" t="s">
        <v>7651</v>
      </c>
      <c r="BM527" t="s">
        <v>10393</v>
      </c>
      <c r="BN527" t="s">
        <v>74</v>
      </c>
      <c r="BO527" t="s">
        <v>4189</v>
      </c>
      <c r="BP527" t="s">
        <v>74</v>
      </c>
      <c r="BQ527" t="s">
        <v>74</v>
      </c>
      <c r="BR527" t="s">
        <v>103</v>
      </c>
      <c r="BS527" t="s">
        <v>10422</v>
      </c>
      <c r="BT527" t="str">
        <f>HYPERLINK("https%3A%2F%2Fwww.webofscience.com%2Fwos%2Fwoscc%2Ffull-record%2FWOS:000359679000006","View Full Record in Web of Science")</f>
        <v>View Full Record in Web of Science</v>
      </c>
    </row>
    <row r="528" spans="1:72" x14ac:dyDescent="0.15">
      <c r="A528" t="s">
        <v>72</v>
      </c>
      <c r="B528" t="s">
        <v>10423</v>
      </c>
      <c r="C528" t="s">
        <v>74</v>
      </c>
      <c r="D528" t="s">
        <v>74</v>
      </c>
      <c r="E528" t="s">
        <v>74</v>
      </c>
      <c r="F528" t="s">
        <v>10424</v>
      </c>
      <c r="G528" t="s">
        <v>74</v>
      </c>
      <c r="H528" t="s">
        <v>74</v>
      </c>
      <c r="I528" t="s">
        <v>10425</v>
      </c>
      <c r="J528" t="s">
        <v>10375</v>
      </c>
      <c r="K528" t="s">
        <v>74</v>
      </c>
      <c r="L528" t="s">
        <v>74</v>
      </c>
      <c r="M528" t="s">
        <v>78</v>
      </c>
      <c r="N528" t="s">
        <v>79</v>
      </c>
      <c r="O528" t="s">
        <v>74</v>
      </c>
      <c r="P528" t="s">
        <v>74</v>
      </c>
      <c r="Q528" t="s">
        <v>74</v>
      </c>
      <c r="R528" t="s">
        <v>74</v>
      </c>
      <c r="S528" t="s">
        <v>74</v>
      </c>
      <c r="T528" t="s">
        <v>74</v>
      </c>
      <c r="U528" t="s">
        <v>10426</v>
      </c>
      <c r="V528" t="s">
        <v>10427</v>
      </c>
      <c r="W528" t="s">
        <v>10428</v>
      </c>
      <c r="X528" t="s">
        <v>10429</v>
      </c>
      <c r="Y528" t="s">
        <v>10430</v>
      </c>
      <c r="Z528" t="s">
        <v>10431</v>
      </c>
      <c r="AA528" t="s">
        <v>10432</v>
      </c>
      <c r="AB528" t="s">
        <v>10433</v>
      </c>
      <c r="AC528" t="s">
        <v>10434</v>
      </c>
      <c r="AD528" t="s">
        <v>10435</v>
      </c>
      <c r="AE528" t="s">
        <v>10436</v>
      </c>
      <c r="AF528" t="s">
        <v>74</v>
      </c>
      <c r="AG528">
        <v>60</v>
      </c>
      <c r="AH528">
        <v>23</v>
      </c>
      <c r="AI528">
        <v>27</v>
      </c>
      <c r="AJ528">
        <v>6</v>
      </c>
      <c r="AK528">
        <v>100</v>
      </c>
      <c r="AL528" t="s">
        <v>1474</v>
      </c>
      <c r="AM528" t="s">
        <v>1475</v>
      </c>
      <c r="AN528" t="s">
        <v>1476</v>
      </c>
      <c r="AO528" t="s">
        <v>10387</v>
      </c>
      <c r="AP528" t="s">
        <v>10388</v>
      </c>
      <c r="AQ528" t="s">
        <v>74</v>
      </c>
      <c r="AR528" t="s">
        <v>10389</v>
      </c>
      <c r="AS528" t="s">
        <v>10390</v>
      </c>
      <c r="AT528" t="s">
        <v>9714</v>
      </c>
      <c r="AU528">
        <v>2015</v>
      </c>
      <c r="AV528">
        <v>47</v>
      </c>
      <c r="AW528">
        <v>3</v>
      </c>
      <c r="AX528" t="s">
        <v>74</v>
      </c>
      <c r="AY528" t="s">
        <v>74</v>
      </c>
      <c r="AZ528" t="s">
        <v>74</v>
      </c>
      <c r="BA528" t="s">
        <v>74</v>
      </c>
      <c r="BB528">
        <v>511</v>
      </c>
      <c r="BC528">
        <v>518</v>
      </c>
      <c r="BD528" t="s">
        <v>74</v>
      </c>
      <c r="BE528" t="s">
        <v>10437</v>
      </c>
      <c r="BF528" t="str">
        <f>HYPERLINK("http://dx.doi.org/10.1657/AAAR0014-054","http://dx.doi.org/10.1657/AAAR0014-054")</f>
        <v>http://dx.doi.org/10.1657/AAAR0014-054</v>
      </c>
      <c r="BG528" t="s">
        <v>74</v>
      </c>
      <c r="BH528" t="s">
        <v>74</v>
      </c>
      <c r="BI528">
        <v>8</v>
      </c>
      <c r="BJ528" t="s">
        <v>10392</v>
      </c>
      <c r="BK528" t="s">
        <v>101</v>
      </c>
      <c r="BL528" t="s">
        <v>7651</v>
      </c>
      <c r="BM528" t="s">
        <v>10393</v>
      </c>
      <c r="BN528" t="s">
        <v>74</v>
      </c>
      <c r="BO528" t="s">
        <v>908</v>
      </c>
      <c r="BP528" t="s">
        <v>74</v>
      </c>
      <c r="BQ528" t="s">
        <v>74</v>
      </c>
      <c r="BR528" t="s">
        <v>103</v>
      </c>
      <c r="BS528" t="s">
        <v>10438</v>
      </c>
      <c r="BT528" t="str">
        <f>HYPERLINK("https%3A%2F%2Fwww.webofscience.com%2Fwos%2Fwoscc%2Ffull-record%2FWOS:000359679000009","View Full Record in Web of Science")</f>
        <v>View Full Record in Web of Science</v>
      </c>
    </row>
    <row r="529" spans="1:72" x14ac:dyDescent="0.15">
      <c r="A529" t="s">
        <v>72</v>
      </c>
      <c r="B529" t="s">
        <v>10439</v>
      </c>
      <c r="C529" t="s">
        <v>74</v>
      </c>
      <c r="D529" t="s">
        <v>74</v>
      </c>
      <c r="E529" t="s">
        <v>74</v>
      </c>
      <c r="F529" t="s">
        <v>10440</v>
      </c>
      <c r="G529" t="s">
        <v>74</v>
      </c>
      <c r="H529" t="s">
        <v>74</v>
      </c>
      <c r="I529" t="s">
        <v>10441</v>
      </c>
      <c r="J529" t="s">
        <v>10375</v>
      </c>
      <c r="K529" t="s">
        <v>74</v>
      </c>
      <c r="L529" t="s">
        <v>74</v>
      </c>
      <c r="M529" t="s">
        <v>78</v>
      </c>
      <c r="N529" t="s">
        <v>79</v>
      </c>
      <c r="O529" t="s">
        <v>74</v>
      </c>
      <c r="P529" t="s">
        <v>74</v>
      </c>
      <c r="Q529" t="s">
        <v>74</v>
      </c>
      <c r="R529" t="s">
        <v>74</v>
      </c>
      <c r="S529" t="s">
        <v>74</v>
      </c>
      <c r="T529" t="s">
        <v>74</v>
      </c>
      <c r="U529" t="s">
        <v>10442</v>
      </c>
      <c r="V529" t="s">
        <v>10443</v>
      </c>
      <c r="W529" t="s">
        <v>10444</v>
      </c>
      <c r="X529" t="s">
        <v>10445</v>
      </c>
      <c r="Y529" t="s">
        <v>10446</v>
      </c>
      <c r="Z529" t="s">
        <v>10447</v>
      </c>
      <c r="AA529" t="s">
        <v>10448</v>
      </c>
      <c r="AB529" t="s">
        <v>10449</v>
      </c>
      <c r="AC529" t="s">
        <v>10450</v>
      </c>
      <c r="AD529" t="s">
        <v>10451</v>
      </c>
      <c r="AE529" t="s">
        <v>10452</v>
      </c>
      <c r="AF529" t="s">
        <v>74</v>
      </c>
      <c r="AG529">
        <v>47</v>
      </c>
      <c r="AH529">
        <v>7</v>
      </c>
      <c r="AI529">
        <v>8</v>
      </c>
      <c r="AJ529">
        <v>2</v>
      </c>
      <c r="AK529">
        <v>107</v>
      </c>
      <c r="AL529" t="s">
        <v>10453</v>
      </c>
      <c r="AM529" t="s">
        <v>3419</v>
      </c>
      <c r="AN529" t="s">
        <v>10454</v>
      </c>
      <c r="AO529" t="s">
        <v>10387</v>
      </c>
      <c r="AP529" t="s">
        <v>10388</v>
      </c>
      <c r="AQ529" t="s">
        <v>74</v>
      </c>
      <c r="AR529" t="s">
        <v>10389</v>
      </c>
      <c r="AS529" t="s">
        <v>10390</v>
      </c>
      <c r="AT529" t="s">
        <v>9714</v>
      </c>
      <c r="AU529">
        <v>2015</v>
      </c>
      <c r="AV529">
        <v>47</v>
      </c>
      <c r="AW529">
        <v>3</v>
      </c>
      <c r="AX529" t="s">
        <v>74</v>
      </c>
      <c r="AY529" t="s">
        <v>74</v>
      </c>
      <c r="AZ529" t="s">
        <v>74</v>
      </c>
      <c r="BA529" t="s">
        <v>74</v>
      </c>
      <c r="BB529">
        <v>519</v>
      </c>
      <c r="BC529">
        <v>527</v>
      </c>
      <c r="BD529" t="s">
        <v>74</v>
      </c>
      <c r="BE529" t="s">
        <v>10455</v>
      </c>
      <c r="BF529" t="str">
        <f>HYPERLINK("http://dx.doi.org/10.1657/AAAR0014-057","http://dx.doi.org/10.1657/AAAR0014-057")</f>
        <v>http://dx.doi.org/10.1657/AAAR0014-057</v>
      </c>
      <c r="BG529" t="s">
        <v>74</v>
      </c>
      <c r="BH529" t="s">
        <v>74</v>
      </c>
      <c r="BI529">
        <v>9</v>
      </c>
      <c r="BJ529" t="s">
        <v>10392</v>
      </c>
      <c r="BK529" t="s">
        <v>101</v>
      </c>
      <c r="BL529" t="s">
        <v>7651</v>
      </c>
      <c r="BM529" t="s">
        <v>10393</v>
      </c>
      <c r="BN529" t="s">
        <v>74</v>
      </c>
      <c r="BO529" t="s">
        <v>74</v>
      </c>
      <c r="BP529" t="s">
        <v>74</v>
      </c>
      <c r="BQ529" t="s">
        <v>74</v>
      </c>
      <c r="BR529" t="s">
        <v>103</v>
      </c>
      <c r="BS529" t="s">
        <v>10456</v>
      </c>
      <c r="BT529" t="str">
        <f>HYPERLINK("https%3A%2F%2Fwww.webofscience.com%2Fwos%2Fwoscc%2Ffull-record%2FWOS:000359679000010","View Full Record in Web of Science")</f>
        <v>View Full Record in Web of Science</v>
      </c>
    </row>
    <row r="530" spans="1:72" x14ac:dyDescent="0.15">
      <c r="A530" t="s">
        <v>72</v>
      </c>
      <c r="B530" t="s">
        <v>10457</v>
      </c>
      <c r="C530" t="s">
        <v>74</v>
      </c>
      <c r="D530" t="s">
        <v>74</v>
      </c>
      <c r="E530" t="s">
        <v>74</v>
      </c>
      <c r="F530" t="s">
        <v>10458</v>
      </c>
      <c r="G530" t="s">
        <v>74</v>
      </c>
      <c r="H530" t="s">
        <v>74</v>
      </c>
      <c r="I530" t="s">
        <v>10459</v>
      </c>
      <c r="J530" t="s">
        <v>10375</v>
      </c>
      <c r="K530" t="s">
        <v>74</v>
      </c>
      <c r="L530" t="s">
        <v>74</v>
      </c>
      <c r="M530" t="s">
        <v>78</v>
      </c>
      <c r="N530" t="s">
        <v>79</v>
      </c>
      <c r="O530" t="s">
        <v>74</v>
      </c>
      <c r="P530" t="s">
        <v>74</v>
      </c>
      <c r="Q530" t="s">
        <v>74</v>
      </c>
      <c r="R530" t="s">
        <v>74</v>
      </c>
      <c r="S530" t="s">
        <v>74</v>
      </c>
      <c r="T530" t="s">
        <v>74</v>
      </c>
      <c r="U530" t="s">
        <v>10460</v>
      </c>
      <c r="V530" t="s">
        <v>10461</v>
      </c>
      <c r="W530" t="s">
        <v>10462</v>
      </c>
      <c r="X530" t="s">
        <v>10463</v>
      </c>
      <c r="Y530" t="s">
        <v>10464</v>
      </c>
      <c r="Z530" t="s">
        <v>10465</v>
      </c>
      <c r="AA530" t="s">
        <v>10466</v>
      </c>
      <c r="AB530" t="s">
        <v>10467</v>
      </c>
      <c r="AC530" t="s">
        <v>10468</v>
      </c>
      <c r="AD530" t="s">
        <v>10468</v>
      </c>
      <c r="AE530" t="s">
        <v>10469</v>
      </c>
      <c r="AF530" t="s">
        <v>74</v>
      </c>
      <c r="AG530">
        <v>65</v>
      </c>
      <c r="AH530">
        <v>21</v>
      </c>
      <c r="AI530">
        <v>25</v>
      </c>
      <c r="AJ530">
        <v>3</v>
      </c>
      <c r="AK530">
        <v>55</v>
      </c>
      <c r="AL530" t="s">
        <v>10453</v>
      </c>
      <c r="AM530" t="s">
        <v>3419</v>
      </c>
      <c r="AN530" t="s">
        <v>10454</v>
      </c>
      <c r="AO530" t="s">
        <v>10387</v>
      </c>
      <c r="AP530" t="s">
        <v>10388</v>
      </c>
      <c r="AQ530" t="s">
        <v>74</v>
      </c>
      <c r="AR530" t="s">
        <v>10389</v>
      </c>
      <c r="AS530" t="s">
        <v>10390</v>
      </c>
      <c r="AT530" t="s">
        <v>9714</v>
      </c>
      <c r="AU530">
        <v>2015</v>
      </c>
      <c r="AV530">
        <v>47</v>
      </c>
      <c r="AW530">
        <v>3</v>
      </c>
      <c r="AX530" t="s">
        <v>74</v>
      </c>
      <c r="AY530" t="s">
        <v>74</v>
      </c>
      <c r="AZ530" t="s">
        <v>74</v>
      </c>
      <c r="BA530" t="s">
        <v>74</v>
      </c>
      <c r="BB530">
        <v>529</v>
      </c>
      <c r="BC530">
        <v>546</v>
      </c>
      <c r="BD530" t="s">
        <v>74</v>
      </c>
      <c r="BE530" t="s">
        <v>10470</v>
      </c>
      <c r="BF530" t="str">
        <f>HYPERLINK("http://dx.doi.org/10.1657/AAAR0014-044","http://dx.doi.org/10.1657/AAAR0014-044")</f>
        <v>http://dx.doi.org/10.1657/AAAR0014-044</v>
      </c>
      <c r="BG530" t="s">
        <v>74</v>
      </c>
      <c r="BH530" t="s">
        <v>74</v>
      </c>
      <c r="BI530">
        <v>18</v>
      </c>
      <c r="BJ530" t="s">
        <v>10392</v>
      </c>
      <c r="BK530" t="s">
        <v>101</v>
      </c>
      <c r="BL530" t="s">
        <v>7651</v>
      </c>
      <c r="BM530" t="s">
        <v>10393</v>
      </c>
      <c r="BN530" t="s">
        <v>74</v>
      </c>
      <c r="BO530" t="s">
        <v>1115</v>
      </c>
      <c r="BP530" t="s">
        <v>74</v>
      </c>
      <c r="BQ530" t="s">
        <v>74</v>
      </c>
      <c r="BR530" t="s">
        <v>103</v>
      </c>
      <c r="BS530" t="s">
        <v>10471</v>
      </c>
      <c r="BT530" t="str">
        <f>HYPERLINK("https%3A%2F%2Fwww.webofscience.com%2Fwos%2Fwoscc%2Ffull-record%2FWOS:000359679000011","View Full Record in Web of Science")</f>
        <v>View Full Record in Web of Science</v>
      </c>
    </row>
    <row r="531" spans="1:72" x14ac:dyDescent="0.15">
      <c r="A531" t="s">
        <v>72</v>
      </c>
      <c r="B531" t="s">
        <v>10472</v>
      </c>
      <c r="C531" t="s">
        <v>74</v>
      </c>
      <c r="D531" t="s">
        <v>74</v>
      </c>
      <c r="E531" t="s">
        <v>74</v>
      </c>
      <c r="F531" t="s">
        <v>10473</v>
      </c>
      <c r="G531" t="s">
        <v>74</v>
      </c>
      <c r="H531" t="s">
        <v>74</v>
      </c>
      <c r="I531" t="s">
        <v>10474</v>
      </c>
      <c r="J531" t="s">
        <v>10375</v>
      </c>
      <c r="K531" t="s">
        <v>74</v>
      </c>
      <c r="L531" t="s">
        <v>74</v>
      </c>
      <c r="M531" t="s">
        <v>78</v>
      </c>
      <c r="N531" t="s">
        <v>79</v>
      </c>
      <c r="O531" t="s">
        <v>74</v>
      </c>
      <c r="P531" t="s">
        <v>74</v>
      </c>
      <c r="Q531" t="s">
        <v>74</v>
      </c>
      <c r="R531" t="s">
        <v>74</v>
      </c>
      <c r="S531" t="s">
        <v>74</v>
      </c>
      <c r="T531" t="s">
        <v>74</v>
      </c>
      <c r="U531" t="s">
        <v>10475</v>
      </c>
      <c r="V531" t="s">
        <v>10476</v>
      </c>
      <c r="W531" t="s">
        <v>10477</v>
      </c>
      <c r="X531" t="s">
        <v>10478</v>
      </c>
      <c r="Y531" t="s">
        <v>10479</v>
      </c>
      <c r="Z531" t="s">
        <v>10480</v>
      </c>
      <c r="AA531" t="s">
        <v>10481</v>
      </c>
      <c r="AB531" t="s">
        <v>10482</v>
      </c>
      <c r="AC531" t="s">
        <v>10483</v>
      </c>
      <c r="AD531" t="s">
        <v>10483</v>
      </c>
      <c r="AE531" t="s">
        <v>10484</v>
      </c>
      <c r="AF531" t="s">
        <v>74</v>
      </c>
      <c r="AG531">
        <v>50</v>
      </c>
      <c r="AH531">
        <v>37</v>
      </c>
      <c r="AI531">
        <v>39</v>
      </c>
      <c r="AJ531">
        <v>1</v>
      </c>
      <c r="AK531">
        <v>58</v>
      </c>
      <c r="AL531" t="s">
        <v>1474</v>
      </c>
      <c r="AM531" t="s">
        <v>1475</v>
      </c>
      <c r="AN531" t="s">
        <v>1476</v>
      </c>
      <c r="AO531" t="s">
        <v>10387</v>
      </c>
      <c r="AP531" t="s">
        <v>10388</v>
      </c>
      <c r="AQ531" t="s">
        <v>74</v>
      </c>
      <c r="AR531" t="s">
        <v>10389</v>
      </c>
      <c r="AS531" t="s">
        <v>10390</v>
      </c>
      <c r="AT531" t="s">
        <v>9714</v>
      </c>
      <c r="AU531">
        <v>2015</v>
      </c>
      <c r="AV531">
        <v>47</v>
      </c>
      <c r="AW531">
        <v>3</v>
      </c>
      <c r="AX531" t="s">
        <v>74</v>
      </c>
      <c r="AY531" t="s">
        <v>74</v>
      </c>
      <c r="AZ531" t="s">
        <v>74</v>
      </c>
      <c r="BA531" t="s">
        <v>74</v>
      </c>
      <c r="BB531">
        <v>547</v>
      </c>
      <c r="BC531">
        <v>559</v>
      </c>
      <c r="BD531" t="s">
        <v>74</v>
      </c>
      <c r="BE531" t="s">
        <v>10485</v>
      </c>
      <c r="BF531" t="str">
        <f>HYPERLINK("http://dx.doi.org/10.1657/AAAR0013-031","http://dx.doi.org/10.1657/AAAR0013-031")</f>
        <v>http://dx.doi.org/10.1657/AAAR0013-031</v>
      </c>
      <c r="BG531" t="s">
        <v>74</v>
      </c>
      <c r="BH531" t="s">
        <v>74</v>
      </c>
      <c r="BI531">
        <v>13</v>
      </c>
      <c r="BJ531" t="s">
        <v>10392</v>
      </c>
      <c r="BK531" t="s">
        <v>101</v>
      </c>
      <c r="BL531" t="s">
        <v>7651</v>
      </c>
      <c r="BM531" t="s">
        <v>10393</v>
      </c>
      <c r="BN531" t="s">
        <v>74</v>
      </c>
      <c r="BO531" t="s">
        <v>4189</v>
      </c>
      <c r="BP531" t="s">
        <v>74</v>
      </c>
      <c r="BQ531" t="s">
        <v>74</v>
      </c>
      <c r="BR531" t="s">
        <v>103</v>
      </c>
      <c r="BS531" t="s">
        <v>10486</v>
      </c>
      <c r="BT531" t="str">
        <f>HYPERLINK("https%3A%2F%2Fwww.webofscience.com%2Fwos%2Fwoscc%2Ffull-record%2FWOS:000359679000012","View Full Record in Web of Science")</f>
        <v>View Full Record in Web of Science</v>
      </c>
    </row>
    <row r="532" spans="1:72" x14ac:dyDescent="0.15">
      <c r="A532" t="s">
        <v>72</v>
      </c>
      <c r="B532" t="s">
        <v>10487</v>
      </c>
      <c r="C532" t="s">
        <v>74</v>
      </c>
      <c r="D532" t="s">
        <v>74</v>
      </c>
      <c r="E532" t="s">
        <v>74</v>
      </c>
      <c r="F532" t="s">
        <v>10488</v>
      </c>
      <c r="G532" t="s">
        <v>74</v>
      </c>
      <c r="H532" t="s">
        <v>74</v>
      </c>
      <c r="I532" t="s">
        <v>10489</v>
      </c>
      <c r="J532" t="s">
        <v>10375</v>
      </c>
      <c r="K532" t="s">
        <v>74</v>
      </c>
      <c r="L532" t="s">
        <v>74</v>
      </c>
      <c r="M532" t="s">
        <v>78</v>
      </c>
      <c r="N532" t="s">
        <v>79</v>
      </c>
      <c r="O532" t="s">
        <v>74</v>
      </c>
      <c r="P532" t="s">
        <v>74</v>
      </c>
      <c r="Q532" t="s">
        <v>74</v>
      </c>
      <c r="R532" t="s">
        <v>74</v>
      </c>
      <c r="S532" t="s">
        <v>74</v>
      </c>
      <c r="T532" t="s">
        <v>74</v>
      </c>
      <c r="U532" t="s">
        <v>10490</v>
      </c>
      <c r="V532" t="s">
        <v>10491</v>
      </c>
      <c r="W532" t="s">
        <v>10492</v>
      </c>
      <c r="X532" t="s">
        <v>10493</v>
      </c>
      <c r="Y532" t="s">
        <v>10494</v>
      </c>
      <c r="Z532" t="s">
        <v>10495</v>
      </c>
      <c r="AA532" t="s">
        <v>74</v>
      </c>
      <c r="AB532" t="s">
        <v>74</v>
      </c>
      <c r="AC532" t="s">
        <v>74</v>
      </c>
      <c r="AD532" t="s">
        <v>74</v>
      </c>
      <c r="AE532" t="s">
        <v>74</v>
      </c>
      <c r="AF532" t="s">
        <v>74</v>
      </c>
      <c r="AG532">
        <v>36</v>
      </c>
      <c r="AH532">
        <v>12</v>
      </c>
      <c r="AI532">
        <v>15</v>
      </c>
      <c r="AJ532">
        <v>1</v>
      </c>
      <c r="AK532">
        <v>42</v>
      </c>
      <c r="AL532" t="s">
        <v>1474</v>
      </c>
      <c r="AM532" t="s">
        <v>1475</v>
      </c>
      <c r="AN532" t="s">
        <v>1476</v>
      </c>
      <c r="AO532" t="s">
        <v>10387</v>
      </c>
      <c r="AP532" t="s">
        <v>10388</v>
      </c>
      <c r="AQ532" t="s">
        <v>74</v>
      </c>
      <c r="AR532" t="s">
        <v>10389</v>
      </c>
      <c r="AS532" t="s">
        <v>10390</v>
      </c>
      <c r="AT532" t="s">
        <v>9714</v>
      </c>
      <c r="AU532">
        <v>2015</v>
      </c>
      <c r="AV532">
        <v>47</v>
      </c>
      <c r="AW532">
        <v>3</v>
      </c>
      <c r="AX532" t="s">
        <v>74</v>
      </c>
      <c r="AY532" t="s">
        <v>74</v>
      </c>
      <c r="AZ532" t="s">
        <v>74</v>
      </c>
      <c r="BA532" t="s">
        <v>74</v>
      </c>
      <c r="BB532">
        <v>561</v>
      </c>
      <c r="BC532">
        <v>572</v>
      </c>
      <c r="BD532" t="s">
        <v>74</v>
      </c>
      <c r="BE532" t="s">
        <v>10496</v>
      </c>
      <c r="BF532" t="str">
        <f>HYPERLINK("http://dx.doi.org/10.1657/AAAR0014-046","http://dx.doi.org/10.1657/AAAR0014-046")</f>
        <v>http://dx.doi.org/10.1657/AAAR0014-046</v>
      </c>
      <c r="BG532" t="s">
        <v>74</v>
      </c>
      <c r="BH532" t="s">
        <v>74</v>
      </c>
      <c r="BI532">
        <v>12</v>
      </c>
      <c r="BJ532" t="s">
        <v>10392</v>
      </c>
      <c r="BK532" t="s">
        <v>101</v>
      </c>
      <c r="BL532" t="s">
        <v>7651</v>
      </c>
      <c r="BM532" t="s">
        <v>10393</v>
      </c>
      <c r="BN532" t="s">
        <v>74</v>
      </c>
      <c r="BO532" t="s">
        <v>1213</v>
      </c>
      <c r="BP532" t="s">
        <v>74</v>
      </c>
      <c r="BQ532" t="s">
        <v>74</v>
      </c>
      <c r="BR532" t="s">
        <v>103</v>
      </c>
      <c r="BS532" t="s">
        <v>10497</v>
      </c>
      <c r="BT532" t="str">
        <f>HYPERLINK("https%3A%2F%2Fwww.webofscience.com%2Fwos%2Fwoscc%2Ffull-record%2FWOS:000359679000013","View Full Record in Web of Science")</f>
        <v>View Full Record in Web of Science</v>
      </c>
    </row>
    <row r="533" spans="1:72" x14ac:dyDescent="0.15">
      <c r="A533" t="s">
        <v>72</v>
      </c>
      <c r="B533" t="s">
        <v>10498</v>
      </c>
      <c r="C533" t="s">
        <v>74</v>
      </c>
      <c r="D533" t="s">
        <v>74</v>
      </c>
      <c r="E533" t="s">
        <v>74</v>
      </c>
      <c r="F533" t="s">
        <v>10499</v>
      </c>
      <c r="G533" t="s">
        <v>74</v>
      </c>
      <c r="H533" t="s">
        <v>74</v>
      </c>
      <c r="I533" t="s">
        <v>10500</v>
      </c>
      <c r="J533" t="s">
        <v>10375</v>
      </c>
      <c r="K533" t="s">
        <v>74</v>
      </c>
      <c r="L533" t="s">
        <v>74</v>
      </c>
      <c r="M533" t="s">
        <v>78</v>
      </c>
      <c r="N533" t="s">
        <v>79</v>
      </c>
      <c r="O533" t="s">
        <v>74</v>
      </c>
      <c r="P533" t="s">
        <v>74</v>
      </c>
      <c r="Q533" t="s">
        <v>74</v>
      </c>
      <c r="R533" t="s">
        <v>74</v>
      </c>
      <c r="S533" t="s">
        <v>74</v>
      </c>
      <c r="T533" t="s">
        <v>74</v>
      </c>
      <c r="U533" t="s">
        <v>10501</v>
      </c>
      <c r="V533" t="s">
        <v>10502</v>
      </c>
      <c r="W533" t="s">
        <v>10503</v>
      </c>
      <c r="X533" t="s">
        <v>10504</v>
      </c>
      <c r="Y533" t="s">
        <v>10505</v>
      </c>
      <c r="Z533" t="s">
        <v>10506</v>
      </c>
      <c r="AA533" t="s">
        <v>10507</v>
      </c>
      <c r="AB533" t="s">
        <v>10508</v>
      </c>
      <c r="AC533" t="s">
        <v>10509</v>
      </c>
      <c r="AD533" t="s">
        <v>10510</v>
      </c>
      <c r="AE533" t="s">
        <v>10511</v>
      </c>
      <c r="AF533" t="s">
        <v>74</v>
      </c>
      <c r="AG533">
        <v>65</v>
      </c>
      <c r="AH533">
        <v>55</v>
      </c>
      <c r="AI533">
        <v>61</v>
      </c>
      <c r="AJ533">
        <v>1</v>
      </c>
      <c r="AK533">
        <v>50</v>
      </c>
      <c r="AL533" t="s">
        <v>10453</v>
      </c>
      <c r="AM533" t="s">
        <v>3419</v>
      </c>
      <c r="AN533" t="s">
        <v>10454</v>
      </c>
      <c r="AO533" t="s">
        <v>10387</v>
      </c>
      <c r="AP533" t="s">
        <v>10388</v>
      </c>
      <c r="AQ533" t="s">
        <v>74</v>
      </c>
      <c r="AR533" t="s">
        <v>10389</v>
      </c>
      <c r="AS533" t="s">
        <v>10390</v>
      </c>
      <c r="AT533" t="s">
        <v>9714</v>
      </c>
      <c r="AU533">
        <v>2015</v>
      </c>
      <c r="AV533">
        <v>47</v>
      </c>
      <c r="AW533">
        <v>3</v>
      </c>
      <c r="AX533" t="s">
        <v>74</v>
      </c>
      <c r="AY533" t="s">
        <v>74</v>
      </c>
      <c r="AZ533" t="s">
        <v>74</v>
      </c>
      <c r="BA533" t="s">
        <v>74</v>
      </c>
      <c r="BB533">
        <v>573</v>
      </c>
      <c r="BC533">
        <v>590</v>
      </c>
      <c r="BD533" t="s">
        <v>74</v>
      </c>
      <c r="BE533" t="s">
        <v>10512</v>
      </c>
      <c r="BF533" t="str">
        <f>HYPERLINK("http://dx.doi.org/10.1657/AAAR0014-073","http://dx.doi.org/10.1657/AAAR0014-073")</f>
        <v>http://dx.doi.org/10.1657/AAAR0014-073</v>
      </c>
      <c r="BG533" t="s">
        <v>74</v>
      </c>
      <c r="BH533" t="s">
        <v>74</v>
      </c>
      <c r="BI533">
        <v>18</v>
      </c>
      <c r="BJ533" t="s">
        <v>10392</v>
      </c>
      <c r="BK533" t="s">
        <v>101</v>
      </c>
      <c r="BL533" t="s">
        <v>7651</v>
      </c>
      <c r="BM533" t="s">
        <v>10393</v>
      </c>
      <c r="BN533" t="s">
        <v>74</v>
      </c>
      <c r="BO533" t="s">
        <v>1213</v>
      </c>
      <c r="BP533" t="s">
        <v>74</v>
      </c>
      <c r="BQ533" t="s">
        <v>74</v>
      </c>
      <c r="BR533" t="s">
        <v>103</v>
      </c>
      <c r="BS533" t="s">
        <v>10513</v>
      </c>
      <c r="BT533" t="str">
        <f>HYPERLINK("https%3A%2F%2Fwww.webofscience.com%2Fwos%2Fwoscc%2Ffull-record%2FWOS:000359679000014","View Full Record in Web of Science")</f>
        <v>View Full Record in Web of Science</v>
      </c>
    </row>
    <row r="534" spans="1:72" x14ac:dyDescent="0.15">
      <c r="A534" t="s">
        <v>72</v>
      </c>
      <c r="B534" t="s">
        <v>10514</v>
      </c>
      <c r="C534" t="s">
        <v>74</v>
      </c>
      <c r="D534" t="s">
        <v>74</v>
      </c>
      <c r="E534" t="s">
        <v>74</v>
      </c>
      <c r="F534" t="s">
        <v>10515</v>
      </c>
      <c r="G534" t="s">
        <v>74</v>
      </c>
      <c r="H534" t="s">
        <v>74</v>
      </c>
      <c r="I534" t="s">
        <v>10516</v>
      </c>
      <c r="J534" t="s">
        <v>2828</v>
      </c>
      <c r="K534" t="s">
        <v>74</v>
      </c>
      <c r="L534" t="s">
        <v>74</v>
      </c>
      <c r="M534" t="s">
        <v>78</v>
      </c>
      <c r="N534" t="s">
        <v>79</v>
      </c>
      <c r="O534" t="s">
        <v>74</v>
      </c>
      <c r="P534" t="s">
        <v>74</v>
      </c>
      <c r="Q534" t="s">
        <v>74</v>
      </c>
      <c r="R534" t="s">
        <v>74</v>
      </c>
      <c r="S534" t="s">
        <v>74</v>
      </c>
      <c r="T534" t="s">
        <v>74</v>
      </c>
      <c r="U534" t="s">
        <v>10517</v>
      </c>
      <c r="V534" t="s">
        <v>10518</v>
      </c>
      <c r="W534" t="s">
        <v>10519</v>
      </c>
      <c r="X534" t="s">
        <v>10520</v>
      </c>
      <c r="Y534" t="s">
        <v>10521</v>
      </c>
      <c r="Z534" t="s">
        <v>10522</v>
      </c>
      <c r="AA534" t="s">
        <v>74</v>
      </c>
      <c r="AB534" t="s">
        <v>74</v>
      </c>
      <c r="AC534" t="s">
        <v>10523</v>
      </c>
      <c r="AD534" t="s">
        <v>10524</v>
      </c>
      <c r="AE534" t="s">
        <v>10525</v>
      </c>
      <c r="AF534" t="s">
        <v>74</v>
      </c>
      <c r="AG534">
        <v>59</v>
      </c>
      <c r="AH534">
        <v>20</v>
      </c>
      <c r="AI534">
        <v>21</v>
      </c>
      <c r="AJ534">
        <v>0</v>
      </c>
      <c r="AK534">
        <v>22</v>
      </c>
      <c r="AL534" t="s">
        <v>2841</v>
      </c>
      <c r="AM534" t="s">
        <v>2842</v>
      </c>
      <c r="AN534" t="s">
        <v>2843</v>
      </c>
      <c r="AO534" t="s">
        <v>2844</v>
      </c>
      <c r="AP534" t="s">
        <v>2845</v>
      </c>
      <c r="AQ534" t="s">
        <v>74</v>
      </c>
      <c r="AR534" t="s">
        <v>2828</v>
      </c>
      <c r="AS534" t="s">
        <v>2846</v>
      </c>
      <c r="AT534" t="s">
        <v>10526</v>
      </c>
      <c r="AU534">
        <v>2015</v>
      </c>
      <c r="AV534">
        <v>15</v>
      </c>
      <c r="AW534">
        <v>8</v>
      </c>
      <c r="AX534" t="s">
        <v>74</v>
      </c>
      <c r="AY534" t="s">
        <v>74</v>
      </c>
      <c r="AZ534" t="s">
        <v>74</v>
      </c>
      <c r="BA534" t="s">
        <v>74</v>
      </c>
      <c r="BB534">
        <v>601</v>
      </c>
      <c r="BC534">
        <v>615</v>
      </c>
      <c r="BD534" t="s">
        <v>74</v>
      </c>
      <c r="BE534" t="s">
        <v>10527</v>
      </c>
      <c r="BF534" t="str">
        <f>HYPERLINK("http://dx.doi.org/10.1089/ast.2015.1281","http://dx.doi.org/10.1089/ast.2015.1281")</f>
        <v>http://dx.doi.org/10.1089/ast.2015.1281</v>
      </c>
      <c r="BG534" t="s">
        <v>74</v>
      </c>
      <c r="BH534" t="s">
        <v>74</v>
      </c>
      <c r="BI534">
        <v>15</v>
      </c>
      <c r="BJ534" t="s">
        <v>2849</v>
      </c>
      <c r="BK534" t="s">
        <v>101</v>
      </c>
      <c r="BL534" t="s">
        <v>2850</v>
      </c>
      <c r="BM534" t="s">
        <v>10528</v>
      </c>
      <c r="BN534">
        <v>26218403</v>
      </c>
      <c r="BO534" t="s">
        <v>1213</v>
      </c>
      <c r="BP534" t="s">
        <v>74</v>
      </c>
      <c r="BQ534" t="s">
        <v>74</v>
      </c>
      <c r="BR534" t="s">
        <v>103</v>
      </c>
      <c r="BS534" t="s">
        <v>10529</v>
      </c>
      <c r="BT534" t="str">
        <f>HYPERLINK("https%3A%2F%2Fwww.webofscience.com%2Fwos%2Fwoscc%2Ffull-record%2FWOS:000359593800001","View Full Record in Web of Science")</f>
        <v>View Full Record in Web of Science</v>
      </c>
    </row>
    <row r="535" spans="1:72" x14ac:dyDescent="0.15">
      <c r="A535" t="s">
        <v>72</v>
      </c>
      <c r="B535" t="s">
        <v>10530</v>
      </c>
      <c r="C535" t="s">
        <v>74</v>
      </c>
      <c r="D535" t="s">
        <v>74</v>
      </c>
      <c r="E535" t="s">
        <v>74</v>
      </c>
      <c r="F535" t="s">
        <v>10531</v>
      </c>
      <c r="G535" t="s">
        <v>74</v>
      </c>
      <c r="H535" t="s">
        <v>74</v>
      </c>
      <c r="I535" t="s">
        <v>10532</v>
      </c>
      <c r="J535" t="s">
        <v>9817</v>
      </c>
      <c r="K535" t="s">
        <v>74</v>
      </c>
      <c r="L535" t="s">
        <v>74</v>
      </c>
      <c r="M535" t="s">
        <v>78</v>
      </c>
      <c r="N535" t="s">
        <v>79</v>
      </c>
      <c r="O535" t="s">
        <v>74</v>
      </c>
      <c r="P535" t="s">
        <v>74</v>
      </c>
      <c r="Q535" t="s">
        <v>74</v>
      </c>
      <c r="R535" t="s">
        <v>74</v>
      </c>
      <c r="S535" t="s">
        <v>74</v>
      </c>
      <c r="T535" t="s">
        <v>10533</v>
      </c>
      <c r="U535" t="s">
        <v>74</v>
      </c>
      <c r="V535" t="s">
        <v>10534</v>
      </c>
      <c r="W535" t="s">
        <v>10535</v>
      </c>
      <c r="X535" t="s">
        <v>10536</v>
      </c>
      <c r="Y535" t="s">
        <v>10537</v>
      </c>
      <c r="Z535" t="s">
        <v>10538</v>
      </c>
      <c r="AA535" t="s">
        <v>74</v>
      </c>
      <c r="AB535" t="s">
        <v>74</v>
      </c>
      <c r="AC535" t="s">
        <v>10539</v>
      </c>
      <c r="AD535" t="s">
        <v>10540</v>
      </c>
      <c r="AE535" t="s">
        <v>10541</v>
      </c>
      <c r="AF535" t="s">
        <v>74</v>
      </c>
      <c r="AG535">
        <v>33</v>
      </c>
      <c r="AH535">
        <v>9</v>
      </c>
      <c r="AI535">
        <v>12</v>
      </c>
      <c r="AJ535">
        <v>1</v>
      </c>
      <c r="AK535">
        <v>35</v>
      </c>
      <c r="AL535" t="s">
        <v>208</v>
      </c>
      <c r="AM535" t="s">
        <v>209</v>
      </c>
      <c r="AN535" t="s">
        <v>210</v>
      </c>
      <c r="AO535" t="s">
        <v>9829</v>
      </c>
      <c r="AP535" t="s">
        <v>74</v>
      </c>
      <c r="AQ535" t="s">
        <v>74</v>
      </c>
      <c r="AR535" t="s">
        <v>9817</v>
      </c>
      <c r="AS535" t="s">
        <v>9830</v>
      </c>
      <c r="AT535" t="s">
        <v>9714</v>
      </c>
      <c r="AU535">
        <v>2015</v>
      </c>
      <c r="AV535">
        <v>6</v>
      </c>
      <c r="AW535">
        <v>8</v>
      </c>
      <c r="AX535" t="s">
        <v>74</v>
      </c>
      <c r="AY535" t="s">
        <v>74</v>
      </c>
      <c r="AZ535" t="s">
        <v>74</v>
      </c>
      <c r="BA535" t="s">
        <v>74</v>
      </c>
      <c r="BB535" t="s">
        <v>74</v>
      </c>
      <c r="BC535" t="s">
        <v>74</v>
      </c>
      <c r="BD535">
        <v>132</v>
      </c>
      <c r="BE535" t="s">
        <v>10542</v>
      </c>
      <c r="BF535" t="str">
        <f>HYPERLINK("http://dx.doi.org/10.1890/ES15-00139.1","http://dx.doi.org/10.1890/ES15-00139.1")</f>
        <v>http://dx.doi.org/10.1890/ES15-00139.1</v>
      </c>
      <c r="BG535" t="s">
        <v>74</v>
      </c>
      <c r="BH535" t="s">
        <v>74</v>
      </c>
      <c r="BI535">
        <v>23</v>
      </c>
      <c r="BJ535" t="s">
        <v>643</v>
      </c>
      <c r="BK535" t="s">
        <v>101</v>
      </c>
      <c r="BL535" t="s">
        <v>644</v>
      </c>
      <c r="BM535" t="s">
        <v>10543</v>
      </c>
      <c r="BN535" t="s">
        <v>74</v>
      </c>
      <c r="BO535" t="s">
        <v>8973</v>
      </c>
      <c r="BP535" t="s">
        <v>74</v>
      </c>
      <c r="BQ535" t="s">
        <v>74</v>
      </c>
      <c r="BR535" t="s">
        <v>103</v>
      </c>
      <c r="BS535" t="s">
        <v>10544</v>
      </c>
      <c r="BT535" t="str">
        <f>HYPERLINK("https%3A%2F%2Fwww.webofscience.com%2Fwos%2Fwoscc%2Ffull-record%2FWOS:000359645200004","View Full Record in Web of Science")</f>
        <v>View Full Record in Web of Science</v>
      </c>
    </row>
    <row r="536" spans="1:72" x14ac:dyDescent="0.15">
      <c r="A536" t="s">
        <v>72</v>
      </c>
      <c r="B536" t="s">
        <v>10545</v>
      </c>
      <c r="C536" t="s">
        <v>74</v>
      </c>
      <c r="D536" t="s">
        <v>74</v>
      </c>
      <c r="E536" t="s">
        <v>74</v>
      </c>
      <c r="F536" t="s">
        <v>10546</v>
      </c>
      <c r="G536" t="s">
        <v>74</v>
      </c>
      <c r="H536" t="s">
        <v>74</v>
      </c>
      <c r="I536" t="s">
        <v>10547</v>
      </c>
      <c r="J536" t="s">
        <v>250</v>
      </c>
      <c r="K536" t="s">
        <v>74</v>
      </c>
      <c r="L536" t="s">
        <v>74</v>
      </c>
      <c r="M536" t="s">
        <v>78</v>
      </c>
      <c r="N536" t="s">
        <v>79</v>
      </c>
      <c r="O536" t="s">
        <v>74</v>
      </c>
      <c r="P536" t="s">
        <v>74</v>
      </c>
      <c r="Q536" t="s">
        <v>74</v>
      </c>
      <c r="R536" t="s">
        <v>74</v>
      </c>
      <c r="S536" t="s">
        <v>74</v>
      </c>
      <c r="T536" t="s">
        <v>74</v>
      </c>
      <c r="U536" t="s">
        <v>10548</v>
      </c>
      <c r="V536" t="s">
        <v>10549</v>
      </c>
      <c r="W536" t="s">
        <v>10550</v>
      </c>
      <c r="X536" t="s">
        <v>10551</v>
      </c>
      <c r="Y536" t="s">
        <v>10552</v>
      </c>
      <c r="Z536" t="s">
        <v>10553</v>
      </c>
      <c r="AA536" t="s">
        <v>10554</v>
      </c>
      <c r="AB536" t="s">
        <v>10555</v>
      </c>
      <c r="AC536" t="s">
        <v>10556</v>
      </c>
      <c r="AD536" t="s">
        <v>10557</v>
      </c>
      <c r="AE536" t="s">
        <v>10558</v>
      </c>
      <c r="AF536" t="s">
        <v>74</v>
      </c>
      <c r="AG536">
        <v>54</v>
      </c>
      <c r="AH536">
        <v>39</v>
      </c>
      <c r="AI536">
        <v>43</v>
      </c>
      <c r="AJ536">
        <v>0</v>
      </c>
      <c r="AK536">
        <v>29</v>
      </c>
      <c r="AL536" t="s">
        <v>263</v>
      </c>
      <c r="AM536" t="s">
        <v>264</v>
      </c>
      <c r="AN536" t="s">
        <v>265</v>
      </c>
      <c r="AO536" t="s">
        <v>266</v>
      </c>
      <c r="AP536" t="s">
        <v>267</v>
      </c>
      <c r="AQ536" t="s">
        <v>74</v>
      </c>
      <c r="AR536" t="s">
        <v>268</v>
      </c>
      <c r="AS536" t="s">
        <v>269</v>
      </c>
      <c r="AT536" t="s">
        <v>9714</v>
      </c>
      <c r="AU536">
        <v>2015</v>
      </c>
      <c r="AV536">
        <v>28</v>
      </c>
      <c r="AW536">
        <v>15</v>
      </c>
      <c r="AX536" t="s">
        <v>74</v>
      </c>
      <c r="AY536" t="s">
        <v>74</v>
      </c>
      <c r="AZ536" t="s">
        <v>74</v>
      </c>
      <c r="BA536" t="s">
        <v>74</v>
      </c>
      <c r="BB536">
        <v>5922</v>
      </c>
      <c r="BC536">
        <v>5934</v>
      </c>
      <c r="BD536" t="s">
        <v>74</v>
      </c>
      <c r="BE536" t="s">
        <v>10559</v>
      </c>
      <c r="BF536" t="str">
        <f>HYPERLINK("http://dx.doi.org/10.1175/JCLI-D-14-00733.1","http://dx.doi.org/10.1175/JCLI-D-14-00733.1")</f>
        <v>http://dx.doi.org/10.1175/JCLI-D-14-00733.1</v>
      </c>
      <c r="BG536" t="s">
        <v>74</v>
      </c>
      <c r="BH536" t="s">
        <v>74</v>
      </c>
      <c r="BI536">
        <v>13</v>
      </c>
      <c r="BJ536" t="s">
        <v>271</v>
      </c>
      <c r="BK536" t="s">
        <v>101</v>
      </c>
      <c r="BL536" t="s">
        <v>271</v>
      </c>
      <c r="BM536" t="s">
        <v>10560</v>
      </c>
      <c r="BN536" t="s">
        <v>74</v>
      </c>
      <c r="BO536" t="s">
        <v>1235</v>
      </c>
      <c r="BP536" t="s">
        <v>74</v>
      </c>
      <c r="BQ536" t="s">
        <v>74</v>
      </c>
      <c r="BR536" t="s">
        <v>103</v>
      </c>
      <c r="BS536" t="s">
        <v>10561</v>
      </c>
      <c r="BT536" t="str">
        <f>HYPERLINK("https%3A%2F%2Fwww.webofscience.com%2Fwos%2Fwoscc%2Ffull-record%2FWOS:000359532800003","View Full Record in Web of Science")</f>
        <v>View Full Record in Web of Science</v>
      </c>
    </row>
    <row r="537" spans="1:72" x14ac:dyDescent="0.15">
      <c r="A537" t="s">
        <v>72</v>
      </c>
      <c r="B537" t="s">
        <v>10562</v>
      </c>
      <c r="C537" t="s">
        <v>74</v>
      </c>
      <c r="D537" t="s">
        <v>74</v>
      </c>
      <c r="E537" t="s">
        <v>74</v>
      </c>
      <c r="F537" t="s">
        <v>10563</v>
      </c>
      <c r="G537" t="s">
        <v>74</v>
      </c>
      <c r="H537" t="s">
        <v>74</v>
      </c>
      <c r="I537" t="s">
        <v>10564</v>
      </c>
      <c r="J537" t="s">
        <v>250</v>
      </c>
      <c r="K537" t="s">
        <v>74</v>
      </c>
      <c r="L537" t="s">
        <v>74</v>
      </c>
      <c r="M537" t="s">
        <v>78</v>
      </c>
      <c r="N537" t="s">
        <v>79</v>
      </c>
      <c r="O537" t="s">
        <v>74</v>
      </c>
      <c r="P537" t="s">
        <v>74</v>
      </c>
      <c r="Q537" t="s">
        <v>74</v>
      </c>
      <c r="R537" t="s">
        <v>74</v>
      </c>
      <c r="S537" t="s">
        <v>74</v>
      </c>
      <c r="T537" t="s">
        <v>74</v>
      </c>
      <c r="U537" t="s">
        <v>10565</v>
      </c>
      <c r="V537" t="s">
        <v>10566</v>
      </c>
      <c r="W537" t="s">
        <v>10567</v>
      </c>
      <c r="X537" t="s">
        <v>2590</v>
      </c>
      <c r="Y537" t="s">
        <v>10568</v>
      </c>
      <c r="Z537" t="s">
        <v>10569</v>
      </c>
      <c r="AA537" t="s">
        <v>10570</v>
      </c>
      <c r="AB537" t="s">
        <v>10571</v>
      </c>
      <c r="AC537" t="s">
        <v>10572</v>
      </c>
      <c r="AD537" t="s">
        <v>10573</v>
      </c>
      <c r="AE537" t="s">
        <v>10574</v>
      </c>
      <c r="AF537" t="s">
        <v>74</v>
      </c>
      <c r="AG537">
        <v>37</v>
      </c>
      <c r="AH537">
        <v>19</v>
      </c>
      <c r="AI537">
        <v>22</v>
      </c>
      <c r="AJ537">
        <v>0</v>
      </c>
      <c r="AK537">
        <v>15</v>
      </c>
      <c r="AL537" t="s">
        <v>263</v>
      </c>
      <c r="AM537" t="s">
        <v>264</v>
      </c>
      <c r="AN537" t="s">
        <v>265</v>
      </c>
      <c r="AO537" t="s">
        <v>266</v>
      </c>
      <c r="AP537" t="s">
        <v>267</v>
      </c>
      <c r="AQ537" t="s">
        <v>74</v>
      </c>
      <c r="AR537" t="s">
        <v>268</v>
      </c>
      <c r="AS537" t="s">
        <v>269</v>
      </c>
      <c r="AT537" t="s">
        <v>9714</v>
      </c>
      <c r="AU537">
        <v>2015</v>
      </c>
      <c r="AV537">
        <v>28</v>
      </c>
      <c r="AW537">
        <v>15</v>
      </c>
      <c r="AX537" t="s">
        <v>74</v>
      </c>
      <c r="AY537" t="s">
        <v>74</v>
      </c>
      <c r="AZ537" t="s">
        <v>74</v>
      </c>
      <c r="BA537" t="s">
        <v>74</v>
      </c>
      <c r="BB537">
        <v>5985</v>
      </c>
      <c r="BC537">
        <v>6000</v>
      </c>
      <c r="BD537" t="s">
        <v>74</v>
      </c>
      <c r="BE537" t="s">
        <v>10575</v>
      </c>
      <c r="BF537" t="str">
        <f>HYPERLINK("http://dx.doi.org/10.1175/JCLI-D-14-00702.1","http://dx.doi.org/10.1175/JCLI-D-14-00702.1")</f>
        <v>http://dx.doi.org/10.1175/JCLI-D-14-00702.1</v>
      </c>
      <c r="BG537" t="s">
        <v>74</v>
      </c>
      <c r="BH537" t="s">
        <v>74</v>
      </c>
      <c r="BI537">
        <v>16</v>
      </c>
      <c r="BJ537" t="s">
        <v>271</v>
      </c>
      <c r="BK537" t="s">
        <v>101</v>
      </c>
      <c r="BL537" t="s">
        <v>271</v>
      </c>
      <c r="BM537" t="s">
        <v>10560</v>
      </c>
      <c r="BN537" t="s">
        <v>74</v>
      </c>
      <c r="BO537" t="s">
        <v>1235</v>
      </c>
      <c r="BP537" t="s">
        <v>74</v>
      </c>
      <c r="BQ537" t="s">
        <v>74</v>
      </c>
      <c r="BR537" t="s">
        <v>103</v>
      </c>
      <c r="BS537" t="s">
        <v>10576</v>
      </c>
      <c r="BT537" t="str">
        <f>HYPERLINK("https%3A%2F%2Fwww.webofscience.com%2Fwos%2Fwoscc%2Ffull-record%2FWOS:000359532800007","View Full Record in Web of Science")</f>
        <v>View Full Record in Web of Science</v>
      </c>
    </row>
    <row r="538" spans="1:72" x14ac:dyDescent="0.15">
      <c r="A538" t="s">
        <v>72</v>
      </c>
      <c r="B538" t="s">
        <v>10577</v>
      </c>
      <c r="C538" t="s">
        <v>74</v>
      </c>
      <c r="D538" t="s">
        <v>74</v>
      </c>
      <c r="E538" t="s">
        <v>74</v>
      </c>
      <c r="F538" t="s">
        <v>10578</v>
      </c>
      <c r="G538" t="s">
        <v>74</v>
      </c>
      <c r="H538" t="s">
        <v>74</v>
      </c>
      <c r="I538" t="s">
        <v>10579</v>
      </c>
      <c r="J538" t="s">
        <v>250</v>
      </c>
      <c r="K538" t="s">
        <v>74</v>
      </c>
      <c r="L538" t="s">
        <v>74</v>
      </c>
      <c r="M538" t="s">
        <v>78</v>
      </c>
      <c r="N538" t="s">
        <v>581</v>
      </c>
      <c r="O538" t="s">
        <v>74</v>
      </c>
      <c r="P538" t="s">
        <v>74</v>
      </c>
      <c r="Q538" t="s">
        <v>74</v>
      </c>
      <c r="R538" t="s">
        <v>74</v>
      </c>
      <c r="S538" t="s">
        <v>74</v>
      </c>
      <c r="T538" t="s">
        <v>74</v>
      </c>
      <c r="U538" t="s">
        <v>10580</v>
      </c>
      <c r="V538" t="s">
        <v>10581</v>
      </c>
      <c r="W538" t="s">
        <v>10582</v>
      </c>
      <c r="X538" t="s">
        <v>10583</v>
      </c>
      <c r="Y538" t="s">
        <v>10584</v>
      </c>
      <c r="Z538" t="s">
        <v>10585</v>
      </c>
      <c r="AA538" t="s">
        <v>10586</v>
      </c>
      <c r="AB538" t="s">
        <v>10587</v>
      </c>
      <c r="AC538" t="s">
        <v>10588</v>
      </c>
      <c r="AD538" t="s">
        <v>10589</v>
      </c>
      <c r="AE538" t="s">
        <v>10590</v>
      </c>
      <c r="AF538" t="s">
        <v>74</v>
      </c>
      <c r="AG538">
        <v>116</v>
      </c>
      <c r="AH538">
        <v>35</v>
      </c>
      <c r="AI538">
        <v>39</v>
      </c>
      <c r="AJ538">
        <v>3</v>
      </c>
      <c r="AK538">
        <v>36</v>
      </c>
      <c r="AL538" t="s">
        <v>263</v>
      </c>
      <c r="AM538" t="s">
        <v>264</v>
      </c>
      <c r="AN538" t="s">
        <v>265</v>
      </c>
      <c r="AO538" t="s">
        <v>266</v>
      </c>
      <c r="AP538" t="s">
        <v>267</v>
      </c>
      <c r="AQ538" t="s">
        <v>74</v>
      </c>
      <c r="AR538" t="s">
        <v>268</v>
      </c>
      <c r="AS538" t="s">
        <v>269</v>
      </c>
      <c r="AT538" t="s">
        <v>9714</v>
      </c>
      <c r="AU538">
        <v>2015</v>
      </c>
      <c r="AV538">
        <v>28</v>
      </c>
      <c r="AW538">
        <v>15</v>
      </c>
      <c r="AX538" t="s">
        <v>74</v>
      </c>
      <c r="AY538" t="s">
        <v>74</v>
      </c>
      <c r="AZ538" t="s">
        <v>74</v>
      </c>
      <c r="BA538" t="s">
        <v>74</v>
      </c>
      <c r="BB538">
        <v>6067</v>
      </c>
      <c r="BC538">
        <v>6085</v>
      </c>
      <c r="BD538" t="s">
        <v>74</v>
      </c>
      <c r="BE538" t="s">
        <v>10591</v>
      </c>
      <c r="BF538" t="str">
        <f>HYPERLINK("http://dx.doi.org/10.1175/JCLI-D-14-00374.1","http://dx.doi.org/10.1175/JCLI-D-14-00374.1")</f>
        <v>http://dx.doi.org/10.1175/JCLI-D-14-00374.1</v>
      </c>
      <c r="BG538" t="s">
        <v>74</v>
      </c>
      <c r="BH538" t="s">
        <v>74</v>
      </c>
      <c r="BI538">
        <v>19</v>
      </c>
      <c r="BJ538" t="s">
        <v>271</v>
      </c>
      <c r="BK538" t="s">
        <v>101</v>
      </c>
      <c r="BL538" t="s">
        <v>271</v>
      </c>
      <c r="BM538" t="s">
        <v>10560</v>
      </c>
      <c r="BN538" t="s">
        <v>74</v>
      </c>
      <c r="BO538" t="s">
        <v>1073</v>
      </c>
      <c r="BP538" t="s">
        <v>74</v>
      </c>
      <c r="BQ538" t="s">
        <v>74</v>
      </c>
      <c r="BR538" t="s">
        <v>103</v>
      </c>
      <c r="BS538" t="s">
        <v>10592</v>
      </c>
      <c r="BT538" t="str">
        <f>HYPERLINK("https%3A%2F%2Fwww.webofscience.com%2Fwos%2Fwoscc%2Ffull-record%2FWOS:000359532800012","View Full Record in Web of Science")</f>
        <v>View Full Record in Web of Science</v>
      </c>
    </row>
    <row r="539" spans="1:72" x14ac:dyDescent="0.15">
      <c r="A539" t="s">
        <v>72</v>
      </c>
      <c r="B539" t="s">
        <v>10593</v>
      </c>
      <c r="C539" t="s">
        <v>74</v>
      </c>
      <c r="D539" t="s">
        <v>74</v>
      </c>
      <c r="E539" t="s">
        <v>74</v>
      </c>
      <c r="F539" t="s">
        <v>10594</v>
      </c>
      <c r="G539" t="s">
        <v>74</v>
      </c>
      <c r="H539" t="s">
        <v>74</v>
      </c>
      <c r="I539" t="s">
        <v>10595</v>
      </c>
      <c r="J539" t="s">
        <v>250</v>
      </c>
      <c r="K539" t="s">
        <v>74</v>
      </c>
      <c r="L539" t="s">
        <v>74</v>
      </c>
      <c r="M539" t="s">
        <v>78</v>
      </c>
      <c r="N539" t="s">
        <v>79</v>
      </c>
      <c r="O539" t="s">
        <v>74</v>
      </c>
      <c r="P539" t="s">
        <v>74</v>
      </c>
      <c r="Q539" t="s">
        <v>74</v>
      </c>
      <c r="R539" t="s">
        <v>74</v>
      </c>
      <c r="S539" t="s">
        <v>74</v>
      </c>
      <c r="T539" t="s">
        <v>74</v>
      </c>
      <c r="U539" t="s">
        <v>10596</v>
      </c>
      <c r="V539" t="s">
        <v>10597</v>
      </c>
      <c r="W539" t="s">
        <v>10598</v>
      </c>
      <c r="X539" t="s">
        <v>10599</v>
      </c>
      <c r="Y539" t="s">
        <v>10600</v>
      </c>
      <c r="Z539" t="s">
        <v>9806</v>
      </c>
      <c r="AA539" t="s">
        <v>9807</v>
      </c>
      <c r="AB539" t="s">
        <v>9808</v>
      </c>
      <c r="AC539" t="s">
        <v>10601</v>
      </c>
      <c r="AD539" t="s">
        <v>10601</v>
      </c>
      <c r="AE539" t="s">
        <v>10602</v>
      </c>
      <c r="AF539" t="s">
        <v>74</v>
      </c>
      <c r="AG539">
        <v>71</v>
      </c>
      <c r="AH539">
        <v>7</v>
      </c>
      <c r="AI539">
        <v>7</v>
      </c>
      <c r="AJ539">
        <v>2</v>
      </c>
      <c r="AK539">
        <v>17</v>
      </c>
      <c r="AL539" t="s">
        <v>263</v>
      </c>
      <c r="AM539" t="s">
        <v>264</v>
      </c>
      <c r="AN539" t="s">
        <v>265</v>
      </c>
      <c r="AO539" t="s">
        <v>266</v>
      </c>
      <c r="AP539" t="s">
        <v>267</v>
      </c>
      <c r="AQ539" t="s">
        <v>74</v>
      </c>
      <c r="AR539" t="s">
        <v>268</v>
      </c>
      <c r="AS539" t="s">
        <v>269</v>
      </c>
      <c r="AT539" t="s">
        <v>9714</v>
      </c>
      <c r="AU539">
        <v>2015</v>
      </c>
      <c r="AV539">
        <v>28</v>
      </c>
      <c r="AW539">
        <v>15</v>
      </c>
      <c r="AX539" t="s">
        <v>74</v>
      </c>
      <c r="AY539" t="s">
        <v>74</v>
      </c>
      <c r="AZ539" t="s">
        <v>74</v>
      </c>
      <c r="BA539" t="s">
        <v>74</v>
      </c>
      <c r="BB539">
        <v>6113</v>
      </c>
      <c r="BC539">
        <v>6132</v>
      </c>
      <c r="BD539" t="s">
        <v>74</v>
      </c>
      <c r="BE539" t="s">
        <v>10603</v>
      </c>
      <c r="BF539" t="str">
        <f>HYPERLINK("http://dx.doi.org/10.1175/JCLI-D-14-00700.1","http://dx.doi.org/10.1175/JCLI-D-14-00700.1")</f>
        <v>http://dx.doi.org/10.1175/JCLI-D-14-00700.1</v>
      </c>
      <c r="BG539" t="s">
        <v>74</v>
      </c>
      <c r="BH539" t="s">
        <v>74</v>
      </c>
      <c r="BI539">
        <v>20</v>
      </c>
      <c r="BJ539" t="s">
        <v>271</v>
      </c>
      <c r="BK539" t="s">
        <v>101</v>
      </c>
      <c r="BL539" t="s">
        <v>271</v>
      </c>
      <c r="BM539" t="s">
        <v>10560</v>
      </c>
      <c r="BN539" t="s">
        <v>74</v>
      </c>
      <c r="BO539" t="s">
        <v>1235</v>
      </c>
      <c r="BP539" t="s">
        <v>74</v>
      </c>
      <c r="BQ539" t="s">
        <v>74</v>
      </c>
      <c r="BR539" t="s">
        <v>103</v>
      </c>
      <c r="BS539" t="s">
        <v>10604</v>
      </c>
      <c r="BT539" t="str">
        <f>HYPERLINK("https%3A%2F%2Fwww.webofscience.com%2Fwos%2Fwoscc%2Ffull-record%2FWOS:000359532800015","View Full Record in Web of Science")</f>
        <v>View Full Record in Web of Science</v>
      </c>
    </row>
    <row r="540" spans="1:72" x14ac:dyDescent="0.15">
      <c r="A540" t="s">
        <v>72</v>
      </c>
      <c r="B540" t="s">
        <v>10605</v>
      </c>
      <c r="C540" t="s">
        <v>74</v>
      </c>
      <c r="D540" t="s">
        <v>74</v>
      </c>
      <c r="E540" t="s">
        <v>74</v>
      </c>
      <c r="F540" t="s">
        <v>10606</v>
      </c>
      <c r="G540" t="s">
        <v>74</v>
      </c>
      <c r="H540" t="s">
        <v>74</v>
      </c>
      <c r="I540" t="s">
        <v>10607</v>
      </c>
      <c r="J540" t="s">
        <v>250</v>
      </c>
      <c r="K540" t="s">
        <v>74</v>
      </c>
      <c r="L540" t="s">
        <v>74</v>
      </c>
      <c r="M540" t="s">
        <v>78</v>
      </c>
      <c r="N540" t="s">
        <v>79</v>
      </c>
      <c r="O540" t="s">
        <v>74</v>
      </c>
      <c r="P540" t="s">
        <v>74</v>
      </c>
      <c r="Q540" t="s">
        <v>74</v>
      </c>
      <c r="R540" t="s">
        <v>74</v>
      </c>
      <c r="S540" t="s">
        <v>74</v>
      </c>
      <c r="T540" t="s">
        <v>74</v>
      </c>
      <c r="U540" t="s">
        <v>10608</v>
      </c>
      <c r="V540" t="s">
        <v>10609</v>
      </c>
      <c r="W540" t="s">
        <v>10610</v>
      </c>
      <c r="X540" t="s">
        <v>10611</v>
      </c>
      <c r="Y540" t="s">
        <v>10612</v>
      </c>
      <c r="Z540" t="s">
        <v>10613</v>
      </c>
      <c r="AA540" t="s">
        <v>10614</v>
      </c>
      <c r="AB540" t="s">
        <v>10615</v>
      </c>
      <c r="AC540" t="s">
        <v>10616</v>
      </c>
      <c r="AD540" t="s">
        <v>10617</v>
      </c>
      <c r="AE540" t="s">
        <v>10618</v>
      </c>
      <c r="AF540" t="s">
        <v>74</v>
      </c>
      <c r="AG540">
        <v>23</v>
      </c>
      <c r="AH540">
        <v>76</v>
      </c>
      <c r="AI540">
        <v>83</v>
      </c>
      <c r="AJ540">
        <v>1</v>
      </c>
      <c r="AK540">
        <v>44</v>
      </c>
      <c r="AL540" t="s">
        <v>263</v>
      </c>
      <c r="AM540" t="s">
        <v>264</v>
      </c>
      <c r="AN540" t="s">
        <v>265</v>
      </c>
      <c r="AO540" t="s">
        <v>266</v>
      </c>
      <c r="AP540" t="s">
        <v>267</v>
      </c>
      <c r="AQ540" t="s">
        <v>74</v>
      </c>
      <c r="AR540" t="s">
        <v>268</v>
      </c>
      <c r="AS540" t="s">
        <v>269</v>
      </c>
      <c r="AT540" t="s">
        <v>9714</v>
      </c>
      <c r="AU540">
        <v>2015</v>
      </c>
      <c r="AV540">
        <v>28</v>
      </c>
      <c r="AW540">
        <v>16</v>
      </c>
      <c r="AX540" t="s">
        <v>74</v>
      </c>
      <c r="AY540" t="s">
        <v>74</v>
      </c>
      <c r="AZ540" t="s">
        <v>74</v>
      </c>
      <c r="BA540" t="s">
        <v>74</v>
      </c>
      <c r="BB540">
        <v>6581</v>
      </c>
      <c r="BC540">
        <v>6586</v>
      </c>
      <c r="BD540" t="s">
        <v>74</v>
      </c>
      <c r="BE540" t="s">
        <v>10619</v>
      </c>
      <c r="BF540" t="str">
        <f>HYPERLINK("http://dx.doi.org/10.1175/JCLI-D-15-0138.1","http://dx.doi.org/10.1175/JCLI-D-15-0138.1")</f>
        <v>http://dx.doi.org/10.1175/JCLI-D-15-0138.1</v>
      </c>
      <c r="BG540" t="s">
        <v>74</v>
      </c>
      <c r="BH540" t="s">
        <v>74</v>
      </c>
      <c r="BI540">
        <v>6</v>
      </c>
      <c r="BJ540" t="s">
        <v>271</v>
      </c>
      <c r="BK540" t="s">
        <v>101</v>
      </c>
      <c r="BL540" t="s">
        <v>271</v>
      </c>
      <c r="BM540" t="s">
        <v>10620</v>
      </c>
      <c r="BN540" t="s">
        <v>74</v>
      </c>
      <c r="BO540" t="s">
        <v>4252</v>
      </c>
      <c r="BP540" t="s">
        <v>74</v>
      </c>
      <c r="BQ540" t="s">
        <v>74</v>
      </c>
      <c r="BR540" t="s">
        <v>103</v>
      </c>
      <c r="BS540" t="s">
        <v>10621</v>
      </c>
      <c r="BT540" t="str">
        <f>HYPERLINK("https%3A%2F%2Fwww.webofscience.com%2Fwos%2Fwoscc%2Ffull-record%2FWOS:000359655200018","View Full Record in Web of Science")</f>
        <v>View Full Record in Web of Science</v>
      </c>
    </row>
    <row r="541" spans="1:72" x14ac:dyDescent="0.15">
      <c r="A541" t="s">
        <v>72</v>
      </c>
      <c r="B541" t="s">
        <v>10622</v>
      </c>
      <c r="C541" t="s">
        <v>74</v>
      </c>
      <c r="D541" t="s">
        <v>74</v>
      </c>
      <c r="E541" t="s">
        <v>74</v>
      </c>
      <c r="F541" t="s">
        <v>10623</v>
      </c>
      <c r="G541" t="s">
        <v>74</v>
      </c>
      <c r="H541" t="s">
        <v>74</v>
      </c>
      <c r="I541" t="s">
        <v>10624</v>
      </c>
      <c r="J541" t="s">
        <v>3584</v>
      </c>
      <c r="K541" t="s">
        <v>74</v>
      </c>
      <c r="L541" t="s">
        <v>74</v>
      </c>
      <c r="M541" t="s">
        <v>78</v>
      </c>
      <c r="N541" t="s">
        <v>79</v>
      </c>
      <c r="O541" t="s">
        <v>74</v>
      </c>
      <c r="P541" t="s">
        <v>74</v>
      </c>
      <c r="Q541" t="s">
        <v>74</v>
      </c>
      <c r="R541" t="s">
        <v>74</v>
      </c>
      <c r="S541" t="s">
        <v>74</v>
      </c>
      <c r="T541" t="s">
        <v>10625</v>
      </c>
      <c r="U541" t="s">
        <v>10626</v>
      </c>
      <c r="V541" t="s">
        <v>10627</v>
      </c>
      <c r="W541" t="s">
        <v>10628</v>
      </c>
      <c r="X541" t="s">
        <v>10629</v>
      </c>
      <c r="Y541" t="s">
        <v>10630</v>
      </c>
      <c r="Z541" t="s">
        <v>10631</v>
      </c>
      <c r="AA541" t="s">
        <v>10632</v>
      </c>
      <c r="AB541" t="s">
        <v>10633</v>
      </c>
      <c r="AC541" t="s">
        <v>10634</v>
      </c>
      <c r="AD541" t="s">
        <v>10635</v>
      </c>
      <c r="AE541" t="s">
        <v>10636</v>
      </c>
      <c r="AF541" t="s">
        <v>74</v>
      </c>
      <c r="AG541">
        <v>17</v>
      </c>
      <c r="AH541">
        <v>46</v>
      </c>
      <c r="AI541">
        <v>48</v>
      </c>
      <c r="AJ541">
        <v>2</v>
      </c>
      <c r="AK541">
        <v>6</v>
      </c>
      <c r="AL541" t="s">
        <v>741</v>
      </c>
      <c r="AM541" t="s">
        <v>550</v>
      </c>
      <c r="AN541" t="s">
        <v>742</v>
      </c>
      <c r="AO541" t="s">
        <v>3596</v>
      </c>
      <c r="AP541" t="s">
        <v>3597</v>
      </c>
      <c r="AQ541" t="s">
        <v>74</v>
      </c>
      <c r="AR541" t="s">
        <v>3598</v>
      </c>
      <c r="AS541" t="s">
        <v>3599</v>
      </c>
      <c r="AT541" t="s">
        <v>9714</v>
      </c>
      <c r="AU541">
        <v>2015</v>
      </c>
      <c r="AV541">
        <v>777</v>
      </c>
      <c r="AW541" t="s">
        <v>74</v>
      </c>
      <c r="AX541" t="s">
        <v>74</v>
      </c>
      <c r="AY541" t="s">
        <v>74</v>
      </c>
      <c r="AZ541" t="s">
        <v>74</v>
      </c>
      <c r="BA541" t="s">
        <v>74</v>
      </c>
      <c r="BB541" t="s">
        <v>74</v>
      </c>
      <c r="BC541" t="s">
        <v>74</v>
      </c>
      <c r="BD541" t="s">
        <v>10637</v>
      </c>
      <c r="BE541" t="s">
        <v>10638</v>
      </c>
      <c r="BF541" t="str">
        <f>HYPERLINK("http://dx.doi.org/10.1017/jfm.2015.378","http://dx.doi.org/10.1017/jfm.2015.378")</f>
        <v>http://dx.doi.org/10.1017/jfm.2015.378</v>
      </c>
      <c r="BG541" t="s">
        <v>74</v>
      </c>
      <c r="BH541" t="s">
        <v>74</v>
      </c>
      <c r="BI541">
        <v>13</v>
      </c>
      <c r="BJ541" t="s">
        <v>3601</v>
      </c>
      <c r="BK541" t="s">
        <v>101</v>
      </c>
      <c r="BL541" t="s">
        <v>3602</v>
      </c>
      <c r="BM541" t="s">
        <v>10639</v>
      </c>
      <c r="BN541" t="s">
        <v>74</v>
      </c>
      <c r="BO541" t="s">
        <v>559</v>
      </c>
      <c r="BP541" t="s">
        <v>74</v>
      </c>
      <c r="BQ541" t="s">
        <v>74</v>
      </c>
      <c r="BR541" t="s">
        <v>103</v>
      </c>
      <c r="BS541" t="s">
        <v>10640</v>
      </c>
      <c r="BT541" t="str">
        <f>HYPERLINK("https%3A%2F%2Fwww.webofscience.com%2Fwos%2Fwoscc%2Ffull-record%2FWOS:000359643100003","View Full Record in Web of Science")</f>
        <v>View Full Record in Web of Science</v>
      </c>
    </row>
    <row r="542" spans="1:72" x14ac:dyDescent="0.15">
      <c r="A542" t="s">
        <v>72</v>
      </c>
      <c r="B542" t="s">
        <v>10641</v>
      </c>
      <c r="C542" t="s">
        <v>74</v>
      </c>
      <c r="D542" t="s">
        <v>74</v>
      </c>
      <c r="E542" t="s">
        <v>74</v>
      </c>
      <c r="F542" t="s">
        <v>10642</v>
      </c>
      <c r="G542" t="s">
        <v>74</v>
      </c>
      <c r="H542" t="s">
        <v>74</v>
      </c>
      <c r="I542" t="s">
        <v>10643</v>
      </c>
      <c r="J542" t="s">
        <v>7191</v>
      </c>
      <c r="K542" t="s">
        <v>74</v>
      </c>
      <c r="L542" t="s">
        <v>74</v>
      </c>
      <c r="M542" t="s">
        <v>78</v>
      </c>
      <c r="N542" t="s">
        <v>79</v>
      </c>
      <c r="O542" t="s">
        <v>74</v>
      </c>
      <c r="P542" t="s">
        <v>74</v>
      </c>
      <c r="Q542" t="s">
        <v>74</v>
      </c>
      <c r="R542" t="s">
        <v>74</v>
      </c>
      <c r="S542" t="s">
        <v>74</v>
      </c>
      <c r="T542" t="s">
        <v>74</v>
      </c>
      <c r="U542" t="s">
        <v>10644</v>
      </c>
      <c r="V542" t="s">
        <v>10645</v>
      </c>
      <c r="W542" t="s">
        <v>10646</v>
      </c>
      <c r="X542" t="s">
        <v>10647</v>
      </c>
      <c r="Y542" t="s">
        <v>10648</v>
      </c>
      <c r="Z542" t="s">
        <v>10649</v>
      </c>
      <c r="AA542" t="s">
        <v>74</v>
      </c>
      <c r="AB542" t="s">
        <v>74</v>
      </c>
      <c r="AC542" t="s">
        <v>10650</v>
      </c>
      <c r="AD542" t="s">
        <v>10651</v>
      </c>
      <c r="AE542" t="s">
        <v>10652</v>
      </c>
      <c r="AF542" t="s">
        <v>74</v>
      </c>
      <c r="AG542">
        <v>51</v>
      </c>
      <c r="AH542">
        <v>18</v>
      </c>
      <c r="AI542">
        <v>24</v>
      </c>
      <c r="AJ542">
        <v>0</v>
      </c>
      <c r="AK542">
        <v>50</v>
      </c>
      <c r="AL542" t="s">
        <v>263</v>
      </c>
      <c r="AM542" t="s">
        <v>264</v>
      </c>
      <c r="AN542" t="s">
        <v>10653</v>
      </c>
      <c r="AO542" t="s">
        <v>7203</v>
      </c>
      <c r="AP542" t="s">
        <v>7204</v>
      </c>
      <c r="AQ542" t="s">
        <v>74</v>
      </c>
      <c r="AR542" t="s">
        <v>7205</v>
      </c>
      <c r="AS542" t="s">
        <v>7206</v>
      </c>
      <c r="AT542" t="s">
        <v>9714</v>
      </c>
      <c r="AU542">
        <v>2015</v>
      </c>
      <c r="AV542">
        <v>72</v>
      </c>
      <c r="AW542">
        <v>8</v>
      </c>
      <c r="AX542" t="s">
        <v>74</v>
      </c>
      <c r="AY542" t="s">
        <v>74</v>
      </c>
      <c r="AZ542" t="s">
        <v>74</v>
      </c>
      <c r="BA542" t="s">
        <v>74</v>
      </c>
      <c r="BB542">
        <v>2997</v>
      </c>
      <c r="BC542">
        <v>3008</v>
      </c>
      <c r="BD542" t="s">
        <v>74</v>
      </c>
      <c r="BE542" t="s">
        <v>10654</v>
      </c>
      <c r="BF542" t="str">
        <f>HYPERLINK("http://dx.doi.org/10.1175/JAS-D-15-0008.1","http://dx.doi.org/10.1175/JAS-D-15-0008.1")</f>
        <v>http://dx.doi.org/10.1175/JAS-D-15-0008.1</v>
      </c>
      <c r="BG542" t="s">
        <v>74</v>
      </c>
      <c r="BH542" t="s">
        <v>74</v>
      </c>
      <c r="BI542">
        <v>12</v>
      </c>
      <c r="BJ542" t="s">
        <v>271</v>
      </c>
      <c r="BK542" t="s">
        <v>101</v>
      </c>
      <c r="BL542" t="s">
        <v>271</v>
      </c>
      <c r="BM542" t="s">
        <v>10655</v>
      </c>
      <c r="BN542" t="s">
        <v>74</v>
      </c>
      <c r="BO542" t="s">
        <v>1235</v>
      </c>
      <c r="BP542" t="s">
        <v>74</v>
      </c>
      <c r="BQ542" t="s">
        <v>74</v>
      </c>
      <c r="BR542" t="s">
        <v>103</v>
      </c>
      <c r="BS542" t="s">
        <v>10656</v>
      </c>
      <c r="BT542" t="str">
        <f>HYPERLINK("https%3A%2F%2Fwww.webofscience.com%2Fwos%2Fwoscc%2Ffull-record%2FWOS:000359350400009","View Full Record in Web of Science")</f>
        <v>View Full Record in Web of Science</v>
      </c>
    </row>
    <row r="543" spans="1:72" x14ac:dyDescent="0.15">
      <c r="A543" t="s">
        <v>72</v>
      </c>
      <c r="B543" t="s">
        <v>10657</v>
      </c>
      <c r="C543" t="s">
        <v>74</v>
      </c>
      <c r="D543" t="s">
        <v>74</v>
      </c>
      <c r="E543" t="s">
        <v>74</v>
      </c>
      <c r="F543" t="s">
        <v>10658</v>
      </c>
      <c r="G543" t="s">
        <v>74</v>
      </c>
      <c r="H543" t="s">
        <v>74</v>
      </c>
      <c r="I543" t="s">
        <v>10659</v>
      </c>
      <c r="J543" t="s">
        <v>10660</v>
      </c>
      <c r="K543" t="s">
        <v>74</v>
      </c>
      <c r="L543" t="s">
        <v>74</v>
      </c>
      <c r="M543" t="s">
        <v>78</v>
      </c>
      <c r="N543" t="s">
        <v>79</v>
      </c>
      <c r="O543" t="s">
        <v>74</v>
      </c>
      <c r="P543" t="s">
        <v>74</v>
      </c>
      <c r="Q543" t="s">
        <v>74</v>
      </c>
      <c r="R543" t="s">
        <v>74</v>
      </c>
      <c r="S543" t="s">
        <v>74</v>
      </c>
      <c r="T543" t="s">
        <v>10661</v>
      </c>
      <c r="U543" t="s">
        <v>10662</v>
      </c>
      <c r="V543" t="s">
        <v>10663</v>
      </c>
      <c r="W543" t="s">
        <v>10664</v>
      </c>
      <c r="X543" t="s">
        <v>10665</v>
      </c>
      <c r="Y543" t="s">
        <v>10666</v>
      </c>
      <c r="Z543" t="s">
        <v>10667</v>
      </c>
      <c r="AA543" t="s">
        <v>10668</v>
      </c>
      <c r="AB543" t="s">
        <v>10669</v>
      </c>
      <c r="AC543" t="s">
        <v>74</v>
      </c>
      <c r="AD543" t="s">
        <v>74</v>
      </c>
      <c r="AE543" t="s">
        <v>74</v>
      </c>
      <c r="AF543" t="s">
        <v>74</v>
      </c>
      <c r="AG543">
        <v>88</v>
      </c>
      <c r="AH543">
        <v>4</v>
      </c>
      <c r="AI543">
        <v>5</v>
      </c>
      <c r="AJ543">
        <v>0</v>
      </c>
      <c r="AK543">
        <v>9</v>
      </c>
      <c r="AL543" t="s">
        <v>208</v>
      </c>
      <c r="AM543" t="s">
        <v>209</v>
      </c>
      <c r="AN543" t="s">
        <v>10670</v>
      </c>
      <c r="AO543" t="s">
        <v>10671</v>
      </c>
      <c r="AP543" t="s">
        <v>10672</v>
      </c>
      <c r="AQ543" t="s">
        <v>74</v>
      </c>
      <c r="AR543" t="s">
        <v>10673</v>
      </c>
      <c r="AS543" t="s">
        <v>10674</v>
      </c>
      <c r="AT543" t="s">
        <v>9714</v>
      </c>
      <c r="AU543">
        <v>2015</v>
      </c>
      <c r="AV543">
        <v>1</v>
      </c>
      <c r="AW543">
        <v>3</v>
      </c>
      <c r="AX543" t="s">
        <v>74</v>
      </c>
      <c r="AY543" t="s">
        <v>74</v>
      </c>
      <c r="AZ543" t="s">
        <v>74</v>
      </c>
      <c r="BA543" t="s">
        <v>74</v>
      </c>
      <c r="BB543" t="s">
        <v>74</v>
      </c>
      <c r="BC543" t="s">
        <v>74</v>
      </c>
      <c r="BD543" t="s">
        <v>74</v>
      </c>
      <c r="BE543" t="s">
        <v>10675</v>
      </c>
      <c r="BF543" t="str">
        <f>HYPERLINK("http://dx.doi.org/10.1002/spp2.1018","http://dx.doi.org/10.1002/spp2.1018")</f>
        <v>http://dx.doi.org/10.1002/spp2.1018</v>
      </c>
      <c r="BG543" t="s">
        <v>74</v>
      </c>
      <c r="BH543" t="s">
        <v>74</v>
      </c>
      <c r="BI543">
        <v>25</v>
      </c>
      <c r="BJ543" t="s">
        <v>2149</v>
      </c>
      <c r="BK543" t="s">
        <v>101</v>
      </c>
      <c r="BL543" t="s">
        <v>2149</v>
      </c>
      <c r="BM543" t="s">
        <v>10676</v>
      </c>
      <c r="BN543" t="s">
        <v>74</v>
      </c>
      <c r="BO543" t="s">
        <v>74</v>
      </c>
      <c r="BP543" t="s">
        <v>74</v>
      </c>
      <c r="BQ543" t="s">
        <v>74</v>
      </c>
      <c r="BR543" t="s">
        <v>103</v>
      </c>
      <c r="BS543" t="s">
        <v>10677</v>
      </c>
      <c r="BT543" t="str">
        <f>HYPERLINK("https%3A%2F%2Fwww.webofscience.com%2Fwos%2Fwoscc%2Ffull-record%2FWOS:000359304900005","View Full Record in Web of Science")</f>
        <v>View Full Record in Web of Science</v>
      </c>
    </row>
    <row r="544" spans="1:72" x14ac:dyDescent="0.15">
      <c r="A544" t="s">
        <v>72</v>
      </c>
      <c r="B544" t="s">
        <v>10678</v>
      </c>
      <c r="C544" t="s">
        <v>74</v>
      </c>
      <c r="D544" t="s">
        <v>74</v>
      </c>
      <c r="E544" t="s">
        <v>74</v>
      </c>
      <c r="F544" t="s">
        <v>10679</v>
      </c>
      <c r="G544" t="s">
        <v>74</v>
      </c>
      <c r="H544" t="s">
        <v>74</v>
      </c>
      <c r="I544" t="s">
        <v>10680</v>
      </c>
      <c r="J544" t="s">
        <v>10681</v>
      </c>
      <c r="K544" t="s">
        <v>74</v>
      </c>
      <c r="L544" t="s">
        <v>74</v>
      </c>
      <c r="M544" t="s">
        <v>78</v>
      </c>
      <c r="N544" t="s">
        <v>79</v>
      </c>
      <c r="O544" t="s">
        <v>74</v>
      </c>
      <c r="P544" t="s">
        <v>74</v>
      </c>
      <c r="Q544" t="s">
        <v>74</v>
      </c>
      <c r="R544" t="s">
        <v>74</v>
      </c>
      <c r="S544" t="s">
        <v>74</v>
      </c>
      <c r="T544" t="s">
        <v>10682</v>
      </c>
      <c r="U544" t="s">
        <v>10683</v>
      </c>
      <c r="V544" t="s">
        <v>10684</v>
      </c>
      <c r="W544" t="s">
        <v>10685</v>
      </c>
      <c r="X544" t="s">
        <v>10686</v>
      </c>
      <c r="Y544" t="s">
        <v>10687</v>
      </c>
      <c r="Z544" t="s">
        <v>10688</v>
      </c>
      <c r="AA544" t="s">
        <v>74</v>
      </c>
      <c r="AB544" t="s">
        <v>10689</v>
      </c>
      <c r="AC544" t="s">
        <v>74</v>
      </c>
      <c r="AD544" t="s">
        <v>74</v>
      </c>
      <c r="AE544" t="s">
        <v>74</v>
      </c>
      <c r="AF544" t="s">
        <v>74</v>
      </c>
      <c r="AG544">
        <v>27</v>
      </c>
      <c r="AH544">
        <v>4</v>
      </c>
      <c r="AI544">
        <v>5</v>
      </c>
      <c r="AJ544">
        <v>0</v>
      </c>
      <c r="AK544">
        <v>7</v>
      </c>
      <c r="AL544" t="s">
        <v>92</v>
      </c>
      <c r="AM544" t="s">
        <v>550</v>
      </c>
      <c r="AN544" t="s">
        <v>4772</v>
      </c>
      <c r="AO544" t="s">
        <v>10690</v>
      </c>
      <c r="AP544" t="s">
        <v>10691</v>
      </c>
      <c r="AQ544" t="s">
        <v>74</v>
      </c>
      <c r="AR544" t="s">
        <v>10692</v>
      </c>
      <c r="AS544" t="s">
        <v>10693</v>
      </c>
      <c r="AT544" t="s">
        <v>9714</v>
      </c>
      <c r="AU544">
        <v>2015</v>
      </c>
      <c r="AV544">
        <v>34</v>
      </c>
      <c r="AW544">
        <v>4</v>
      </c>
      <c r="AX544" t="s">
        <v>74</v>
      </c>
      <c r="AY544" t="s">
        <v>74</v>
      </c>
      <c r="AZ544" t="s">
        <v>74</v>
      </c>
      <c r="BA544" t="s">
        <v>74</v>
      </c>
      <c r="BB544">
        <v>275</v>
      </c>
      <c r="BC544">
        <v>283</v>
      </c>
      <c r="BD544" t="s">
        <v>74</v>
      </c>
      <c r="BE544" t="s">
        <v>10694</v>
      </c>
      <c r="BF544" t="str">
        <f>HYPERLINK("http://dx.doi.org/10.1007/s10930-015-9623-0","http://dx.doi.org/10.1007/s10930-015-9623-0")</f>
        <v>http://dx.doi.org/10.1007/s10930-015-9623-0</v>
      </c>
      <c r="BG544" t="s">
        <v>74</v>
      </c>
      <c r="BH544" t="s">
        <v>74</v>
      </c>
      <c r="BI544">
        <v>9</v>
      </c>
      <c r="BJ544" t="s">
        <v>2921</v>
      </c>
      <c r="BK544" t="s">
        <v>101</v>
      </c>
      <c r="BL544" t="s">
        <v>2921</v>
      </c>
      <c r="BM544" t="s">
        <v>10695</v>
      </c>
      <c r="BN544">
        <v>26242868</v>
      </c>
      <c r="BO544" t="s">
        <v>74</v>
      </c>
      <c r="BP544" t="s">
        <v>74</v>
      </c>
      <c r="BQ544" t="s">
        <v>74</v>
      </c>
      <c r="BR544" t="s">
        <v>103</v>
      </c>
      <c r="BS544" t="s">
        <v>10696</v>
      </c>
      <c r="BT544" t="str">
        <f>HYPERLINK("https%3A%2F%2Fwww.webofscience.com%2Fwos%2Fwoscc%2Ffull-record%2FWOS:000359809700005","View Full Record in Web of Science")</f>
        <v>View Full Record in Web of Science</v>
      </c>
    </row>
    <row r="545" spans="1:72" x14ac:dyDescent="0.15">
      <c r="A545" t="s">
        <v>72</v>
      </c>
      <c r="B545" t="s">
        <v>10697</v>
      </c>
      <c r="C545" t="s">
        <v>74</v>
      </c>
      <c r="D545" t="s">
        <v>74</v>
      </c>
      <c r="E545" t="s">
        <v>74</v>
      </c>
      <c r="F545" t="s">
        <v>10698</v>
      </c>
      <c r="G545" t="s">
        <v>74</v>
      </c>
      <c r="H545" t="s">
        <v>74</v>
      </c>
      <c r="I545" t="s">
        <v>10699</v>
      </c>
      <c r="J545" t="s">
        <v>10700</v>
      </c>
      <c r="K545" t="s">
        <v>74</v>
      </c>
      <c r="L545" t="s">
        <v>74</v>
      </c>
      <c r="M545" t="s">
        <v>78</v>
      </c>
      <c r="N545" t="s">
        <v>79</v>
      </c>
      <c r="O545" t="s">
        <v>74</v>
      </c>
      <c r="P545" t="s">
        <v>74</v>
      </c>
      <c r="Q545" t="s">
        <v>74</v>
      </c>
      <c r="R545" t="s">
        <v>74</v>
      </c>
      <c r="S545" t="s">
        <v>74</v>
      </c>
      <c r="T545" t="s">
        <v>10701</v>
      </c>
      <c r="U545" t="s">
        <v>74</v>
      </c>
      <c r="V545" t="s">
        <v>10702</v>
      </c>
      <c r="W545" t="s">
        <v>10703</v>
      </c>
      <c r="X545" t="s">
        <v>10704</v>
      </c>
      <c r="Y545" t="s">
        <v>10705</v>
      </c>
      <c r="Z545" t="s">
        <v>10706</v>
      </c>
      <c r="AA545" t="s">
        <v>74</v>
      </c>
      <c r="AB545" t="s">
        <v>74</v>
      </c>
      <c r="AC545" t="s">
        <v>74</v>
      </c>
      <c r="AD545" t="s">
        <v>74</v>
      </c>
      <c r="AE545" t="s">
        <v>74</v>
      </c>
      <c r="AF545" t="s">
        <v>74</v>
      </c>
      <c r="AG545">
        <v>51</v>
      </c>
      <c r="AH545">
        <v>1</v>
      </c>
      <c r="AI545">
        <v>1</v>
      </c>
      <c r="AJ545">
        <v>0</v>
      </c>
      <c r="AK545">
        <v>5</v>
      </c>
      <c r="AL545" t="s">
        <v>7560</v>
      </c>
      <c r="AM545" t="s">
        <v>180</v>
      </c>
      <c r="AN545" t="s">
        <v>7561</v>
      </c>
      <c r="AO545" t="s">
        <v>10707</v>
      </c>
      <c r="AP545" t="s">
        <v>10708</v>
      </c>
      <c r="AQ545" t="s">
        <v>74</v>
      </c>
      <c r="AR545" t="s">
        <v>10709</v>
      </c>
      <c r="AS545" t="s">
        <v>10710</v>
      </c>
      <c r="AT545" t="s">
        <v>9714</v>
      </c>
      <c r="AU545">
        <v>2015</v>
      </c>
      <c r="AV545">
        <v>27</v>
      </c>
      <c r="AW545">
        <v>3</v>
      </c>
      <c r="AX545" t="s">
        <v>74</v>
      </c>
      <c r="AY545" t="s">
        <v>74</v>
      </c>
      <c r="AZ545" t="s">
        <v>74</v>
      </c>
      <c r="BA545" t="s">
        <v>74</v>
      </c>
      <c r="BB545">
        <v>411</v>
      </c>
      <c r="BC545">
        <v>433</v>
      </c>
      <c r="BD545" t="s">
        <v>74</v>
      </c>
      <c r="BE545" t="s">
        <v>10711</v>
      </c>
      <c r="BF545" t="str">
        <f>HYPERLINK("http://dx.doi.org/10.1177/0843871415587249","http://dx.doi.org/10.1177/0843871415587249")</f>
        <v>http://dx.doi.org/10.1177/0843871415587249</v>
      </c>
      <c r="BG545" t="s">
        <v>74</v>
      </c>
      <c r="BH545" t="s">
        <v>74</v>
      </c>
      <c r="BI545">
        <v>23</v>
      </c>
      <c r="BJ545" t="s">
        <v>2326</v>
      </c>
      <c r="BK545" t="s">
        <v>831</v>
      </c>
      <c r="BL545" t="s">
        <v>2326</v>
      </c>
      <c r="BM545" t="s">
        <v>10712</v>
      </c>
      <c r="BN545" t="s">
        <v>74</v>
      </c>
      <c r="BO545" t="s">
        <v>74</v>
      </c>
      <c r="BP545" t="s">
        <v>74</v>
      </c>
      <c r="BQ545" t="s">
        <v>74</v>
      </c>
      <c r="BR545" t="s">
        <v>103</v>
      </c>
      <c r="BS545" t="s">
        <v>10713</v>
      </c>
      <c r="BT545" t="str">
        <f>HYPERLINK("https%3A%2F%2Fwww.webofscience.com%2Fwos%2Fwoscc%2Ffull-record%2FWOS:000359150300003","View Full Record in Web of Science")</f>
        <v>View Full Record in Web of Science</v>
      </c>
    </row>
    <row r="546" spans="1:72" x14ac:dyDescent="0.15">
      <c r="A546" t="s">
        <v>72</v>
      </c>
      <c r="B546" t="s">
        <v>10714</v>
      </c>
      <c r="C546" t="s">
        <v>74</v>
      </c>
      <c r="D546" t="s">
        <v>74</v>
      </c>
      <c r="E546" t="s">
        <v>74</v>
      </c>
      <c r="F546" t="s">
        <v>10715</v>
      </c>
      <c r="G546" t="s">
        <v>74</v>
      </c>
      <c r="H546" t="s">
        <v>74</v>
      </c>
      <c r="I546" t="s">
        <v>10716</v>
      </c>
      <c r="J546" t="s">
        <v>10700</v>
      </c>
      <c r="K546" t="s">
        <v>74</v>
      </c>
      <c r="L546" t="s">
        <v>74</v>
      </c>
      <c r="M546" t="s">
        <v>78</v>
      </c>
      <c r="N546" t="s">
        <v>2317</v>
      </c>
      <c r="O546" t="s">
        <v>74</v>
      </c>
      <c r="P546" t="s">
        <v>74</v>
      </c>
      <c r="Q546" t="s">
        <v>74</v>
      </c>
      <c r="R546" t="s">
        <v>74</v>
      </c>
      <c r="S546" t="s">
        <v>74</v>
      </c>
      <c r="T546" t="s">
        <v>74</v>
      </c>
      <c r="U546" t="s">
        <v>74</v>
      </c>
      <c r="V546" t="s">
        <v>74</v>
      </c>
      <c r="W546" t="s">
        <v>10717</v>
      </c>
      <c r="X546" t="s">
        <v>10718</v>
      </c>
      <c r="Y546" t="s">
        <v>10719</v>
      </c>
      <c r="Z546" t="s">
        <v>74</v>
      </c>
      <c r="AA546" t="s">
        <v>74</v>
      </c>
      <c r="AB546" t="s">
        <v>74</v>
      </c>
      <c r="AC546" t="s">
        <v>74</v>
      </c>
      <c r="AD546" t="s">
        <v>74</v>
      </c>
      <c r="AE546" t="s">
        <v>74</v>
      </c>
      <c r="AF546" t="s">
        <v>74</v>
      </c>
      <c r="AG546">
        <v>1</v>
      </c>
      <c r="AH546">
        <v>0</v>
      </c>
      <c r="AI546">
        <v>0</v>
      </c>
      <c r="AJ546">
        <v>0</v>
      </c>
      <c r="AK546">
        <v>1</v>
      </c>
      <c r="AL546" t="s">
        <v>7560</v>
      </c>
      <c r="AM546" t="s">
        <v>180</v>
      </c>
      <c r="AN546" t="s">
        <v>7561</v>
      </c>
      <c r="AO546" t="s">
        <v>10707</v>
      </c>
      <c r="AP546" t="s">
        <v>10708</v>
      </c>
      <c r="AQ546" t="s">
        <v>74</v>
      </c>
      <c r="AR546" t="s">
        <v>10709</v>
      </c>
      <c r="AS546" t="s">
        <v>10710</v>
      </c>
      <c r="AT546" t="s">
        <v>9714</v>
      </c>
      <c r="AU546">
        <v>2015</v>
      </c>
      <c r="AV546">
        <v>27</v>
      </c>
      <c r="AW546">
        <v>3</v>
      </c>
      <c r="AX546" t="s">
        <v>74</v>
      </c>
      <c r="AY546" t="s">
        <v>74</v>
      </c>
      <c r="AZ546" t="s">
        <v>74</v>
      </c>
      <c r="BA546" t="s">
        <v>74</v>
      </c>
      <c r="BB546">
        <v>581</v>
      </c>
      <c r="BC546">
        <v>583</v>
      </c>
      <c r="BD546" t="s">
        <v>74</v>
      </c>
      <c r="BE546" t="s">
        <v>10720</v>
      </c>
      <c r="BF546" t="str">
        <f>HYPERLINK("http://dx.doi.org/10.1177/0843871415586662f","http://dx.doi.org/10.1177/0843871415586662f")</f>
        <v>http://dx.doi.org/10.1177/0843871415586662f</v>
      </c>
      <c r="BG546" t="s">
        <v>74</v>
      </c>
      <c r="BH546" t="s">
        <v>74</v>
      </c>
      <c r="BI546">
        <v>3</v>
      </c>
      <c r="BJ546" t="s">
        <v>2326</v>
      </c>
      <c r="BK546" t="s">
        <v>831</v>
      </c>
      <c r="BL546" t="s">
        <v>2326</v>
      </c>
      <c r="BM546" t="s">
        <v>10712</v>
      </c>
      <c r="BN546" t="s">
        <v>74</v>
      </c>
      <c r="BO546" t="s">
        <v>74</v>
      </c>
      <c r="BP546" t="s">
        <v>74</v>
      </c>
      <c r="BQ546" t="s">
        <v>74</v>
      </c>
      <c r="BR546" t="s">
        <v>103</v>
      </c>
      <c r="BS546" t="s">
        <v>10721</v>
      </c>
      <c r="BT546" t="str">
        <f>HYPERLINK("https%3A%2F%2Fwww.webofscience.com%2Fwos%2Fwoscc%2Ffull-record%2FWOS:000359150300017","View Full Record in Web of Science")</f>
        <v>View Full Record in Web of Science</v>
      </c>
    </row>
    <row r="547" spans="1:72" x14ac:dyDescent="0.15">
      <c r="A547" t="s">
        <v>72</v>
      </c>
      <c r="B547" t="s">
        <v>10722</v>
      </c>
      <c r="C547" t="s">
        <v>74</v>
      </c>
      <c r="D547" t="s">
        <v>74</v>
      </c>
      <c r="E547" t="s">
        <v>74</v>
      </c>
      <c r="F547" t="s">
        <v>10723</v>
      </c>
      <c r="G547" t="s">
        <v>74</v>
      </c>
      <c r="H547" t="s">
        <v>74</v>
      </c>
      <c r="I547" t="s">
        <v>10724</v>
      </c>
      <c r="J547" t="s">
        <v>7015</v>
      </c>
      <c r="K547" t="s">
        <v>74</v>
      </c>
      <c r="L547" t="s">
        <v>74</v>
      </c>
      <c r="M547" t="s">
        <v>78</v>
      </c>
      <c r="N547" t="s">
        <v>79</v>
      </c>
      <c r="O547" t="s">
        <v>74</v>
      </c>
      <c r="P547" t="s">
        <v>74</v>
      </c>
      <c r="Q547" t="s">
        <v>74</v>
      </c>
      <c r="R547" t="s">
        <v>74</v>
      </c>
      <c r="S547" t="s">
        <v>74</v>
      </c>
      <c r="T547" t="s">
        <v>10725</v>
      </c>
      <c r="U547" t="s">
        <v>10726</v>
      </c>
      <c r="V547" t="s">
        <v>10727</v>
      </c>
      <c r="W547" t="s">
        <v>10728</v>
      </c>
      <c r="X547" t="s">
        <v>10729</v>
      </c>
      <c r="Y547" t="s">
        <v>10730</v>
      </c>
      <c r="Z547" t="s">
        <v>10731</v>
      </c>
      <c r="AA547" t="s">
        <v>10732</v>
      </c>
      <c r="AB547" t="s">
        <v>10733</v>
      </c>
      <c r="AC547" t="s">
        <v>10734</v>
      </c>
      <c r="AD547" t="s">
        <v>10735</v>
      </c>
      <c r="AE547" t="s">
        <v>10736</v>
      </c>
      <c r="AF547" t="s">
        <v>74</v>
      </c>
      <c r="AG547">
        <v>42</v>
      </c>
      <c r="AH547">
        <v>14</v>
      </c>
      <c r="AI547">
        <v>15</v>
      </c>
      <c r="AJ547">
        <v>1</v>
      </c>
      <c r="AK547">
        <v>21</v>
      </c>
      <c r="AL547" t="s">
        <v>92</v>
      </c>
      <c r="AM547" t="s">
        <v>550</v>
      </c>
      <c r="AN547" t="s">
        <v>1398</v>
      </c>
      <c r="AO547" t="s">
        <v>7028</v>
      </c>
      <c r="AP547" t="s">
        <v>7029</v>
      </c>
      <c r="AQ547" t="s">
        <v>74</v>
      </c>
      <c r="AR547" t="s">
        <v>7030</v>
      </c>
      <c r="AS547" t="s">
        <v>7031</v>
      </c>
      <c r="AT547" t="s">
        <v>9714</v>
      </c>
      <c r="AU547">
        <v>2015</v>
      </c>
      <c r="AV547">
        <v>34</v>
      </c>
      <c r="AW547">
        <v>8</v>
      </c>
      <c r="AX547" t="s">
        <v>74</v>
      </c>
      <c r="AY547" t="s">
        <v>74</v>
      </c>
      <c r="AZ547" t="s">
        <v>74</v>
      </c>
      <c r="BA547" t="s">
        <v>74</v>
      </c>
      <c r="BB547">
        <v>73</v>
      </c>
      <c r="BC547">
        <v>82</v>
      </c>
      <c r="BD547" t="s">
        <v>74</v>
      </c>
      <c r="BE547" t="s">
        <v>10737</v>
      </c>
      <c r="BF547" t="str">
        <f>HYPERLINK("http://dx.doi.org/10.1007/s13131-015-0709-5","http://dx.doi.org/10.1007/s13131-015-0709-5")</f>
        <v>http://dx.doi.org/10.1007/s13131-015-0709-5</v>
      </c>
      <c r="BG547" t="s">
        <v>74</v>
      </c>
      <c r="BH547" t="s">
        <v>74</v>
      </c>
      <c r="BI547">
        <v>10</v>
      </c>
      <c r="BJ547" t="s">
        <v>339</v>
      </c>
      <c r="BK547" t="s">
        <v>101</v>
      </c>
      <c r="BL547" t="s">
        <v>339</v>
      </c>
      <c r="BM547" t="s">
        <v>10738</v>
      </c>
      <c r="BN547" t="s">
        <v>74</v>
      </c>
      <c r="BO547" t="s">
        <v>74</v>
      </c>
      <c r="BP547" t="s">
        <v>74</v>
      </c>
      <c r="BQ547" t="s">
        <v>74</v>
      </c>
      <c r="BR547" t="s">
        <v>103</v>
      </c>
      <c r="BS547" t="s">
        <v>10739</v>
      </c>
      <c r="BT547" t="str">
        <f>HYPERLINK("https%3A%2F%2Fwww.webofscience.com%2Fwos%2Fwoscc%2Ffull-record%2FWOS:000358962200009","View Full Record in Web of Science")</f>
        <v>View Full Record in Web of Science</v>
      </c>
    </row>
    <row r="548" spans="1:72" x14ac:dyDescent="0.15">
      <c r="A548" t="s">
        <v>72</v>
      </c>
      <c r="B548" t="s">
        <v>10740</v>
      </c>
      <c r="C548" t="s">
        <v>74</v>
      </c>
      <c r="D548" t="s">
        <v>74</v>
      </c>
      <c r="E548" t="s">
        <v>74</v>
      </c>
      <c r="F548" t="s">
        <v>10741</v>
      </c>
      <c r="G548" t="s">
        <v>74</v>
      </c>
      <c r="H548" t="s">
        <v>74</v>
      </c>
      <c r="I548" t="s">
        <v>10742</v>
      </c>
      <c r="J548" t="s">
        <v>7080</v>
      </c>
      <c r="K548" t="s">
        <v>74</v>
      </c>
      <c r="L548" t="s">
        <v>74</v>
      </c>
      <c r="M548" t="s">
        <v>78</v>
      </c>
      <c r="N548" t="s">
        <v>79</v>
      </c>
      <c r="O548" t="s">
        <v>74</v>
      </c>
      <c r="P548" t="s">
        <v>74</v>
      </c>
      <c r="Q548" t="s">
        <v>74</v>
      </c>
      <c r="R548" t="s">
        <v>74</v>
      </c>
      <c r="S548" t="s">
        <v>74</v>
      </c>
      <c r="T548" t="s">
        <v>10743</v>
      </c>
      <c r="U548" t="s">
        <v>10744</v>
      </c>
      <c r="V548" t="s">
        <v>10745</v>
      </c>
      <c r="W548" t="s">
        <v>10746</v>
      </c>
      <c r="X548" t="s">
        <v>10747</v>
      </c>
      <c r="Y548" t="s">
        <v>10748</v>
      </c>
      <c r="Z548" t="s">
        <v>10749</v>
      </c>
      <c r="AA548" t="s">
        <v>10750</v>
      </c>
      <c r="AB548" t="s">
        <v>10751</v>
      </c>
      <c r="AC548" t="s">
        <v>10752</v>
      </c>
      <c r="AD548" t="s">
        <v>10753</v>
      </c>
      <c r="AE548" t="s">
        <v>10754</v>
      </c>
      <c r="AF548" t="s">
        <v>74</v>
      </c>
      <c r="AG548">
        <v>42</v>
      </c>
      <c r="AH548">
        <v>3</v>
      </c>
      <c r="AI548">
        <v>3</v>
      </c>
      <c r="AJ548">
        <v>0</v>
      </c>
      <c r="AK548">
        <v>24</v>
      </c>
      <c r="AL548" t="s">
        <v>7091</v>
      </c>
      <c r="AM548" t="s">
        <v>7092</v>
      </c>
      <c r="AN548" t="s">
        <v>7093</v>
      </c>
      <c r="AO548" t="s">
        <v>7094</v>
      </c>
      <c r="AP548" t="s">
        <v>7095</v>
      </c>
      <c r="AQ548" t="s">
        <v>74</v>
      </c>
      <c r="AR548" t="s">
        <v>7096</v>
      </c>
      <c r="AS548" t="s">
        <v>7097</v>
      </c>
      <c r="AT548" t="s">
        <v>9714</v>
      </c>
      <c r="AU548">
        <v>2015</v>
      </c>
      <c r="AV548">
        <v>93</v>
      </c>
      <c r="AW548">
        <v>8</v>
      </c>
      <c r="AX548" t="s">
        <v>74</v>
      </c>
      <c r="AY548" t="s">
        <v>74</v>
      </c>
      <c r="AZ548" t="s">
        <v>74</v>
      </c>
      <c r="BA548" t="s">
        <v>74</v>
      </c>
      <c r="BB548">
        <v>589</v>
      </c>
      <c r="BC548">
        <v>592</v>
      </c>
      <c r="BD548" t="s">
        <v>74</v>
      </c>
      <c r="BE548" t="s">
        <v>10755</v>
      </c>
      <c r="BF548" t="str">
        <f>HYPERLINK("http://dx.doi.org/10.1139/cjz-2015-0036","http://dx.doi.org/10.1139/cjz-2015-0036")</f>
        <v>http://dx.doi.org/10.1139/cjz-2015-0036</v>
      </c>
      <c r="BG548" t="s">
        <v>74</v>
      </c>
      <c r="BH548" t="s">
        <v>74</v>
      </c>
      <c r="BI548">
        <v>4</v>
      </c>
      <c r="BJ548" t="s">
        <v>243</v>
      </c>
      <c r="BK548" t="s">
        <v>101</v>
      </c>
      <c r="BL548" t="s">
        <v>243</v>
      </c>
      <c r="BM548" t="s">
        <v>10756</v>
      </c>
      <c r="BN548" t="s">
        <v>74</v>
      </c>
      <c r="BO548" t="s">
        <v>74</v>
      </c>
      <c r="BP548" t="s">
        <v>74</v>
      </c>
      <c r="BQ548" t="s">
        <v>74</v>
      </c>
      <c r="BR548" t="s">
        <v>103</v>
      </c>
      <c r="BS548" t="s">
        <v>10757</v>
      </c>
      <c r="BT548" t="str">
        <f>HYPERLINK("https%3A%2F%2Fwww.webofscience.com%2Fwos%2Fwoscc%2Ffull-record%2FWOS:000359262800001","View Full Record in Web of Science")</f>
        <v>View Full Record in Web of Science</v>
      </c>
    </row>
    <row r="549" spans="1:72" x14ac:dyDescent="0.15">
      <c r="A549" t="s">
        <v>72</v>
      </c>
      <c r="B549" t="s">
        <v>10758</v>
      </c>
      <c r="C549" t="s">
        <v>74</v>
      </c>
      <c r="D549" t="s">
        <v>74</v>
      </c>
      <c r="E549" t="s">
        <v>74</v>
      </c>
      <c r="F549" t="s">
        <v>10759</v>
      </c>
      <c r="G549" t="s">
        <v>74</v>
      </c>
      <c r="H549" t="s">
        <v>74</v>
      </c>
      <c r="I549" t="s">
        <v>10760</v>
      </c>
      <c r="J549" t="s">
        <v>3406</v>
      </c>
      <c r="K549" t="s">
        <v>74</v>
      </c>
      <c r="L549" t="s">
        <v>74</v>
      </c>
      <c r="M549" t="s">
        <v>78</v>
      </c>
      <c r="N549" t="s">
        <v>79</v>
      </c>
      <c r="O549" t="s">
        <v>74</v>
      </c>
      <c r="P549" t="s">
        <v>74</v>
      </c>
      <c r="Q549" t="s">
        <v>74</v>
      </c>
      <c r="R549" t="s">
        <v>74</v>
      </c>
      <c r="S549" t="s">
        <v>74</v>
      </c>
      <c r="T549" t="s">
        <v>74</v>
      </c>
      <c r="U549" t="s">
        <v>10761</v>
      </c>
      <c r="V549" t="s">
        <v>10762</v>
      </c>
      <c r="W549" t="s">
        <v>10763</v>
      </c>
      <c r="X549" t="s">
        <v>10764</v>
      </c>
      <c r="Y549" t="s">
        <v>10765</v>
      </c>
      <c r="Z549" t="s">
        <v>10766</v>
      </c>
      <c r="AA549" t="s">
        <v>10767</v>
      </c>
      <c r="AB549" t="s">
        <v>10768</v>
      </c>
      <c r="AC549" t="s">
        <v>10769</v>
      </c>
      <c r="AD549" t="s">
        <v>10770</v>
      </c>
      <c r="AE549" t="s">
        <v>10771</v>
      </c>
      <c r="AF549" t="s">
        <v>74</v>
      </c>
      <c r="AG549">
        <v>14</v>
      </c>
      <c r="AH549">
        <v>21</v>
      </c>
      <c r="AI549">
        <v>22</v>
      </c>
      <c r="AJ549">
        <v>0</v>
      </c>
      <c r="AK549">
        <v>21</v>
      </c>
      <c r="AL549" t="s">
        <v>3418</v>
      </c>
      <c r="AM549" t="s">
        <v>3419</v>
      </c>
      <c r="AN549" t="s">
        <v>3420</v>
      </c>
      <c r="AO549" t="s">
        <v>3421</v>
      </c>
      <c r="AP549" t="s">
        <v>3422</v>
      </c>
      <c r="AQ549" t="s">
        <v>74</v>
      </c>
      <c r="AR549" t="s">
        <v>3406</v>
      </c>
      <c r="AS549" t="s">
        <v>315</v>
      </c>
      <c r="AT549" t="s">
        <v>9714</v>
      </c>
      <c r="AU549">
        <v>2015</v>
      </c>
      <c r="AV549">
        <v>43</v>
      </c>
      <c r="AW549">
        <v>8</v>
      </c>
      <c r="AX549" t="s">
        <v>74</v>
      </c>
      <c r="AY549" t="s">
        <v>74</v>
      </c>
      <c r="AZ549" t="s">
        <v>74</v>
      </c>
      <c r="BA549" t="s">
        <v>74</v>
      </c>
      <c r="BB549">
        <v>747</v>
      </c>
      <c r="BC549">
        <v>750</v>
      </c>
      <c r="BD549" t="s">
        <v>74</v>
      </c>
      <c r="BE549" t="s">
        <v>10772</v>
      </c>
      <c r="BF549" t="str">
        <f>HYPERLINK("http://dx.doi.org/10.1130/G36735.1","http://dx.doi.org/10.1130/G36735.1")</f>
        <v>http://dx.doi.org/10.1130/G36735.1</v>
      </c>
      <c r="BG549" t="s">
        <v>74</v>
      </c>
      <c r="BH549" t="s">
        <v>74</v>
      </c>
      <c r="BI549">
        <v>4</v>
      </c>
      <c r="BJ549" t="s">
        <v>315</v>
      </c>
      <c r="BK549" t="s">
        <v>101</v>
      </c>
      <c r="BL549" t="s">
        <v>315</v>
      </c>
      <c r="BM549" t="s">
        <v>10773</v>
      </c>
      <c r="BN549" t="s">
        <v>74</v>
      </c>
      <c r="BO549" t="s">
        <v>559</v>
      </c>
      <c r="BP549" t="s">
        <v>74</v>
      </c>
      <c r="BQ549" t="s">
        <v>74</v>
      </c>
      <c r="BR549" t="s">
        <v>103</v>
      </c>
      <c r="BS549" t="s">
        <v>10774</v>
      </c>
      <c r="BT549" t="str">
        <f>HYPERLINK("https%3A%2F%2Fwww.webofscience.com%2Fwos%2Fwoscc%2Ffull-record%2FWOS:000359014600023","View Full Record in Web of Science")</f>
        <v>View Full Record in Web of Science</v>
      </c>
    </row>
    <row r="550" spans="1:72" x14ac:dyDescent="0.15">
      <c r="A550" t="s">
        <v>72</v>
      </c>
      <c r="B550" t="s">
        <v>10775</v>
      </c>
      <c r="C550" t="s">
        <v>74</v>
      </c>
      <c r="D550" t="s">
        <v>74</v>
      </c>
      <c r="E550" t="s">
        <v>74</v>
      </c>
      <c r="F550" t="s">
        <v>10776</v>
      </c>
      <c r="G550" t="s">
        <v>74</v>
      </c>
      <c r="H550" t="s">
        <v>74</v>
      </c>
      <c r="I550" t="s">
        <v>10777</v>
      </c>
      <c r="J550" t="s">
        <v>3181</v>
      </c>
      <c r="K550" t="s">
        <v>74</v>
      </c>
      <c r="L550" t="s">
        <v>74</v>
      </c>
      <c r="M550" t="s">
        <v>78</v>
      </c>
      <c r="N550" t="s">
        <v>52</v>
      </c>
      <c r="O550" t="s">
        <v>10778</v>
      </c>
      <c r="P550" t="s">
        <v>10779</v>
      </c>
      <c r="Q550" t="s">
        <v>10780</v>
      </c>
      <c r="R550" t="s">
        <v>74</v>
      </c>
      <c r="S550" t="s">
        <v>74</v>
      </c>
      <c r="T550" t="s">
        <v>74</v>
      </c>
      <c r="U550" t="s">
        <v>10781</v>
      </c>
      <c r="V550" t="s">
        <v>74</v>
      </c>
      <c r="W550" t="s">
        <v>10782</v>
      </c>
      <c r="X550" t="s">
        <v>10783</v>
      </c>
      <c r="Y550" t="s">
        <v>74</v>
      </c>
      <c r="Z550" t="s">
        <v>10784</v>
      </c>
      <c r="AA550" t="s">
        <v>10785</v>
      </c>
      <c r="AB550" t="s">
        <v>10786</v>
      </c>
      <c r="AC550" t="s">
        <v>74</v>
      </c>
      <c r="AD550" t="s">
        <v>74</v>
      </c>
      <c r="AE550" t="s">
        <v>74</v>
      </c>
      <c r="AF550" t="s">
        <v>74</v>
      </c>
      <c r="AG550">
        <v>7</v>
      </c>
      <c r="AH550">
        <v>4</v>
      </c>
      <c r="AI550">
        <v>4</v>
      </c>
      <c r="AJ550">
        <v>0</v>
      </c>
      <c r="AK550">
        <v>6</v>
      </c>
      <c r="AL550" t="s">
        <v>236</v>
      </c>
      <c r="AM550" t="s">
        <v>209</v>
      </c>
      <c r="AN550" t="s">
        <v>210</v>
      </c>
      <c r="AO550" t="s">
        <v>3193</v>
      </c>
      <c r="AP550" t="s">
        <v>3194</v>
      </c>
      <c r="AQ550" t="s">
        <v>74</v>
      </c>
      <c r="AR550" t="s">
        <v>3195</v>
      </c>
      <c r="AS550" t="s">
        <v>3196</v>
      </c>
      <c r="AT550" t="s">
        <v>9714</v>
      </c>
      <c r="AU550">
        <v>2015</v>
      </c>
      <c r="AV550">
        <v>50</v>
      </c>
      <c r="AW550" t="s">
        <v>74</v>
      </c>
      <c r="AX550" t="s">
        <v>74</v>
      </c>
      <c r="AY550">
        <v>1</v>
      </c>
      <c r="AZ550" t="s">
        <v>931</v>
      </c>
      <c r="BA550" t="s">
        <v>10787</v>
      </c>
      <c r="BB550" t="s">
        <v>74</v>
      </c>
      <c r="BC550" t="s">
        <v>74</v>
      </c>
      <c r="BD550" t="s">
        <v>74</v>
      </c>
      <c r="BE550" t="s">
        <v>74</v>
      </c>
      <c r="BF550" t="s">
        <v>74</v>
      </c>
      <c r="BG550" t="s">
        <v>74</v>
      </c>
      <c r="BH550" t="s">
        <v>74</v>
      </c>
      <c r="BI550">
        <v>1</v>
      </c>
      <c r="BJ550" t="s">
        <v>1707</v>
      </c>
      <c r="BK550" t="s">
        <v>1631</v>
      </c>
      <c r="BL550" t="s">
        <v>1707</v>
      </c>
      <c r="BM550" t="s">
        <v>10788</v>
      </c>
      <c r="BN550" t="s">
        <v>74</v>
      </c>
      <c r="BO550" t="s">
        <v>74</v>
      </c>
      <c r="BP550" t="s">
        <v>74</v>
      </c>
      <c r="BQ550" t="s">
        <v>74</v>
      </c>
      <c r="BR550" t="s">
        <v>103</v>
      </c>
      <c r="BS550" t="s">
        <v>10789</v>
      </c>
      <c r="BT550" t="str">
        <f>HYPERLINK("https%3A%2F%2Fwww.webofscience.com%2Fwos%2Fwoscc%2Ffull-record%2FWOS:000358591900014","View Full Record in Web of Science")</f>
        <v>View Full Record in Web of Science</v>
      </c>
    </row>
    <row r="551" spans="1:72" x14ac:dyDescent="0.15">
      <c r="A551" t="s">
        <v>72</v>
      </c>
      <c r="B551" t="s">
        <v>10790</v>
      </c>
      <c r="C551" t="s">
        <v>74</v>
      </c>
      <c r="D551" t="s">
        <v>74</v>
      </c>
      <c r="E551" t="s">
        <v>74</v>
      </c>
      <c r="F551" t="s">
        <v>10791</v>
      </c>
      <c r="G551" t="s">
        <v>74</v>
      </c>
      <c r="H551" t="s">
        <v>74</v>
      </c>
      <c r="I551" t="s">
        <v>10792</v>
      </c>
      <c r="J551" t="s">
        <v>3181</v>
      </c>
      <c r="K551" t="s">
        <v>74</v>
      </c>
      <c r="L551" t="s">
        <v>74</v>
      </c>
      <c r="M551" t="s">
        <v>78</v>
      </c>
      <c r="N551" t="s">
        <v>52</v>
      </c>
      <c r="O551" t="s">
        <v>10778</v>
      </c>
      <c r="P551" t="s">
        <v>10779</v>
      </c>
      <c r="Q551" t="s">
        <v>10780</v>
      </c>
      <c r="R551" t="s">
        <v>74</v>
      </c>
      <c r="S551" t="s">
        <v>74</v>
      </c>
      <c r="T551" t="s">
        <v>74</v>
      </c>
      <c r="U551" t="s">
        <v>74</v>
      </c>
      <c r="V551" t="s">
        <v>74</v>
      </c>
      <c r="W551" t="s">
        <v>10793</v>
      </c>
      <c r="X551" t="s">
        <v>10794</v>
      </c>
      <c r="Y551" t="s">
        <v>74</v>
      </c>
      <c r="Z551" t="s">
        <v>10795</v>
      </c>
      <c r="AA551" t="s">
        <v>74</v>
      </c>
      <c r="AB551" t="s">
        <v>74</v>
      </c>
      <c r="AC551" t="s">
        <v>74</v>
      </c>
      <c r="AD551" t="s">
        <v>74</v>
      </c>
      <c r="AE551" t="s">
        <v>74</v>
      </c>
      <c r="AF551" t="s">
        <v>74</v>
      </c>
      <c r="AG551">
        <v>5</v>
      </c>
      <c r="AH551">
        <v>4</v>
      </c>
      <c r="AI551">
        <v>4</v>
      </c>
      <c r="AJ551">
        <v>0</v>
      </c>
      <c r="AK551">
        <v>2</v>
      </c>
      <c r="AL551" t="s">
        <v>236</v>
      </c>
      <c r="AM551" t="s">
        <v>209</v>
      </c>
      <c r="AN551" t="s">
        <v>210</v>
      </c>
      <c r="AO551" t="s">
        <v>3193</v>
      </c>
      <c r="AP551" t="s">
        <v>3194</v>
      </c>
      <c r="AQ551" t="s">
        <v>74</v>
      </c>
      <c r="AR551" t="s">
        <v>3195</v>
      </c>
      <c r="AS551" t="s">
        <v>3196</v>
      </c>
      <c r="AT551" t="s">
        <v>9714</v>
      </c>
      <c r="AU551">
        <v>2015</v>
      </c>
      <c r="AV551">
        <v>50</v>
      </c>
      <c r="AW551" t="s">
        <v>74</v>
      </c>
      <c r="AX551" t="s">
        <v>74</v>
      </c>
      <c r="AY551">
        <v>1</v>
      </c>
      <c r="AZ551" t="s">
        <v>931</v>
      </c>
      <c r="BA551" t="s">
        <v>10796</v>
      </c>
      <c r="BB551" t="s">
        <v>74</v>
      </c>
      <c r="BC551" t="s">
        <v>74</v>
      </c>
      <c r="BD551" t="s">
        <v>74</v>
      </c>
      <c r="BE551" t="s">
        <v>74</v>
      </c>
      <c r="BF551" t="s">
        <v>74</v>
      </c>
      <c r="BG551" t="s">
        <v>74</v>
      </c>
      <c r="BH551" t="s">
        <v>74</v>
      </c>
      <c r="BI551">
        <v>1</v>
      </c>
      <c r="BJ551" t="s">
        <v>1707</v>
      </c>
      <c r="BK551" t="s">
        <v>1631</v>
      </c>
      <c r="BL551" t="s">
        <v>1707</v>
      </c>
      <c r="BM551" t="s">
        <v>10788</v>
      </c>
      <c r="BN551" t="s">
        <v>74</v>
      </c>
      <c r="BO551" t="s">
        <v>74</v>
      </c>
      <c r="BP551" t="s">
        <v>74</v>
      </c>
      <c r="BQ551" t="s">
        <v>74</v>
      </c>
      <c r="BR551" t="s">
        <v>103</v>
      </c>
      <c r="BS551" t="s">
        <v>10797</v>
      </c>
      <c r="BT551" t="str">
        <f>HYPERLINK("https%3A%2F%2Fwww.webofscience.com%2Fwos%2Fwoscc%2Ffull-record%2FWOS:000358591900054","View Full Record in Web of Science")</f>
        <v>View Full Record in Web of Science</v>
      </c>
    </row>
    <row r="552" spans="1:72" x14ac:dyDescent="0.15">
      <c r="A552" t="s">
        <v>72</v>
      </c>
      <c r="B552" t="s">
        <v>10798</v>
      </c>
      <c r="C552" t="s">
        <v>74</v>
      </c>
      <c r="D552" t="s">
        <v>74</v>
      </c>
      <c r="E552" t="s">
        <v>74</v>
      </c>
      <c r="F552" t="s">
        <v>10799</v>
      </c>
      <c r="G552" t="s">
        <v>74</v>
      </c>
      <c r="H552" t="s">
        <v>74</v>
      </c>
      <c r="I552" t="s">
        <v>10800</v>
      </c>
      <c r="J552" t="s">
        <v>3181</v>
      </c>
      <c r="K552" t="s">
        <v>74</v>
      </c>
      <c r="L552" t="s">
        <v>74</v>
      </c>
      <c r="M552" t="s">
        <v>78</v>
      </c>
      <c r="N552" t="s">
        <v>52</v>
      </c>
      <c r="O552" t="s">
        <v>10778</v>
      </c>
      <c r="P552" t="s">
        <v>10779</v>
      </c>
      <c r="Q552" t="s">
        <v>10780</v>
      </c>
      <c r="R552" t="s">
        <v>74</v>
      </c>
      <c r="S552" t="s">
        <v>74</v>
      </c>
      <c r="T552" t="s">
        <v>74</v>
      </c>
      <c r="U552" t="s">
        <v>10801</v>
      </c>
      <c r="V552" t="s">
        <v>74</v>
      </c>
      <c r="W552" t="s">
        <v>10802</v>
      </c>
      <c r="X552" t="s">
        <v>10803</v>
      </c>
      <c r="Y552" t="s">
        <v>74</v>
      </c>
      <c r="Z552" t="s">
        <v>10804</v>
      </c>
      <c r="AA552" t="s">
        <v>74</v>
      </c>
      <c r="AB552" t="s">
        <v>74</v>
      </c>
      <c r="AC552" t="s">
        <v>74</v>
      </c>
      <c r="AD552" t="s">
        <v>74</v>
      </c>
      <c r="AE552" t="s">
        <v>74</v>
      </c>
      <c r="AF552" t="s">
        <v>74</v>
      </c>
      <c r="AG552">
        <v>5</v>
      </c>
      <c r="AH552">
        <v>0</v>
      </c>
      <c r="AI552">
        <v>0</v>
      </c>
      <c r="AJ552">
        <v>0</v>
      </c>
      <c r="AK552">
        <v>1</v>
      </c>
      <c r="AL552" t="s">
        <v>236</v>
      </c>
      <c r="AM552" t="s">
        <v>209</v>
      </c>
      <c r="AN552" t="s">
        <v>210</v>
      </c>
      <c r="AO552" t="s">
        <v>3193</v>
      </c>
      <c r="AP552" t="s">
        <v>3194</v>
      </c>
      <c r="AQ552" t="s">
        <v>74</v>
      </c>
      <c r="AR552" t="s">
        <v>3195</v>
      </c>
      <c r="AS552" t="s">
        <v>3196</v>
      </c>
      <c r="AT552" t="s">
        <v>9714</v>
      </c>
      <c r="AU552">
        <v>2015</v>
      </c>
      <c r="AV552">
        <v>50</v>
      </c>
      <c r="AW552" t="s">
        <v>74</v>
      </c>
      <c r="AX552" t="s">
        <v>74</v>
      </c>
      <c r="AY552">
        <v>1</v>
      </c>
      <c r="AZ552" t="s">
        <v>931</v>
      </c>
      <c r="BA552" t="s">
        <v>10805</v>
      </c>
      <c r="BB552" t="s">
        <v>74</v>
      </c>
      <c r="BC552" t="s">
        <v>74</v>
      </c>
      <c r="BD552" t="s">
        <v>74</v>
      </c>
      <c r="BE552" t="s">
        <v>74</v>
      </c>
      <c r="BF552" t="s">
        <v>74</v>
      </c>
      <c r="BG552" t="s">
        <v>74</v>
      </c>
      <c r="BH552" t="s">
        <v>74</v>
      </c>
      <c r="BI552">
        <v>1</v>
      </c>
      <c r="BJ552" t="s">
        <v>1707</v>
      </c>
      <c r="BK552" t="s">
        <v>1631</v>
      </c>
      <c r="BL552" t="s">
        <v>1707</v>
      </c>
      <c r="BM552" t="s">
        <v>10788</v>
      </c>
      <c r="BN552" t="s">
        <v>74</v>
      </c>
      <c r="BO552" t="s">
        <v>74</v>
      </c>
      <c r="BP552" t="s">
        <v>74</v>
      </c>
      <c r="BQ552" t="s">
        <v>74</v>
      </c>
      <c r="BR552" t="s">
        <v>103</v>
      </c>
      <c r="BS552" t="s">
        <v>10806</v>
      </c>
      <c r="BT552" t="str">
        <f>HYPERLINK("https%3A%2F%2Fwww.webofscience.com%2Fwos%2Fwoscc%2Ffull-record%2FWOS:000358591900276","View Full Record in Web of Science")</f>
        <v>View Full Record in Web of Science</v>
      </c>
    </row>
    <row r="553" spans="1:72" x14ac:dyDescent="0.15">
      <c r="A553" t="s">
        <v>72</v>
      </c>
      <c r="B553" t="s">
        <v>10807</v>
      </c>
      <c r="C553" t="s">
        <v>74</v>
      </c>
      <c r="D553" t="s">
        <v>74</v>
      </c>
      <c r="E553" t="s">
        <v>74</v>
      </c>
      <c r="F553" t="s">
        <v>10808</v>
      </c>
      <c r="G553" t="s">
        <v>74</v>
      </c>
      <c r="H553" t="s">
        <v>74</v>
      </c>
      <c r="I553" t="s">
        <v>10809</v>
      </c>
      <c r="J553" t="s">
        <v>3181</v>
      </c>
      <c r="K553" t="s">
        <v>74</v>
      </c>
      <c r="L553" t="s">
        <v>74</v>
      </c>
      <c r="M553" t="s">
        <v>78</v>
      </c>
      <c r="N553" t="s">
        <v>52</v>
      </c>
      <c r="O553" t="s">
        <v>10778</v>
      </c>
      <c r="P553" t="s">
        <v>10779</v>
      </c>
      <c r="Q553" t="s">
        <v>10780</v>
      </c>
      <c r="R553" t="s">
        <v>74</v>
      </c>
      <c r="S553" t="s">
        <v>74</v>
      </c>
      <c r="T553" t="s">
        <v>74</v>
      </c>
      <c r="U553" t="s">
        <v>74</v>
      </c>
      <c r="V553" t="s">
        <v>74</v>
      </c>
      <c r="W553" t="s">
        <v>10810</v>
      </c>
      <c r="X553" t="s">
        <v>10811</v>
      </c>
      <c r="Y553" t="s">
        <v>74</v>
      </c>
      <c r="Z553" t="s">
        <v>10812</v>
      </c>
      <c r="AA553" t="s">
        <v>74</v>
      </c>
      <c r="AB553" t="s">
        <v>74</v>
      </c>
      <c r="AC553" t="s">
        <v>74</v>
      </c>
      <c r="AD553" t="s">
        <v>74</v>
      </c>
      <c r="AE553" t="s">
        <v>74</v>
      </c>
      <c r="AF553" t="s">
        <v>74</v>
      </c>
      <c r="AG553">
        <v>7</v>
      </c>
      <c r="AH553">
        <v>0</v>
      </c>
      <c r="AI553">
        <v>0</v>
      </c>
      <c r="AJ553">
        <v>0</v>
      </c>
      <c r="AK553">
        <v>1</v>
      </c>
      <c r="AL553" t="s">
        <v>208</v>
      </c>
      <c r="AM553" t="s">
        <v>209</v>
      </c>
      <c r="AN553" t="s">
        <v>210</v>
      </c>
      <c r="AO553" t="s">
        <v>3193</v>
      </c>
      <c r="AP553" t="s">
        <v>3194</v>
      </c>
      <c r="AQ553" t="s">
        <v>74</v>
      </c>
      <c r="AR553" t="s">
        <v>3195</v>
      </c>
      <c r="AS553" t="s">
        <v>3196</v>
      </c>
      <c r="AT553" t="s">
        <v>9714</v>
      </c>
      <c r="AU553">
        <v>2015</v>
      </c>
      <c r="AV553">
        <v>50</v>
      </c>
      <c r="AW553" t="s">
        <v>74</v>
      </c>
      <c r="AX553" t="s">
        <v>74</v>
      </c>
      <c r="AY553">
        <v>1</v>
      </c>
      <c r="AZ553" t="s">
        <v>931</v>
      </c>
      <c r="BA553" t="s">
        <v>10813</v>
      </c>
      <c r="BB553" t="s">
        <v>74</v>
      </c>
      <c r="BC553" t="s">
        <v>74</v>
      </c>
      <c r="BD553" t="s">
        <v>74</v>
      </c>
      <c r="BE553" t="s">
        <v>74</v>
      </c>
      <c r="BF553" t="s">
        <v>74</v>
      </c>
      <c r="BG553" t="s">
        <v>74</v>
      </c>
      <c r="BH553" t="s">
        <v>74</v>
      </c>
      <c r="BI553">
        <v>1</v>
      </c>
      <c r="BJ553" t="s">
        <v>1707</v>
      </c>
      <c r="BK553" t="s">
        <v>1631</v>
      </c>
      <c r="BL553" t="s">
        <v>1707</v>
      </c>
      <c r="BM553" t="s">
        <v>10788</v>
      </c>
      <c r="BN553" t="s">
        <v>74</v>
      </c>
      <c r="BO553" t="s">
        <v>74</v>
      </c>
      <c r="BP553" t="s">
        <v>74</v>
      </c>
      <c r="BQ553" t="s">
        <v>74</v>
      </c>
      <c r="BR553" t="s">
        <v>103</v>
      </c>
      <c r="BS553" t="s">
        <v>10814</v>
      </c>
      <c r="BT553" t="str">
        <f>HYPERLINK("https%3A%2F%2Fwww.webofscience.com%2Fwos%2Fwoscc%2Ffull-record%2FWOS:000358591900364","View Full Record in Web of Science")</f>
        <v>View Full Record in Web of Science</v>
      </c>
    </row>
    <row r="554" spans="1:72" x14ac:dyDescent="0.15">
      <c r="A554" t="s">
        <v>72</v>
      </c>
      <c r="B554" t="s">
        <v>10815</v>
      </c>
      <c r="C554" t="s">
        <v>74</v>
      </c>
      <c r="D554" t="s">
        <v>74</v>
      </c>
      <c r="E554" t="s">
        <v>74</v>
      </c>
      <c r="F554" t="s">
        <v>10816</v>
      </c>
      <c r="G554" t="s">
        <v>74</v>
      </c>
      <c r="H554" t="s">
        <v>74</v>
      </c>
      <c r="I554" t="s">
        <v>10817</v>
      </c>
      <c r="J554" t="s">
        <v>3181</v>
      </c>
      <c r="K554" t="s">
        <v>74</v>
      </c>
      <c r="L554" t="s">
        <v>74</v>
      </c>
      <c r="M554" t="s">
        <v>78</v>
      </c>
      <c r="N554" t="s">
        <v>52</v>
      </c>
      <c r="O554" t="s">
        <v>10778</v>
      </c>
      <c r="P554" t="s">
        <v>10779</v>
      </c>
      <c r="Q554" t="s">
        <v>10780</v>
      </c>
      <c r="R554" t="s">
        <v>74</v>
      </c>
      <c r="S554" t="s">
        <v>74</v>
      </c>
      <c r="T554" t="s">
        <v>74</v>
      </c>
      <c r="U554" t="s">
        <v>74</v>
      </c>
      <c r="V554" t="s">
        <v>74</v>
      </c>
      <c r="W554" t="s">
        <v>10818</v>
      </c>
      <c r="X554" t="s">
        <v>10819</v>
      </c>
      <c r="Y554" t="s">
        <v>74</v>
      </c>
      <c r="Z554" t="s">
        <v>10820</v>
      </c>
      <c r="AA554" t="s">
        <v>10821</v>
      </c>
      <c r="AB554" t="s">
        <v>10822</v>
      </c>
      <c r="AC554" t="s">
        <v>74</v>
      </c>
      <c r="AD554" t="s">
        <v>74</v>
      </c>
      <c r="AE554" t="s">
        <v>74</v>
      </c>
      <c r="AF554" t="s">
        <v>74</v>
      </c>
      <c r="AG554">
        <v>5</v>
      </c>
      <c r="AH554">
        <v>0</v>
      </c>
      <c r="AI554">
        <v>0</v>
      </c>
      <c r="AJ554">
        <v>0</v>
      </c>
      <c r="AK554">
        <v>0</v>
      </c>
      <c r="AL554" t="s">
        <v>208</v>
      </c>
      <c r="AM554" t="s">
        <v>209</v>
      </c>
      <c r="AN554" t="s">
        <v>210</v>
      </c>
      <c r="AO554" t="s">
        <v>3193</v>
      </c>
      <c r="AP554" t="s">
        <v>3194</v>
      </c>
      <c r="AQ554" t="s">
        <v>74</v>
      </c>
      <c r="AR554" t="s">
        <v>3195</v>
      </c>
      <c r="AS554" t="s">
        <v>3196</v>
      </c>
      <c r="AT554" t="s">
        <v>9714</v>
      </c>
      <c r="AU554">
        <v>2015</v>
      </c>
      <c r="AV554">
        <v>50</v>
      </c>
      <c r="AW554" t="s">
        <v>74</v>
      </c>
      <c r="AX554" t="s">
        <v>74</v>
      </c>
      <c r="AY554">
        <v>1</v>
      </c>
      <c r="AZ554" t="s">
        <v>931</v>
      </c>
      <c r="BA554" t="s">
        <v>10823</v>
      </c>
      <c r="BB554" t="s">
        <v>74</v>
      </c>
      <c r="BC554" t="s">
        <v>74</v>
      </c>
      <c r="BD554" t="s">
        <v>74</v>
      </c>
      <c r="BE554" t="s">
        <v>74</v>
      </c>
      <c r="BF554" t="s">
        <v>74</v>
      </c>
      <c r="BG554" t="s">
        <v>74</v>
      </c>
      <c r="BH554" t="s">
        <v>74</v>
      </c>
      <c r="BI554">
        <v>1</v>
      </c>
      <c r="BJ554" t="s">
        <v>1707</v>
      </c>
      <c r="BK554" t="s">
        <v>1631</v>
      </c>
      <c r="BL554" t="s">
        <v>1707</v>
      </c>
      <c r="BM554" t="s">
        <v>10788</v>
      </c>
      <c r="BN554" t="s">
        <v>74</v>
      </c>
      <c r="BO554" t="s">
        <v>74</v>
      </c>
      <c r="BP554" t="s">
        <v>74</v>
      </c>
      <c r="BQ554" t="s">
        <v>74</v>
      </c>
      <c r="BR554" t="s">
        <v>103</v>
      </c>
      <c r="BS554" t="s">
        <v>10824</v>
      </c>
      <c r="BT554" t="str">
        <f>HYPERLINK("https%3A%2F%2Fwww.webofscience.com%2Fwos%2Fwoscc%2Ffull-record%2FWOS:000358591900367","View Full Record in Web of Science")</f>
        <v>View Full Record in Web of Science</v>
      </c>
    </row>
    <row r="555" spans="1:72" x14ac:dyDescent="0.15">
      <c r="A555" t="s">
        <v>72</v>
      </c>
      <c r="B555" t="s">
        <v>10825</v>
      </c>
      <c r="C555" t="s">
        <v>74</v>
      </c>
      <c r="D555" t="s">
        <v>74</v>
      </c>
      <c r="E555" t="s">
        <v>74</v>
      </c>
      <c r="F555" t="s">
        <v>10826</v>
      </c>
      <c r="G555" t="s">
        <v>74</v>
      </c>
      <c r="H555" t="s">
        <v>74</v>
      </c>
      <c r="I555" t="s">
        <v>10827</v>
      </c>
      <c r="J555" t="s">
        <v>538</v>
      </c>
      <c r="K555" t="s">
        <v>74</v>
      </c>
      <c r="L555" t="s">
        <v>74</v>
      </c>
      <c r="M555" t="s">
        <v>78</v>
      </c>
      <c r="N555" t="s">
        <v>997</v>
      </c>
      <c r="O555" t="s">
        <v>74</v>
      </c>
      <c r="P555" t="s">
        <v>74</v>
      </c>
      <c r="Q555" t="s">
        <v>74</v>
      </c>
      <c r="R555" t="s">
        <v>74</v>
      </c>
      <c r="S555" t="s">
        <v>74</v>
      </c>
      <c r="T555" t="s">
        <v>74</v>
      </c>
      <c r="U555" t="s">
        <v>10828</v>
      </c>
      <c r="V555" t="s">
        <v>10829</v>
      </c>
      <c r="W555" t="s">
        <v>10830</v>
      </c>
      <c r="X555" t="s">
        <v>10831</v>
      </c>
      <c r="Y555" t="s">
        <v>10832</v>
      </c>
      <c r="Z555" t="s">
        <v>10833</v>
      </c>
      <c r="AA555" t="s">
        <v>74</v>
      </c>
      <c r="AB555" t="s">
        <v>74</v>
      </c>
      <c r="AC555" t="s">
        <v>74</v>
      </c>
      <c r="AD555" t="s">
        <v>74</v>
      </c>
      <c r="AE555" t="s">
        <v>74</v>
      </c>
      <c r="AF555" t="s">
        <v>74</v>
      </c>
      <c r="AG555">
        <v>13</v>
      </c>
      <c r="AH555">
        <v>2</v>
      </c>
      <c r="AI555">
        <v>2</v>
      </c>
      <c r="AJ555">
        <v>0</v>
      </c>
      <c r="AK555">
        <v>19</v>
      </c>
      <c r="AL555" t="s">
        <v>179</v>
      </c>
      <c r="AM555" t="s">
        <v>550</v>
      </c>
      <c r="AN555" t="s">
        <v>551</v>
      </c>
      <c r="AO555" t="s">
        <v>552</v>
      </c>
      <c r="AP555" t="s">
        <v>553</v>
      </c>
      <c r="AQ555" t="s">
        <v>74</v>
      </c>
      <c r="AR555" t="s">
        <v>554</v>
      </c>
      <c r="AS555" t="s">
        <v>555</v>
      </c>
      <c r="AT555" t="s">
        <v>9714</v>
      </c>
      <c r="AU555">
        <v>2015</v>
      </c>
      <c r="AV555">
        <v>8</v>
      </c>
      <c r="AW555">
        <v>8</v>
      </c>
      <c r="AX555" t="s">
        <v>74</v>
      </c>
      <c r="AY555" t="s">
        <v>74</v>
      </c>
      <c r="AZ555" t="s">
        <v>74</v>
      </c>
      <c r="BA555" t="s">
        <v>74</v>
      </c>
      <c r="BB555">
        <v>585</v>
      </c>
      <c r="BC555">
        <v>586</v>
      </c>
      <c r="BD555" t="s">
        <v>74</v>
      </c>
      <c r="BE555" t="s">
        <v>10834</v>
      </c>
      <c r="BF555" t="str">
        <f>HYPERLINK("http://dx.doi.org/10.1038/ngeo2494","http://dx.doi.org/10.1038/ngeo2494")</f>
        <v>http://dx.doi.org/10.1038/ngeo2494</v>
      </c>
      <c r="BG555" t="s">
        <v>74</v>
      </c>
      <c r="BH555" t="s">
        <v>74</v>
      </c>
      <c r="BI555">
        <v>2</v>
      </c>
      <c r="BJ555" t="s">
        <v>314</v>
      </c>
      <c r="BK555" t="s">
        <v>101</v>
      </c>
      <c r="BL555" t="s">
        <v>315</v>
      </c>
      <c r="BM555" t="s">
        <v>10835</v>
      </c>
      <c r="BN555" t="s">
        <v>74</v>
      </c>
      <c r="BO555" t="s">
        <v>290</v>
      </c>
      <c r="BP555" t="s">
        <v>74</v>
      </c>
      <c r="BQ555" t="s">
        <v>74</v>
      </c>
      <c r="BR555" t="s">
        <v>103</v>
      </c>
      <c r="BS555" t="s">
        <v>10836</v>
      </c>
      <c r="BT555" t="str">
        <f>HYPERLINK("https%3A%2F%2Fwww.webofscience.com%2Fwos%2Fwoscc%2Ffull-record%2FWOS:000358735500008","View Full Record in Web of Science")</f>
        <v>View Full Record in Web of Science</v>
      </c>
    </row>
    <row r="556" spans="1:72" x14ac:dyDescent="0.15">
      <c r="A556" t="s">
        <v>72</v>
      </c>
      <c r="B556" t="s">
        <v>10837</v>
      </c>
      <c r="C556" t="s">
        <v>74</v>
      </c>
      <c r="D556" t="s">
        <v>74</v>
      </c>
      <c r="E556" t="s">
        <v>74</v>
      </c>
      <c r="F556" t="s">
        <v>10838</v>
      </c>
      <c r="G556" t="s">
        <v>74</v>
      </c>
      <c r="H556" t="s">
        <v>74</v>
      </c>
      <c r="I556" t="s">
        <v>10839</v>
      </c>
      <c r="J556" t="s">
        <v>538</v>
      </c>
      <c r="K556" t="s">
        <v>74</v>
      </c>
      <c r="L556" t="s">
        <v>74</v>
      </c>
      <c r="M556" t="s">
        <v>78</v>
      </c>
      <c r="N556" t="s">
        <v>79</v>
      </c>
      <c r="O556" t="s">
        <v>74</v>
      </c>
      <c r="P556" t="s">
        <v>74</v>
      </c>
      <c r="Q556" t="s">
        <v>74</v>
      </c>
      <c r="R556" t="s">
        <v>74</v>
      </c>
      <c r="S556" t="s">
        <v>74</v>
      </c>
      <c r="T556" t="s">
        <v>74</v>
      </c>
      <c r="U556" t="s">
        <v>10840</v>
      </c>
      <c r="V556" t="s">
        <v>10841</v>
      </c>
      <c r="W556" t="s">
        <v>10842</v>
      </c>
      <c r="X556" t="s">
        <v>10843</v>
      </c>
      <c r="Y556" t="s">
        <v>10844</v>
      </c>
      <c r="Z556" t="s">
        <v>10845</v>
      </c>
      <c r="AA556" t="s">
        <v>74</v>
      </c>
      <c r="AB556" t="s">
        <v>10846</v>
      </c>
      <c r="AC556" t="s">
        <v>10847</v>
      </c>
      <c r="AD556" t="s">
        <v>10848</v>
      </c>
      <c r="AE556" t="s">
        <v>10849</v>
      </c>
      <c r="AF556" t="s">
        <v>74</v>
      </c>
      <c r="AG556">
        <v>36</v>
      </c>
      <c r="AH556">
        <v>36</v>
      </c>
      <c r="AI556">
        <v>47</v>
      </c>
      <c r="AJ556">
        <v>1</v>
      </c>
      <c r="AK556">
        <v>42</v>
      </c>
      <c r="AL556" t="s">
        <v>523</v>
      </c>
      <c r="AM556" t="s">
        <v>524</v>
      </c>
      <c r="AN556" t="s">
        <v>525</v>
      </c>
      <c r="AO556" t="s">
        <v>552</v>
      </c>
      <c r="AP556" t="s">
        <v>553</v>
      </c>
      <c r="AQ556" t="s">
        <v>74</v>
      </c>
      <c r="AR556" t="s">
        <v>554</v>
      </c>
      <c r="AS556" t="s">
        <v>555</v>
      </c>
      <c r="AT556" t="s">
        <v>9714</v>
      </c>
      <c r="AU556">
        <v>2015</v>
      </c>
      <c r="AV556">
        <v>8</v>
      </c>
      <c r="AW556">
        <v>8</v>
      </c>
      <c r="AX556" t="s">
        <v>74</v>
      </c>
      <c r="AY556" t="s">
        <v>74</v>
      </c>
      <c r="AZ556" t="s">
        <v>74</v>
      </c>
      <c r="BA556" t="s">
        <v>74</v>
      </c>
      <c r="BB556">
        <v>625</v>
      </c>
      <c r="BC556" t="s">
        <v>556</v>
      </c>
      <c r="BD556" t="s">
        <v>74</v>
      </c>
      <c r="BE556" t="s">
        <v>10850</v>
      </c>
      <c r="BF556" t="str">
        <f>HYPERLINK("http://dx.doi.org/10.1038/NGEO2478","http://dx.doi.org/10.1038/NGEO2478")</f>
        <v>http://dx.doi.org/10.1038/NGEO2478</v>
      </c>
      <c r="BG556" t="s">
        <v>74</v>
      </c>
      <c r="BH556" t="s">
        <v>74</v>
      </c>
      <c r="BI556">
        <v>5</v>
      </c>
      <c r="BJ556" t="s">
        <v>314</v>
      </c>
      <c r="BK556" t="s">
        <v>101</v>
      </c>
      <c r="BL556" t="s">
        <v>315</v>
      </c>
      <c r="BM556" t="s">
        <v>10835</v>
      </c>
      <c r="BN556" t="s">
        <v>74</v>
      </c>
      <c r="BO556" t="s">
        <v>74</v>
      </c>
      <c r="BP556" t="s">
        <v>74</v>
      </c>
      <c r="BQ556" t="s">
        <v>74</v>
      </c>
      <c r="BR556" t="s">
        <v>103</v>
      </c>
      <c r="BS556" t="s">
        <v>10851</v>
      </c>
      <c r="BT556" t="str">
        <f>HYPERLINK("https%3A%2F%2Fwww.webofscience.com%2Fwos%2Fwoscc%2Ffull-record%2FWOS:000358735500017","View Full Record in Web of Science")</f>
        <v>View Full Record in Web of Science</v>
      </c>
    </row>
    <row r="557" spans="1:72" x14ac:dyDescent="0.15">
      <c r="A557" t="s">
        <v>72</v>
      </c>
      <c r="B557" t="s">
        <v>10852</v>
      </c>
      <c r="C557" t="s">
        <v>74</v>
      </c>
      <c r="D557" t="s">
        <v>74</v>
      </c>
      <c r="E557" t="s">
        <v>74</v>
      </c>
      <c r="F557" t="s">
        <v>10853</v>
      </c>
      <c r="G557" t="s">
        <v>74</v>
      </c>
      <c r="H557" t="s">
        <v>74</v>
      </c>
      <c r="I557" t="s">
        <v>10854</v>
      </c>
      <c r="J557" t="s">
        <v>10855</v>
      </c>
      <c r="K557" t="s">
        <v>74</v>
      </c>
      <c r="L557" t="s">
        <v>74</v>
      </c>
      <c r="M557" t="s">
        <v>78</v>
      </c>
      <c r="N557" t="s">
        <v>79</v>
      </c>
      <c r="O557" t="s">
        <v>74</v>
      </c>
      <c r="P557" t="s">
        <v>74</v>
      </c>
      <c r="Q557" t="s">
        <v>74</v>
      </c>
      <c r="R557" t="s">
        <v>74</v>
      </c>
      <c r="S557" t="s">
        <v>74</v>
      </c>
      <c r="T557" t="s">
        <v>74</v>
      </c>
      <c r="U557" t="s">
        <v>10856</v>
      </c>
      <c r="V557" t="s">
        <v>10857</v>
      </c>
      <c r="W557" t="s">
        <v>10858</v>
      </c>
      <c r="X557" t="s">
        <v>10859</v>
      </c>
      <c r="Y557" t="s">
        <v>10860</v>
      </c>
      <c r="Z557" t="s">
        <v>10861</v>
      </c>
      <c r="AA557" t="s">
        <v>10862</v>
      </c>
      <c r="AB557" t="s">
        <v>10863</v>
      </c>
      <c r="AC557" t="s">
        <v>10864</v>
      </c>
      <c r="AD557" t="s">
        <v>10865</v>
      </c>
      <c r="AE557" t="s">
        <v>10866</v>
      </c>
      <c r="AF557" t="s">
        <v>74</v>
      </c>
      <c r="AG557">
        <v>57</v>
      </c>
      <c r="AH557">
        <v>8</v>
      </c>
      <c r="AI557">
        <v>8</v>
      </c>
      <c r="AJ557">
        <v>0</v>
      </c>
      <c r="AK557">
        <v>4</v>
      </c>
      <c r="AL557" t="s">
        <v>10867</v>
      </c>
      <c r="AM557" t="s">
        <v>8331</v>
      </c>
      <c r="AN557" t="s">
        <v>10868</v>
      </c>
      <c r="AO557" t="s">
        <v>10869</v>
      </c>
      <c r="AP557" t="s">
        <v>10870</v>
      </c>
      <c r="AQ557" t="s">
        <v>74</v>
      </c>
      <c r="AR557" t="s">
        <v>10871</v>
      </c>
      <c r="AS557" t="s">
        <v>10872</v>
      </c>
      <c r="AT557" t="s">
        <v>9714</v>
      </c>
      <c r="AU557">
        <v>2015</v>
      </c>
      <c r="AV557">
        <v>121</v>
      </c>
      <c r="AW557" t="s">
        <v>10873</v>
      </c>
      <c r="AX557" t="s">
        <v>74</v>
      </c>
      <c r="AY557" t="s">
        <v>74</v>
      </c>
      <c r="AZ557" t="s">
        <v>74</v>
      </c>
      <c r="BA557" t="s">
        <v>74</v>
      </c>
      <c r="BB557">
        <v>591</v>
      </c>
      <c r="BC557">
        <v>604</v>
      </c>
      <c r="BD557" t="s">
        <v>74</v>
      </c>
      <c r="BE557" t="s">
        <v>10874</v>
      </c>
      <c r="BF557" t="str">
        <f>HYPERLINK("http://dx.doi.org/10.1007/s00704-014-1263-3","http://dx.doi.org/10.1007/s00704-014-1263-3")</f>
        <v>http://dx.doi.org/10.1007/s00704-014-1263-3</v>
      </c>
      <c r="BG557" t="s">
        <v>74</v>
      </c>
      <c r="BH557" t="s">
        <v>74</v>
      </c>
      <c r="BI557">
        <v>14</v>
      </c>
      <c r="BJ557" t="s">
        <v>271</v>
      </c>
      <c r="BK557" t="s">
        <v>101</v>
      </c>
      <c r="BL557" t="s">
        <v>271</v>
      </c>
      <c r="BM557" t="s">
        <v>10875</v>
      </c>
      <c r="BN557" t="s">
        <v>74</v>
      </c>
      <c r="BO557" t="s">
        <v>74</v>
      </c>
      <c r="BP557" t="s">
        <v>74</v>
      </c>
      <c r="BQ557" t="s">
        <v>74</v>
      </c>
      <c r="BR557" t="s">
        <v>103</v>
      </c>
      <c r="BS557" t="s">
        <v>10876</v>
      </c>
      <c r="BT557" t="str">
        <f>HYPERLINK("https%3A%2F%2Fwww.webofscience.com%2Fwos%2Fwoscc%2Ffull-record%2FWOS:000359055800015","View Full Record in Web of Science")</f>
        <v>View Full Record in Web of Science</v>
      </c>
    </row>
    <row r="558" spans="1:72" x14ac:dyDescent="0.15">
      <c r="A558" t="s">
        <v>72</v>
      </c>
      <c r="B558" t="s">
        <v>10877</v>
      </c>
      <c r="C558" t="s">
        <v>74</v>
      </c>
      <c r="D558" t="s">
        <v>74</v>
      </c>
      <c r="E558" t="s">
        <v>74</v>
      </c>
      <c r="F558" t="s">
        <v>10878</v>
      </c>
      <c r="G558" t="s">
        <v>74</v>
      </c>
      <c r="H558" t="s">
        <v>74</v>
      </c>
      <c r="I558" t="s">
        <v>10879</v>
      </c>
      <c r="J558" t="s">
        <v>10880</v>
      </c>
      <c r="K558" t="s">
        <v>74</v>
      </c>
      <c r="L558" t="s">
        <v>74</v>
      </c>
      <c r="M558" t="s">
        <v>78</v>
      </c>
      <c r="N558" t="s">
        <v>79</v>
      </c>
      <c r="O558" t="s">
        <v>74</v>
      </c>
      <c r="P558" t="s">
        <v>74</v>
      </c>
      <c r="Q558" t="s">
        <v>74</v>
      </c>
      <c r="R558" t="s">
        <v>74</v>
      </c>
      <c r="S558" t="s">
        <v>74</v>
      </c>
      <c r="T558" t="s">
        <v>10881</v>
      </c>
      <c r="U558" t="s">
        <v>10882</v>
      </c>
      <c r="V558" t="s">
        <v>10883</v>
      </c>
      <c r="W558" t="s">
        <v>10884</v>
      </c>
      <c r="X558" t="s">
        <v>10885</v>
      </c>
      <c r="Y558" t="s">
        <v>10886</v>
      </c>
      <c r="Z558" t="s">
        <v>9505</v>
      </c>
      <c r="AA558" t="s">
        <v>10887</v>
      </c>
      <c r="AB558" t="s">
        <v>10888</v>
      </c>
      <c r="AC558" t="s">
        <v>74</v>
      </c>
      <c r="AD558" t="s">
        <v>74</v>
      </c>
      <c r="AE558" t="s">
        <v>74</v>
      </c>
      <c r="AF558" t="s">
        <v>74</v>
      </c>
      <c r="AG558">
        <v>31</v>
      </c>
      <c r="AH558">
        <v>23</v>
      </c>
      <c r="AI558">
        <v>24</v>
      </c>
      <c r="AJ558">
        <v>3</v>
      </c>
      <c r="AK558">
        <v>57</v>
      </c>
      <c r="AL558" t="s">
        <v>3146</v>
      </c>
      <c r="AM558" t="s">
        <v>3147</v>
      </c>
      <c r="AN558" t="s">
        <v>3148</v>
      </c>
      <c r="AO558" t="s">
        <v>10889</v>
      </c>
      <c r="AP558" t="s">
        <v>10890</v>
      </c>
      <c r="AQ558" t="s">
        <v>74</v>
      </c>
      <c r="AR558" t="s">
        <v>10891</v>
      </c>
      <c r="AS558" t="s">
        <v>10892</v>
      </c>
      <c r="AT558" t="s">
        <v>9714</v>
      </c>
      <c r="AU558">
        <v>2015</v>
      </c>
      <c r="AV558">
        <v>22</v>
      </c>
      <c r="AW558">
        <v>16</v>
      </c>
      <c r="AX558" t="s">
        <v>74</v>
      </c>
      <c r="AY558" t="s">
        <v>74</v>
      </c>
      <c r="AZ558" t="s">
        <v>74</v>
      </c>
      <c r="BA558" t="s">
        <v>74</v>
      </c>
      <c r="BB558">
        <v>12298</v>
      </c>
      <c r="BC558">
        <v>12308</v>
      </c>
      <c r="BD558" t="s">
        <v>74</v>
      </c>
      <c r="BE558" t="s">
        <v>10893</v>
      </c>
      <c r="BF558" t="str">
        <f>HYPERLINK("http://dx.doi.org/10.1007/s11356-015-4438-2","http://dx.doi.org/10.1007/s11356-015-4438-2")</f>
        <v>http://dx.doi.org/10.1007/s11356-015-4438-2</v>
      </c>
      <c r="BG558" t="s">
        <v>74</v>
      </c>
      <c r="BH558" t="s">
        <v>74</v>
      </c>
      <c r="BI558">
        <v>11</v>
      </c>
      <c r="BJ558" t="s">
        <v>3267</v>
      </c>
      <c r="BK558" t="s">
        <v>101</v>
      </c>
      <c r="BL558" t="s">
        <v>644</v>
      </c>
      <c r="BM558" t="s">
        <v>10894</v>
      </c>
      <c r="BN558">
        <v>25899942</v>
      </c>
      <c r="BO558" t="s">
        <v>74</v>
      </c>
      <c r="BP558" t="s">
        <v>74</v>
      </c>
      <c r="BQ558" t="s">
        <v>74</v>
      </c>
      <c r="BR558" t="s">
        <v>103</v>
      </c>
      <c r="BS558" t="s">
        <v>10895</v>
      </c>
      <c r="BT558" t="str">
        <f>HYPERLINK("https%3A%2F%2Fwww.webofscience.com%2Fwos%2Fwoscc%2Ffull-record%2FWOS:000358579700031","View Full Record in Web of Science")</f>
        <v>View Full Record in Web of Science</v>
      </c>
    </row>
    <row r="559" spans="1:72" x14ac:dyDescent="0.15">
      <c r="A559" t="s">
        <v>72</v>
      </c>
      <c r="B559" t="s">
        <v>10896</v>
      </c>
      <c r="C559" t="s">
        <v>74</v>
      </c>
      <c r="D559" t="s">
        <v>74</v>
      </c>
      <c r="E559" t="s">
        <v>74</v>
      </c>
      <c r="F559" t="s">
        <v>10897</v>
      </c>
      <c r="G559" t="s">
        <v>74</v>
      </c>
      <c r="H559" t="s">
        <v>74</v>
      </c>
      <c r="I559" t="s">
        <v>10898</v>
      </c>
      <c r="J559" t="s">
        <v>10899</v>
      </c>
      <c r="K559" t="s">
        <v>74</v>
      </c>
      <c r="L559" t="s">
        <v>74</v>
      </c>
      <c r="M559" t="s">
        <v>78</v>
      </c>
      <c r="N559" t="s">
        <v>79</v>
      </c>
      <c r="O559" t="s">
        <v>74</v>
      </c>
      <c r="P559" t="s">
        <v>74</v>
      </c>
      <c r="Q559" t="s">
        <v>74</v>
      </c>
      <c r="R559" t="s">
        <v>74</v>
      </c>
      <c r="S559" t="s">
        <v>74</v>
      </c>
      <c r="T559" t="s">
        <v>10900</v>
      </c>
      <c r="U559" t="s">
        <v>10901</v>
      </c>
      <c r="V559" t="s">
        <v>10902</v>
      </c>
      <c r="W559" t="s">
        <v>10903</v>
      </c>
      <c r="X559" t="s">
        <v>10904</v>
      </c>
      <c r="Y559" t="s">
        <v>10905</v>
      </c>
      <c r="Z559" t="s">
        <v>10906</v>
      </c>
      <c r="AA559" t="s">
        <v>10907</v>
      </c>
      <c r="AB559" t="s">
        <v>10908</v>
      </c>
      <c r="AC559" t="s">
        <v>10909</v>
      </c>
      <c r="AD559" t="s">
        <v>10910</v>
      </c>
      <c r="AE559" t="s">
        <v>10911</v>
      </c>
      <c r="AF559" t="s">
        <v>74</v>
      </c>
      <c r="AG559">
        <v>41</v>
      </c>
      <c r="AH559">
        <v>4</v>
      </c>
      <c r="AI559">
        <v>5</v>
      </c>
      <c r="AJ559">
        <v>0</v>
      </c>
      <c r="AK559">
        <v>21</v>
      </c>
      <c r="AL559" t="s">
        <v>1474</v>
      </c>
      <c r="AM559" t="s">
        <v>1475</v>
      </c>
      <c r="AN559" t="s">
        <v>1476</v>
      </c>
      <c r="AO559" t="s">
        <v>10912</v>
      </c>
      <c r="AP559" t="s">
        <v>10913</v>
      </c>
      <c r="AQ559" t="s">
        <v>74</v>
      </c>
      <c r="AR559" t="s">
        <v>10914</v>
      </c>
      <c r="AS559" t="s">
        <v>10915</v>
      </c>
      <c r="AT559" t="s">
        <v>9714</v>
      </c>
      <c r="AU559">
        <v>2015</v>
      </c>
      <c r="AV559">
        <v>50</v>
      </c>
      <c r="AW559">
        <v>3</v>
      </c>
      <c r="AX559" t="s">
        <v>74</v>
      </c>
      <c r="AY559" t="s">
        <v>74</v>
      </c>
      <c r="AZ559" t="s">
        <v>74</v>
      </c>
      <c r="BA559" t="s">
        <v>74</v>
      </c>
      <c r="BB559">
        <v>271</v>
      </c>
      <c r="BC559">
        <v>278</v>
      </c>
      <c r="BD559" t="s">
        <v>74</v>
      </c>
      <c r="BE559" t="s">
        <v>10916</v>
      </c>
      <c r="BF559" t="str">
        <f>HYPERLINK("http://dx.doi.org/10.1080/09670262.2015.1031189","http://dx.doi.org/10.1080/09670262.2015.1031189")</f>
        <v>http://dx.doi.org/10.1080/09670262.2015.1031189</v>
      </c>
      <c r="BG559" t="s">
        <v>74</v>
      </c>
      <c r="BH559" t="s">
        <v>74</v>
      </c>
      <c r="BI559">
        <v>8</v>
      </c>
      <c r="BJ559" t="s">
        <v>2966</v>
      </c>
      <c r="BK559" t="s">
        <v>101</v>
      </c>
      <c r="BL559" t="s">
        <v>2966</v>
      </c>
      <c r="BM559" t="s">
        <v>10917</v>
      </c>
      <c r="BN559" t="s">
        <v>74</v>
      </c>
      <c r="BO559" t="s">
        <v>162</v>
      </c>
      <c r="BP559" t="s">
        <v>74</v>
      </c>
      <c r="BQ559" t="s">
        <v>74</v>
      </c>
      <c r="BR559" t="s">
        <v>103</v>
      </c>
      <c r="BS559" t="s">
        <v>10918</v>
      </c>
      <c r="BT559" t="str">
        <f>HYPERLINK("https%3A%2F%2Fwww.webofscience.com%2Fwos%2Fwoscc%2Ffull-record%2FWOS:000358665200003","View Full Record in Web of Science")</f>
        <v>View Full Record in Web of Science</v>
      </c>
    </row>
    <row r="560" spans="1:72" x14ac:dyDescent="0.15">
      <c r="A560" t="s">
        <v>72</v>
      </c>
      <c r="B560" t="s">
        <v>10919</v>
      </c>
      <c r="C560" t="s">
        <v>74</v>
      </c>
      <c r="D560" t="s">
        <v>74</v>
      </c>
      <c r="E560" t="s">
        <v>74</v>
      </c>
      <c r="F560" t="s">
        <v>10920</v>
      </c>
      <c r="G560" t="s">
        <v>74</v>
      </c>
      <c r="H560" t="s">
        <v>74</v>
      </c>
      <c r="I560" t="s">
        <v>10921</v>
      </c>
      <c r="J560" t="s">
        <v>10922</v>
      </c>
      <c r="K560" t="s">
        <v>74</v>
      </c>
      <c r="L560" t="s">
        <v>74</v>
      </c>
      <c r="M560" t="s">
        <v>78</v>
      </c>
      <c r="N560" t="s">
        <v>79</v>
      </c>
      <c r="O560" t="s">
        <v>74</v>
      </c>
      <c r="P560" t="s">
        <v>74</v>
      </c>
      <c r="Q560" t="s">
        <v>74</v>
      </c>
      <c r="R560" t="s">
        <v>74</v>
      </c>
      <c r="S560" t="s">
        <v>74</v>
      </c>
      <c r="T560" t="s">
        <v>10923</v>
      </c>
      <c r="U560" t="s">
        <v>10924</v>
      </c>
      <c r="V560" t="s">
        <v>10925</v>
      </c>
      <c r="W560" t="s">
        <v>10926</v>
      </c>
      <c r="X560" t="s">
        <v>10927</v>
      </c>
      <c r="Y560" t="s">
        <v>10928</v>
      </c>
      <c r="Z560" t="s">
        <v>10929</v>
      </c>
      <c r="AA560" t="s">
        <v>10930</v>
      </c>
      <c r="AB560" t="s">
        <v>10931</v>
      </c>
      <c r="AC560" t="s">
        <v>10932</v>
      </c>
      <c r="AD560" t="s">
        <v>10933</v>
      </c>
      <c r="AE560" t="s">
        <v>10934</v>
      </c>
      <c r="AF560" t="s">
        <v>74</v>
      </c>
      <c r="AG560">
        <v>84</v>
      </c>
      <c r="AH560">
        <v>83</v>
      </c>
      <c r="AI560">
        <v>91</v>
      </c>
      <c r="AJ560">
        <v>0</v>
      </c>
      <c r="AK560">
        <v>53</v>
      </c>
      <c r="AL560" t="s">
        <v>92</v>
      </c>
      <c r="AM560" t="s">
        <v>550</v>
      </c>
      <c r="AN560" t="s">
        <v>4772</v>
      </c>
      <c r="AO560" t="s">
        <v>10935</v>
      </c>
      <c r="AP560" t="s">
        <v>10936</v>
      </c>
      <c r="AQ560" t="s">
        <v>74</v>
      </c>
      <c r="AR560" t="s">
        <v>10937</v>
      </c>
      <c r="AS560" t="s">
        <v>10938</v>
      </c>
      <c r="AT560" t="s">
        <v>9714</v>
      </c>
      <c r="AU560">
        <v>2015</v>
      </c>
      <c r="AV560">
        <v>61</v>
      </c>
      <c r="AW560">
        <v>3</v>
      </c>
      <c r="AX560" t="s">
        <v>74</v>
      </c>
      <c r="AY560" t="s">
        <v>74</v>
      </c>
      <c r="AZ560" t="s">
        <v>74</v>
      </c>
      <c r="BA560" t="s">
        <v>74</v>
      </c>
      <c r="BB560">
        <v>335</v>
      </c>
      <c r="BC560">
        <v>345</v>
      </c>
      <c r="BD560" t="s">
        <v>74</v>
      </c>
      <c r="BE560" t="s">
        <v>10939</v>
      </c>
      <c r="BF560" t="str">
        <f>HYPERLINK("http://dx.doi.org/10.1007/s00294-014-0457-7","http://dx.doi.org/10.1007/s00294-014-0457-7")</f>
        <v>http://dx.doi.org/10.1007/s00294-014-0457-7</v>
      </c>
      <c r="BG560" t="s">
        <v>74</v>
      </c>
      <c r="BH560" t="s">
        <v>74</v>
      </c>
      <c r="BI560">
        <v>11</v>
      </c>
      <c r="BJ560" t="s">
        <v>10344</v>
      </c>
      <c r="BK560" t="s">
        <v>101</v>
      </c>
      <c r="BL560" t="s">
        <v>10344</v>
      </c>
      <c r="BM560" t="s">
        <v>10940</v>
      </c>
      <c r="BN560">
        <v>25381156</v>
      </c>
      <c r="BO560" t="s">
        <v>74</v>
      </c>
      <c r="BP560" t="s">
        <v>74</v>
      </c>
      <c r="BQ560" t="s">
        <v>74</v>
      </c>
      <c r="BR560" t="s">
        <v>103</v>
      </c>
      <c r="BS560" t="s">
        <v>10941</v>
      </c>
      <c r="BT560" t="str">
        <f>HYPERLINK("https%3A%2F%2Fwww.webofscience.com%2Fwos%2Fwoscc%2Ffull-record%2FWOS:000358180000011","View Full Record in Web of Science")</f>
        <v>View Full Record in Web of Science</v>
      </c>
    </row>
    <row r="561" spans="1:72" x14ac:dyDescent="0.15">
      <c r="A561" t="s">
        <v>72</v>
      </c>
      <c r="B561" t="s">
        <v>10942</v>
      </c>
      <c r="C561" t="s">
        <v>74</v>
      </c>
      <c r="D561" t="s">
        <v>74</v>
      </c>
      <c r="E561" t="s">
        <v>74</v>
      </c>
      <c r="F561" t="s">
        <v>10943</v>
      </c>
      <c r="G561" t="s">
        <v>74</v>
      </c>
      <c r="H561" t="s">
        <v>74</v>
      </c>
      <c r="I561" t="s">
        <v>10944</v>
      </c>
      <c r="J561" t="s">
        <v>2927</v>
      </c>
      <c r="K561" t="s">
        <v>74</v>
      </c>
      <c r="L561" t="s">
        <v>74</v>
      </c>
      <c r="M561" t="s">
        <v>78</v>
      </c>
      <c r="N561" t="s">
        <v>79</v>
      </c>
      <c r="O561" t="s">
        <v>74</v>
      </c>
      <c r="P561" t="s">
        <v>74</v>
      </c>
      <c r="Q561" t="s">
        <v>74</v>
      </c>
      <c r="R561" t="s">
        <v>74</v>
      </c>
      <c r="S561" t="s">
        <v>74</v>
      </c>
      <c r="T561" t="s">
        <v>10945</v>
      </c>
      <c r="U561" t="s">
        <v>10946</v>
      </c>
      <c r="V561" t="s">
        <v>10947</v>
      </c>
      <c r="W561" t="s">
        <v>10948</v>
      </c>
      <c r="X561" t="s">
        <v>10949</v>
      </c>
      <c r="Y561" t="s">
        <v>10950</v>
      </c>
      <c r="Z561" t="s">
        <v>10951</v>
      </c>
      <c r="AA561" t="s">
        <v>10952</v>
      </c>
      <c r="AB561" t="s">
        <v>10953</v>
      </c>
      <c r="AC561" t="s">
        <v>10954</v>
      </c>
      <c r="AD561" t="s">
        <v>10954</v>
      </c>
      <c r="AE561" t="s">
        <v>10955</v>
      </c>
      <c r="AF561" t="s">
        <v>74</v>
      </c>
      <c r="AG561">
        <v>76</v>
      </c>
      <c r="AH561">
        <v>14</v>
      </c>
      <c r="AI561">
        <v>16</v>
      </c>
      <c r="AJ561">
        <v>1</v>
      </c>
      <c r="AK561">
        <v>19</v>
      </c>
      <c r="AL561" t="s">
        <v>397</v>
      </c>
      <c r="AM561" t="s">
        <v>398</v>
      </c>
      <c r="AN561" t="s">
        <v>399</v>
      </c>
      <c r="AO561" t="s">
        <v>2940</v>
      </c>
      <c r="AP561" t="s">
        <v>2941</v>
      </c>
      <c r="AQ561" t="s">
        <v>74</v>
      </c>
      <c r="AR561" t="s">
        <v>2942</v>
      </c>
      <c r="AS561" t="s">
        <v>2943</v>
      </c>
      <c r="AT561" t="s">
        <v>9714</v>
      </c>
      <c r="AU561">
        <v>2015</v>
      </c>
      <c r="AV561">
        <v>102</v>
      </c>
      <c r="AW561" t="s">
        <v>74</v>
      </c>
      <c r="AX561" t="s">
        <v>74</v>
      </c>
      <c r="AY561" t="s">
        <v>74</v>
      </c>
      <c r="AZ561" t="s">
        <v>74</v>
      </c>
      <c r="BA561" t="s">
        <v>74</v>
      </c>
      <c r="BB561">
        <v>118</v>
      </c>
      <c r="BC561">
        <v>134</v>
      </c>
      <c r="BD561" t="s">
        <v>74</v>
      </c>
      <c r="BE561" t="s">
        <v>10956</v>
      </c>
      <c r="BF561" t="str">
        <f>HYPERLINK("http://dx.doi.org/10.1016/j.dsr.2015.04.013","http://dx.doi.org/10.1016/j.dsr.2015.04.013")</f>
        <v>http://dx.doi.org/10.1016/j.dsr.2015.04.013</v>
      </c>
      <c r="BG561" t="s">
        <v>74</v>
      </c>
      <c r="BH561" t="s">
        <v>74</v>
      </c>
      <c r="BI561">
        <v>17</v>
      </c>
      <c r="BJ561" t="s">
        <v>339</v>
      </c>
      <c r="BK561" t="s">
        <v>101</v>
      </c>
      <c r="BL561" t="s">
        <v>339</v>
      </c>
      <c r="BM561" t="s">
        <v>10957</v>
      </c>
      <c r="BN561" t="s">
        <v>74</v>
      </c>
      <c r="BO561" t="s">
        <v>74</v>
      </c>
      <c r="BP561" t="s">
        <v>74</v>
      </c>
      <c r="BQ561" t="s">
        <v>74</v>
      </c>
      <c r="BR561" t="s">
        <v>103</v>
      </c>
      <c r="BS561" t="s">
        <v>10958</v>
      </c>
      <c r="BT561" t="str">
        <f>HYPERLINK("https%3A%2F%2Fwww.webofscience.com%2Fwos%2Fwoscc%2Ffull-record%2FWOS:000358184400010","View Full Record in Web of Science")</f>
        <v>View Full Record in Web of Science</v>
      </c>
    </row>
    <row r="562" spans="1:72" x14ac:dyDescent="0.15">
      <c r="A562" t="s">
        <v>72</v>
      </c>
      <c r="B562" t="s">
        <v>10959</v>
      </c>
      <c r="C562" t="s">
        <v>74</v>
      </c>
      <c r="D562" t="s">
        <v>74</v>
      </c>
      <c r="E562" t="s">
        <v>74</v>
      </c>
      <c r="F562" t="s">
        <v>10960</v>
      </c>
      <c r="G562" t="s">
        <v>74</v>
      </c>
      <c r="H562" t="s">
        <v>74</v>
      </c>
      <c r="I562" t="s">
        <v>10961</v>
      </c>
      <c r="J562" t="s">
        <v>10962</v>
      </c>
      <c r="K562" t="s">
        <v>74</v>
      </c>
      <c r="L562" t="s">
        <v>74</v>
      </c>
      <c r="M562" t="s">
        <v>78</v>
      </c>
      <c r="N562" t="s">
        <v>79</v>
      </c>
      <c r="O562" t="s">
        <v>74</v>
      </c>
      <c r="P562" t="s">
        <v>74</v>
      </c>
      <c r="Q562" t="s">
        <v>74</v>
      </c>
      <c r="R562" t="s">
        <v>74</v>
      </c>
      <c r="S562" t="s">
        <v>74</v>
      </c>
      <c r="T562" t="s">
        <v>10963</v>
      </c>
      <c r="U562" t="s">
        <v>10964</v>
      </c>
      <c r="V562" t="s">
        <v>10965</v>
      </c>
      <c r="W562" t="s">
        <v>10966</v>
      </c>
      <c r="X562" t="s">
        <v>10967</v>
      </c>
      <c r="Y562" t="s">
        <v>10968</v>
      </c>
      <c r="Z562" t="s">
        <v>10969</v>
      </c>
      <c r="AA562" t="s">
        <v>74</v>
      </c>
      <c r="AB562" t="s">
        <v>74</v>
      </c>
      <c r="AC562" t="s">
        <v>10970</v>
      </c>
      <c r="AD562" t="s">
        <v>10971</v>
      </c>
      <c r="AE562" t="s">
        <v>10972</v>
      </c>
      <c r="AF562" t="s">
        <v>74</v>
      </c>
      <c r="AG562">
        <v>28</v>
      </c>
      <c r="AH562">
        <v>27</v>
      </c>
      <c r="AI562">
        <v>28</v>
      </c>
      <c r="AJ562">
        <v>0</v>
      </c>
      <c r="AK562">
        <v>30</v>
      </c>
      <c r="AL562" t="s">
        <v>208</v>
      </c>
      <c r="AM562" t="s">
        <v>209</v>
      </c>
      <c r="AN562" t="s">
        <v>210</v>
      </c>
      <c r="AO562" t="s">
        <v>10973</v>
      </c>
      <c r="AP562" t="s">
        <v>10974</v>
      </c>
      <c r="AQ562" t="s">
        <v>74</v>
      </c>
      <c r="AR562" t="s">
        <v>10975</v>
      </c>
      <c r="AS562" t="s">
        <v>10976</v>
      </c>
      <c r="AT562" t="s">
        <v>9714</v>
      </c>
      <c r="AU562">
        <v>2015</v>
      </c>
      <c r="AV562">
        <v>55</v>
      </c>
      <c r="AW562">
        <v>8</v>
      </c>
      <c r="AX562" t="s">
        <v>74</v>
      </c>
      <c r="AY562" t="s">
        <v>74</v>
      </c>
      <c r="AZ562" t="s">
        <v>74</v>
      </c>
      <c r="BA562" t="s">
        <v>74</v>
      </c>
      <c r="BB562">
        <v>1029</v>
      </c>
      <c r="BC562">
        <v>1039</v>
      </c>
      <c r="BD562" t="s">
        <v>74</v>
      </c>
      <c r="BE562" t="s">
        <v>10977</v>
      </c>
      <c r="BF562" t="str">
        <f>HYPERLINK("http://dx.doi.org/10.1002/jobm.201400865","http://dx.doi.org/10.1002/jobm.201400865")</f>
        <v>http://dx.doi.org/10.1002/jobm.201400865</v>
      </c>
      <c r="BG562" t="s">
        <v>74</v>
      </c>
      <c r="BH562" t="s">
        <v>74</v>
      </c>
      <c r="BI562">
        <v>11</v>
      </c>
      <c r="BJ562" t="s">
        <v>160</v>
      </c>
      <c r="BK562" t="s">
        <v>101</v>
      </c>
      <c r="BL562" t="s">
        <v>160</v>
      </c>
      <c r="BM562" t="s">
        <v>10978</v>
      </c>
      <c r="BN562">
        <v>25727311</v>
      </c>
      <c r="BO562" t="s">
        <v>74</v>
      </c>
      <c r="BP562" t="s">
        <v>74</v>
      </c>
      <c r="BQ562" t="s">
        <v>74</v>
      </c>
      <c r="BR562" t="s">
        <v>103</v>
      </c>
      <c r="BS562" t="s">
        <v>10979</v>
      </c>
      <c r="BT562" t="str">
        <f>HYPERLINK("https%3A%2F%2Fwww.webofscience.com%2Fwos%2Fwoscc%2Ffull-record%2FWOS:000358441000010","View Full Record in Web of Science")</f>
        <v>View Full Record in Web of Science</v>
      </c>
    </row>
    <row r="563" spans="1:72" x14ac:dyDescent="0.15">
      <c r="A563" t="s">
        <v>72</v>
      </c>
      <c r="B563" t="s">
        <v>10980</v>
      </c>
      <c r="C563" t="s">
        <v>74</v>
      </c>
      <c r="D563" t="s">
        <v>74</v>
      </c>
      <c r="E563" t="s">
        <v>74</v>
      </c>
      <c r="F563" t="s">
        <v>10981</v>
      </c>
      <c r="G563" t="s">
        <v>74</v>
      </c>
      <c r="H563" t="s">
        <v>74</v>
      </c>
      <c r="I563" t="s">
        <v>10982</v>
      </c>
      <c r="J563" t="s">
        <v>10983</v>
      </c>
      <c r="K563" t="s">
        <v>74</v>
      </c>
      <c r="L563" t="s">
        <v>74</v>
      </c>
      <c r="M563" t="s">
        <v>78</v>
      </c>
      <c r="N563" t="s">
        <v>79</v>
      </c>
      <c r="O563" t="s">
        <v>74</v>
      </c>
      <c r="P563" t="s">
        <v>74</v>
      </c>
      <c r="Q563" t="s">
        <v>74</v>
      </c>
      <c r="R563" t="s">
        <v>74</v>
      </c>
      <c r="S563" t="s">
        <v>74</v>
      </c>
      <c r="T563" t="s">
        <v>10984</v>
      </c>
      <c r="U563" t="s">
        <v>10985</v>
      </c>
      <c r="V563" t="s">
        <v>10986</v>
      </c>
      <c r="W563" t="s">
        <v>10987</v>
      </c>
      <c r="X563" t="s">
        <v>10988</v>
      </c>
      <c r="Y563" t="s">
        <v>10989</v>
      </c>
      <c r="Z563" t="s">
        <v>10990</v>
      </c>
      <c r="AA563" t="s">
        <v>74</v>
      </c>
      <c r="AB563" t="s">
        <v>74</v>
      </c>
      <c r="AC563" t="s">
        <v>10991</v>
      </c>
      <c r="AD563" t="s">
        <v>10992</v>
      </c>
      <c r="AE563" t="s">
        <v>10993</v>
      </c>
      <c r="AF563" t="s">
        <v>74</v>
      </c>
      <c r="AG563">
        <v>71</v>
      </c>
      <c r="AH563">
        <v>10</v>
      </c>
      <c r="AI563">
        <v>12</v>
      </c>
      <c r="AJ563">
        <v>0</v>
      </c>
      <c r="AK563">
        <v>27</v>
      </c>
      <c r="AL563" t="s">
        <v>208</v>
      </c>
      <c r="AM563" t="s">
        <v>209</v>
      </c>
      <c r="AN563" t="s">
        <v>210</v>
      </c>
      <c r="AO563" t="s">
        <v>10994</v>
      </c>
      <c r="AP563" t="s">
        <v>10995</v>
      </c>
      <c r="AQ563" t="s">
        <v>74</v>
      </c>
      <c r="AR563" t="s">
        <v>10996</v>
      </c>
      <c r="AS563" t="s">
        <v>10997</v>
      </c>
      <c r="AT563" t="s">
        <v>9714</v>
      </c>
      <c r="AU563">
        <v>2015</v>
      </c>
      <c r="AV563">
        <v>79</v>
      </c>
      <c r="AW563">
        <v>6</v>
      </c>
      <c r="AX563" t="s">
        <v>74</v>
      </c>
      <c r="AY563" t="s">
        <v>74</v>
      </c>
      <c r="AZ563" t="s">
        <v>74</v>
      </c>
      <c r="BA563" t="s">
        <v>74</v>
      </c>
      <c r="BB563">
        <v>969</v>
      </c>
      <c r="BC563">
        <v>977</v>
      </c>
      <c r="BD563" t="s">
        <v>74</v>
      </c>
      <c r="BE563" t="s">
        <v>10998</v>
      </c>
      <c r="BF563" t="str">
        <f>HYPERLINK("http://dx.doi.org/10.1002/jwmg.906","http://dx.doi.org/10.1002/jwmg.906")</f>
        <v>http://dx.doi.org/10.1002/jwmg.906</v>
      </c>
      <c r="BG563" t="s">
        <v>74</v>
      </c>
      <c r="BH563" t="s">
        <v>74</v>
      </c>
      <c r="BI563">
        <v>9</v>
      </c>
      <c r="BJ563" t="s">
        <v>216</v>
      </c>
      <c r="BK563" t="s">
        <v>1482</v>
      </c>
      <c r="BL563" t="s">
        <v>217</v>
      </c>
      <c r="BM563" t="s">
        <v>10999</v>
      </c>
      <c r="BN563" t="s">
        <v>74</v>
      </c>
      <c r="BO563" t="s">
        <v>74</v>
      </c>
      <c r="BP563" t="s">
        <v>74</v>
      </c>
      <c r="BQ563" t="s">
        <v>74</v>
      </c>
      <c r="BR563" t="s">
        <v>103</v>
      </c>
      <c r="BS563" t="s">
        <v>11000</v>
      </c>
      <c r="BT563" t="str">
        <f>HYPERLINK("https%3A%2F%2Fwww.webofscience.com%2Fwos%2Fwoscc%2Ffull-record%2FWOS:000358177000012","View Full Record in Web of Science")</f>
        <v>View Full Record in Web of Science</v>
      </c>
    </row>
    <row r="564" spans="1:72" x14ac:dyDescent="0.15">
      <c r="A564" t="s">
        <v>72</v>
      </c>
      <c r="B564" t="s">
        <v>11001</v>
      </c>
      <c r="C564" t="s">
        <v>74</v>
      </c>
      <c r="D564" t="s">
        <v>74</v>
      </c>
      <c r="E564" t="s">
        <v>74</v>
      </c>
      <c r="F564" t="s">
        <v>11002</v>
      </c>
      <c r="G564" t="s">
        <v>74</v>
      </c>
      <c r="H564" t="s">
        <v>74</v>
      </c>
      <c r="I564" t="s">
        <v>11003</v>
      </c>
      <c r="J564" t="s">
        <v>4759</v>
      </c>
      <c r="K564" t="s">
        <v>74</v>
      </c>
      <c r="L564" t="s">
        <v>74</v>
      </c>
      <c r="M564" t="s">
        <v>78</v>
      </c>
      <c r="N564" t="s">
        <v>79</v>
      </c>
      <c r="O564" t="s">
        <v>74</v>
      </c>
      <c r="P564" t="s">
        <v>74</v>
      </c>
      <c r="Q564" t="s">
        <v>74</v>
      </c>
      <c r="R564" t="s">
        <v>74</v>
      </c>
      <c r="S564" t="s">
        <v>74</v>
      </c>
      <c r="T564" t="s">
        <v>11004</v>
      </c>
      <c r="U564" t="s">
        <v>11005</v>
      </c>
      <c r="V564" t="s">
        <v>11006</v>
      </c>
      <c r="W564" t="s">
        <v>11007</v>
      </c>
      <c r="X564" t="s">
        <v>11008</v>
      </c>
      <c r="Y564" t="s">
        <v>11009</v>
      </c>
      <c r="Z564" t="s">
        <v>11010</v>
      </c>
      <c r="AA564" t="s">
        <v>11011</v>
      </c>
      <c r="AB564" t="s">
        <v>11012</v>
      </c>
      <c r="AC564" t="s">
        <v>11013</v>
      </c>
      <c r="AD564" t="s">
        <v>11014</v>
      </c>
      <c r="AE564" t="s">
        <v>11015</v>
      </c>
      <c r="AF564" t="s">
        <v>74</v>
      </c>
      <c r="AG564">
        <v>55</v>
      </c>
      <c r="AH564">
        <v>41</v>
      </c>
      <c r="AI564">
        <v>47</v>
      </c>
      <c r="AJ564">
        <v>0</v>
      </c>
      <c r="AK564">
        <v>47</v>
      </c>
      <c r="AL564" t="s">
        <v>92</v>
      </c>
      <c r="AM564" t="s">
        <v>550</v>
      </c>
      <c r="AN564" t="s">
        <v>1398</v>
      </c>
      <c r="AO564" t="s">
        <v>4773</v>
      </c>
      <c r="AP564" t="s">
        <v>4774</v>
      </c>
      <c r="AQ564" t="s">
        <v>74</v>
      </c>
      <c r="AR564" t="s">
        <v>4775</v>
      </c>
      <c r="AS564" t="s">
        <v>4776</v>
      </c>
      <c r="AT564" t="s">
        <v>9714</v>
      </c>
      <c r="AU564">
        <v>2015</v>
      </c>
      <c r="AV564">
        <v>38</v>
      </c>
      <c r="AW564">
        <v>8</v>
      </c>
      <c r="AX564" t="s">
        <v>74</v>
      </c>
      <c r="AY564" t="s">
        <v>74</v>
      </c>
      <c r="AZ564" t="s">
        <v>74</v>
      </c>
      <c r="BA564" t="s">
        <v>74</v>
      </c>
      <c r="BB564">
        <v>1097</v>
      </c>
      <c r="BC564">
        <v>1110</v>
      </c>
      <c r="BD564" t="s">
        <v>74</v>
      </c>
      <c r="BE564" t="s">
        <v>11016</v>
      </c>
      <c r="BF564" t="str">
        <f>HYPERLINK("http://dx.doi.org/10.1007/s00300-015-1669-0","http://dx.doi.org/10.1007/s00300-015-1669-0")</f>
        <v>http://dx.doi.org/10.1007/s00300-015-1669-0</v>
      </c>
      <c r="BG564" t="s">
        <v>74</v>
      </c>
      <c r="BH564" t="s">
        <v>74</v>
      </c>
      <c r="BI564">
        <v>14</v>
      </c>
      <c r="BJ564" t="s">
        <v>4778</v>
      </c>
      <c r="BK564" t="s">
        <v>101</v>
      </c>
      <c r="BL564" t="s">
        <v>3806</v>
      </c>
      <c r="BM564" t="s">
        <v>11017</v>
      </c>
      <c r="BN564" t="s">
        <v>74</v>
      </c>
      <c r="BO564" t="s">
        <v>74</v>
      </c>
      <c r="BP564" t="s">
        <v>74</v>
      </c>
      <c r="BQ564" t="s">
        <v>74</v>
      </c>
      <c r="BR564" t="s">
        <v>103</v>
      </c>
      <c r="BS564" t="s">
        <v>11018</v>
      </c>
      <c r="BT564" t="str">
        <f>HYPERLINK("https%3A%2F%2Fwww.webofscience.com%2Fwos%2Fwoscc%2Ffull-record%2FWOS:000358041600001","View Full Record in Web of Science")</f>
        <v>View Full Record in Web of Science</v>
      </c>
    </row>
    <row r="565" spans="1:72" x14ac:dyDescent="0.15">
      <c r="A565" t="s">
        <v>72</v>
      </c>
      <c r="B565" t="s">
        <v>11019</v>
      </c>
      <c r="C565" t="s">
        <v>74</v>
      </c>
      <c r="D565" t="s">
        <v>74</v>
      </c>
      <c r="E565" t="s">
        <v>74</v>
      </c>
      <c r="F565" t="s">
        <v>11020</v>
      </c>
      <c r="G565" t="s">
        <v>74</v>
      </c>
      <c r="H565" t="s">
        <v>74</v>
      </c>
      <c r="I565" t="s">
        <v>11021</v>
      </c>
      <c r="J565" t="s">
        <v>4759</v>
      </c>
      <c r="K565" t="s">
        <v>74</v>
      </c>
      <c r="L565" t="s">
        <v>74</v>
      </c>
      <c r="M565" t="s">
        <v>78</v>
      </c>
      <c r="N565" t="s">
        <v>79</v>
      </c>
      <c r="O565" t="s">
        <v>74</v>
      </c>
      <c r="P565" t="s">
        <v>74</v>
      </c>
      <c r="Q565" t="s">
        <v>74</v>
      </c>
      <c r="R565" t="s">
        <v>74</v>
      </c>
      <c r="S565" t="s">
        <v>74</v>
      </c>
      <c r="T565" t="s">
        <v>11022</v>
      </c>
      <c r="U565" t="s">
        <v>11023</v>
      </c>
      <c r="V565" t="s">
        <v>11024</v>
      </c>
      <c r="W565" t="s">
        <v>11025</v>
      </c>
      <c r="X565" t="s">
        <v>11026</v>
      </c>
      <c r="Y565" t="s">
        <v>11027</v>
      </c>
      <c r="Z565" t="s">
        <v>11028</v>
      </c>
      <c r="AA565" t="s">
        <v>11029</v>
      </c>
      <c r="AB565" t="s">
        <v>11030</v>
      </c>
      <c r="AC565" t="s">
        <v>11031</v>
      </c>
      <c r="AD565" t="s">
        <v>11032</v>
      </c>
      <c r="AE565" t="s">
        <v>11033</v>
      </c>
      <c r="AF565" t="s">
        <v>74</v>
      </c>
      <c r="AG565">
        <v>59</v>
      </c>
      <c r="AH565">
        <v>13</v>
      </c>
      <c r="AI565">
        <v>14</v>
      </c>
      <c r="AJ565">
        <v>0</v>
      </c>
      <c r="AK565">
        <v>26</v>
      </c>
      <c r="AL565" t="s">
        <v>92</v>
      </c>
      <c r="AM565" t="s">
        <v>550</v>
      </c>
      <c r="AN565" t="s">
        <v>4772</v>
      </c>
      <c r="AO565" t="s">
        <v>4773</v>
      </c>
      <c r="AP565" t="s">
        <v>4774</v>
      </c>
      <c r="AQ565" t="s">
        <v>74</v>
      </c>
      <c r="AR565" t="s">
        <v>4775</v>
      </c>
      <c r="AS565" t="s">
        <v>4776</v>
      </c>
      <c r="AT565" t="s">
        <v>9714</v>
      </c>
      <c r="AU565">
        <v>2015</v>
      </c>
      <c r="AV565">
        <v>38</v>
      </c>
      <c r="AW565">
        <v>8</v>
      </c>
      <c r="AX565" t="s">
        <v>74</v>
      </c>
      <c r="AY565" t="s">
        <v>74</v>
      </c>
      <c r="AZ565" t="s">
        <v>74</v>
      </c>
      <c r="BA565" t="s">
        <v>74</v>
      </c>
      <c r="BB565">
        <v>1111</v>
      </c>
      <c r="BC565">
        <v>1127</v>
      </c>
      <c r="BD565" t="s">
        <v>74</v>
      </c>
      <c r="BE565" t="s">
        <v>11034</v>
      </c>
      <c r="BF565" t="str">
        <f>HYPERLINK("http://dx.doi.org/10.1007/s00300-015-1670-7","http://dx.doi.org/10.1007/s00300-015-1670-7")</f>
        <v>http://dx.doi.org/10.1007/s00300-015-1670-7</v>
      </c>
      <c r="BG565" t="s">
        <v>74</v>
      </c>
      <c r="BH565" t="s">
        <v>74</v>
      </c>
      <c r="BI565">
        <v>17</v>
      </c>
      <c r="BJ565" t="s">
        <v>4778</v>
      </c>
      <c r="BK565" t="s">
        <v>101</v>
      </c>
      <c r="BL565" t="s">
        <v>3806</v>
      </c>
      <c r="BM565" t="s">
        <v>11017</v>
      </c>
      <c r="BN565" t="s">
        <v>74</v>
      </c>
      <c r="BO565" t="s">
        <v>74</v>
      </c>
      <c r="BP565" t="s">
        <v>74</v>
      </c>
      <c r="BQ565" t="s">
        <v>74</v>
      </c>
      <c r="BR565" t="s">
        <v>103</v>
      </c>
      <c r="BS565" t="s">
        <v>11035</v>
      </c>
      <c r="BT565" t="str">
        <f>HYPERLINK("https%3A%2F%2Fwww.webofscience.com%2Fwos%2Fwoscc%2Ffull-record%2FWOS:000358041600002","View Full Record in Web of Science")</f>
        <v>View Full Record in Web of Science</v>
      </c>
    </row>
    <row r="566" spans="1:72" x14ac:dyDescent="0.15">
      <c r="A566" t="s">
        <v>72</v>
      </c>
      <c r="B566" t="s">
        <v>11036</v>
      </c>
      <c r="C566" t="s">
        <v>74</v>
      </c>
      <c r="D566" t="s">
        <v>74</v>
      </c>
      <c r="E566" t="s">
        <v>74</v>
      </c>
      <c r="F566" t="s">
        <v>11037</v>
      </c>
      <c r="G566" t="s">
        <v>74</v>
      </c>
      <c r="H566" t="s">
        <v>74</v>
      </c>
      <c r="I566" t="s">
        <v>11038</v>
      </c>
      <c r="J566" t="s">
        <v>4759</v>
      </c>
      <c r="K566" t="s">
        <v>74</v>
      </c>
      <c r="L566" t="s">
        <v>74</v>
      </c>
      <c r="M566" t="s">
        <v>78</v>
      </c>
      <c r="N566" t="s">
        <v>79</v>
      </c>
      <c r="O566" t="s">
        <v>74</v>
      </c>
      <c r="P566" t="s">
        <v>74</v>
      </c>
      <c r="Q566" t="s">
        <v>74</v>
      </c>
      <c r="R566" t="s">
        <v>74</v>
      </c>
      <c r="S566" t="s">
        <v>74</v>
      </c>
      <c r="T566" t="s">
        <v>11039</v>
      </c>
      <c r="U566" t="s">
        <v>11040</v>
      </c>
      <c r="V566" t="s">
        <v>11041</v>
      </c>
      <c r="W566" t="s">
        <v>11042</v>
      </c>
      <c r="X566" t="s">
        <v>11043</v>
      </c>
      <c r="Y566" t="s">
        <v>11044</v>
      </c>
      <c r="Z566" t="s">
        <v>11045</v>
      </c>
      <c r="AA566" t="s">
        <v>11046</v>
      </c>
      <c r="AB566" t="s">
        <v>11047</v>
      </c>
      <c r="AC566" t="s">
        <v>11048</v>
      </c>
      <c r="AD566" t="s">
        <v>11049</v>
      </c>
      <c r="AE566" t="s">
        <v>11050</v>
      </c>
      <c r="AF566" t="s">
        <v>74</v>
      </c>
      <c r="AG566">
        <v>42</v>
      </c>
      <c r="AH566">
        <v>28</v>
      </c>
      <c r="AI566">
        <v>30</v>
      </c>
      <c r="AJ566">
        <v>3</v>
      </c>
      <c r="AK566">
        <v>49</v>
      </c>
      <c r="AL566" t="s">
        <v>92</v>
      </c>
      <c r="AM566" t="s">
        <v>550</v>
      </c>
      <c r="AN566" t="s">
        <v>1398</v>
      </c>
      <c r="AO566" t="s">
        <v>4773</v>
      </c>
      <c r="AP566" t="s">
        <v>4774</v>
      </c>
      <c r="AQ566" t="s">
        <v>74</v>
      </c>
      <c r="AR566" t="s">
        <v>4775</v>
      </c>
      <c r="AS566" t="s">
        <v>4776</v>
      </c>
      <c r="AT566" t="s">
        <v>9714</v>
      </c>
      <c r="AU566">
        <v>2015</v>
      </c>
      <c r="AV566">
        <v>38</v>
      </c>
      <c r="AW566">
        <v>8</v>
      </c>
      <c r="AX566" t="s">
        <v>74</v>
      </c>
      <c r="AY566" t="s">
        <v>74</v>
      </c>
      <c r="AZ566" t="s">
        <v>74</v>
      </c>
      <c r="BA566" t="s">
        <v>74</v>
      </c>
      <c r="BB566">
        <v>1129</v>
      </c>
      <c r="BC566">
        <v>1141</v>
      </c>
      <c r="BD566" t="s">
        <v>74</v>
      </c>
      <c r="BE566" t="s">
        <v>11051</v>
      </c>
      <c r="BF566" t="str">
        <f>HYPERLINK("http://dx.doi.org/10.1007/s00300-015-1671-6","http://dx.doi.org/10.1007/s00300-015-1671-6")</f>
        <v>http://dx.doi.org/10.1007/s00300-015-1671-6</v>
      </c>
      <c r="BG566" t="s">
        <v>74</v>
      </c>
      <c r="BH566" t="s">
        <v>74</v>
      </c>
      <c r="BI566">
        <v>13</v>
      </c>
      <c r="BJ566" t="s">
        <v>4778</v>
      </c>
      <c r="BK566" t="s">
        <v>101</v>
      </c>
      <c r="BL566" t="s">
        <v>3806</v>
      </c>
      <c r="BM566" t="s">
        <v>11017</v>
      </c>
      <c r="BN566" t="s">
        <v>74</v>
      </c>
      <c r="BO566" t="s">
        <v>74</v>
      </c>
      <c r="BP566" t="s">
        <v>74</v>
      </c>
      <c r="BQ566" t="s">
        <v>74</v>
      </c>
      <c r="BR566" t="s">
        <v>103</v>
      </c>
      <c r="BS566" t="s">
        <v>11052</v>
      </c>
      <c r="BT566" t="str">
        <f>HYPERLINK("https%3A%2F%2Fwww.webofscience.com%2Fwos%2Fwoscc%2Ffull-record%2FWOS:000358041600003","View Full Record in Web of Science")</f>
        <v>View Full Record in Web of Science</v>
      </c>
    </row>
    <row r="567" spans="1:72" x14ac:dyDescent="0.15">
      <c r="A567" t="s">
        <v>72</v>
      </c>
      <c r="B567" t="s">
        <v>11053</v>
      </c>
      <c r="C567" t="s">
        <v>74</v>
      </c>
      <c r="D567" t="s">
        <v>74</v>
      </c>
      <c r="E567" t="s">
        <v>74</v>
      </c>
      <c r="F567" t="s">
        <v>11054</v>
      </c>
      <c r="G567" t="s">
        <v>74</v>
      </c>
      <c r="H567" t="s">
        <v>74</v>
      </c>
      <c r="I567" t="s">
        <v>11055</v>
      </c>
      <c r="J567" t="s">
        <v>4759</v>
      </c>
      <c r="K567" t="s">
        <v>74</v>
      </c>
      <c r="L567" t="s">
        <v>74</v>
      </c>
      <c r="M567" t="s">
        <v>78</v>
      </c>
      <c r="N567" t="s">
        <v>79</v>
      </c>
      <c r="O567" t="s">
        <v>74</v>
      </c>
      <c r="P567" t="s">
        <v>74</v>
      </c>
      <c r="Q567" t="s">
        <v>74</v>
      </c>
      <c r="R567" t="s">
        <v>74</v>
      </c>
      <c r="S567" t="s">
        <v>74</v>
      </c>
      <c r="T567" t="s">
        <v>11056</v>
      </c>
      <c r="U567" t="s">
        <v>11057</v>
      </c>
      <c r="V567" t="s">
        <v>11058</v>
      </c>
      <c r="W567" t="s">
        <v>11059</v>
      </c>
      <c r="X567" t="s">
        <v>3164</v>
      </c>
      <c r="Y567" t="s">
        <v>11060</v>
      </c>
      <c r="Z567" t="s">
        <v>11061</v>
      </c>
      <c r="AA567" t="s">
        <v>74</v>
      </c>
      <c r="AB567" t="s">
        <v>11062</v>
      </c>
      <c r="AC567" t="s">
        <v>11063</v>
      </c>
      <c r="AD567" t="s">
        <v>11064</v>
      </c>
      <c r="AE567" t="s">
        <v>11065</v>
      </c>
      <c r="AF567" t="s">
        <v>74</v>
      </c>
      <c r="AG567">
        <v>33</v>
      </c>
      <c r="AH567">
        <v>3</v>
      </c>
      <c r="AI567">
        <v>5</v>
      </c>
      <c r="AJ567">
        <v>2</v>
      </c>
      <c r="AK567">
        <v>34</v>
      </c>
      <c r="AL567" t="s">
        <v>92</v>
      </c>
      <c r="AM567" t="s">
        <v>550</v>
      </c>
      <c r="AN567" t="s">
        <v>1398</v>
      </c>
      <c r="AO567" t="s">
        <v>4773</v>
      </c>
      <c r="AP567" t="s">
        <v>4774</v>
      </c>
      <c r="AQ567" t="s">
        <v>74</v>
      </c>
      <c r="AR567" t="s">
        <v>4775</v>
      </c>
      <c r="AS567" t="s">
        <v>4776</v>
      </c>
      <c r="AT567" t="s">
        <v>9714</v>
      </c>
      <c r="AU567">
        <v>2015</v>
      </c>
      <c r="AV567">
        <v>38</v>
      </c>
      <c r="AW567">
        <v>8</v>
      </c>
      <c r="AX567" t="s">
        <v>74</v>
      </c>
      <c r="AY567" t="s">
        <v>74</v>
      </c>
      <c r="AZ567" t="s">
        <v>74</v>
      </c>
      <c r="BA567" t="s">
        <v>74</v>
      </c>
      <c r="BB567">
        <v>1161</v>
      </c>
      <c r="BC567">
        <v>1169</v>
      </c>
      <c r="BD567" t="s">
        <v>74</v>
      </c>
      <c r="BE567" t="s">
        <v>11066</v>
      </c>
      <c r="BF567" t="str">
        <f>HYPERLINK("http://dx.doi.org/10.1007/s00300-015-1674-3","http://dx.doi.org/10.1007/s00300-015-1674-3")</f>
        <v>http://dx.doi.org/10.1007/s00300-015-1674-3</v>
      </c>
      <c r="BG567" t="s">
        <v>74</v>
      </c>
      <c r="BH567" t="s">
        <v>74</v>
      </c>
      <c r="BI567">
        <v>9</v>
      </c>
      <c r="BJ567" t="s">
        <v>4778</v>
      </c>
      <c r="BK567" t="s">
        <v>101</v>
      </c>
      <c r="BL567" t="s">
        <v>3806</v>
      </c>
      <c r="BM567" t="s">
        <v>11017</v>
      </c>
      <c r="BN567" t="s">
        <v>74</v>
      </c>
      <c r="BO567" t="s">
        <v>74</v>
      </c>
      <c r="BP567" t="s">
        <v>74</v>
      </c>
      <c r="BQ567" t="s">
        <v>74</v>
      </c>
      <c r="BR567" t="s">
        <v>103</v>
      </c>
      <c r="BS567" t="s">
        <v>11067</v>
      </c>
      <c r="BT567" t="str">
        <f>HYPERLINK("https%3A%2F%2Fwww.webofscience.com%2Fwos%2Fwoscc%2Ffull-record%2FWOS:000358041600006","View Full Record in Web of Science")</f>
        <v>View Full Record in Web of Science</v>
      </c>
    </row>
    <row r="568" spans="1:72" x14ac:dyDescent="0.15">
      <c r="A568" t="s">
        <v>72</v>
      </c>
      <c r="B568" t="s">
        <v>11068</v>
      </c>
      <c r="C568" t="s">
        <v>74</v>
      </c>
      <c r="D568" t="s">
        <v>74</v>
      </c>
      <c r="E568" t="s">
        <v>74</v>
      </c>
      <c r="F568" t="s">
        <v>11069</v>
      </c>
      <c r="G568" t="s">
        <v>74</v>
      </c>
      <c r="H568" t="s">
        <v>74</v>
      </c>
      <c r="I568" t="s">
        <v>11070</v>
      </c>
      <c r="J568" t="s">
        <v>4759</v>
      </c>
      <c r="K568" t="s">
        <v>74</v>
      </c>
      <c r="L568" t="s">
        <v>74</v>
      </c>
      <c r="M568" t="s">
        <v>78</v>
      </c>
      <c r="N568" t="s">
        <v>79</v>
      </c>
      <c r="O568" t="s">
        <v>74</v>
      </c>
      <c r="P568" t="s">
        <v>74</v>
      </c>
      <c r="Q568" t="s">
        <v>74</v>
      </c>
      <c r="R568" t="s">
        <v>74</v>
      </c>
      <c r="S568" t="s">
        <v>74</v>
      </c>
      <c r="T568" t="s">
        <v>11071</v>
      </c>
      <c r="U568" t="s">
        <v>11072</v>
      </c>
      <c r="V568" t="s">
        <v>11073</v>
      </c>
      <c r="W568" t="s">
        <v>11074</v>
      </c>
      <c r="X568" t="s">
        <v>11075</v>
      </c>
      <c r="Y568" t="s">
        <v>11076</v>
      </c>
      <c r="Z568" t="s">
        <v>11077</v>
      </c>
      <c r="AA568" t="s">
        <v>11078</v>
      </c>
      <c r="AB568" t="s">
        <v>11079</v>
      </c>
      <c r="AC568" t="s">
        <v>11080</v>
      </c>
      <c r="AD568" t="s">
        <v>11080</v>
      </c>
      <c r="AE568" t="s">
        <v>11081</v>
      </c>
      <c r="AF568" t="s">
        <v>74</v>
      </c>
      <c r="AG568">
        <v>46</v>
      </c>
      <c r="AH568">
        <v>28</v>
      </c>
      <c r="AI568">
        <v>30</v>
      </c>
      <c r="AJ568">
        <v>0</v>
      </c>
      <c r="AK568">
        <v>118</v>
      </c>
      <c r="AL568" t="s">
        <v>92</v>
      </c>
      <c r="AM568" t="s">
        <v>550</v>
      </c>
      <c r="AN568" t="s">
        <v>4772</v>
      </c>
      <c r="AO568" t="s">
        <v>4773</v>
      </c>
      <c r="AP568" t="s">
        <v>4774</v>
      </c>
      <c r="AQ568" t="s">
        <v>74</v>
      </c>
      <c r="AR568" t="s">
        <v>4775</v>
      </c>
      <c r="AS568" t="s">
        <v>4776</v>
      </c>
      <c r="AT568" t="s">
        <v>9714</v>
      </c>
      <c r="AU568">
        <v>2015</v>
      </c>
      <c r="AV568">
        <v>38</v>
      </c>
      <c r="AW568">
        <v>8</v>
      </c>
      <c r="AX568" t="s">
        <v>74</v>
      </c>
      <c r="AY568" t="s">
        <v>74</v>
      </c>
      <c r="AZ568" t="s">
        <v>74</v>
      </c>
      <c r="BA568" t="s">
        <v>74</v>
      </c>
      <c r="BB568">
        <v>1195</v>
      </c>
      <c r="BC568">
        <v>1202</v>
      </c>
      <c r="BD568" t="s">
        <v>74</v>
      </c>
      <c r="BE568" t="s">
        <v>11082</v>
      </c>
      <c r="BF568" t="str">
        <f>HYPERLINK("http://dx.doi.org/10.1007/s00300-015-1685-0","http://dx.doi.org/10.1007/s00300-015-1685-0")</f>
        <v>http://dx.doi.org/10.1007/s00300-015-1685-0</v>
      </c>
      <c r="BG568" t="s">
        <v>74</v>
      </c>
      <c r="BH568" t="s">
        <v>74</v>
      </c>
      <c r="BI568">
        <v>8</v>
      </c>
      <c r="BJ568" t="s">
        <v>4778</v>
      </c>
      <c r="BK568" t="s">
        <v>101</v>
      </c>
      <c r="BL568" t="s">
        <v>3806</v>
      </c>
      <c r="BM568" t="s">
        <v>11017</v>
      </c>
      <c r="BN568" t="s">
        <v>74</v>
      </c>
      <c r="BO568" t="s">
        <v>74</v>
      </c>
      <c r="BP568" t="s">
        <v>74</v>
      </c>
      <c r="BQ568" t="s">
        <v>74</v>
      </c>
      <c r="BR568" t="s">
        <v>103</v>
      </c>
      <c r="BS568" t="s">
        <v>11083</v>
      </c>
      <c r="BT568" t="str">
        <f>HYPERLINK("https%3A%2F%2Fwww.webofscience.com%2Fwos%2Fwoscc%2Ffull-record%2FWOS:000358041600009","View Full Record in Web of Science")</f>
        <v>View Full Record in Web of Science</v>
      </c>
    </row>
    <row r="569" spans="1:72" x14ac:dyDescent="0.15">
      <c r="A569" t="s">
        <v>72</v>
      </c>
      <c r="B569" t="s">
        <v>11084</v>
      </c>
      <c r="C569" t="s">
        <v>74</v>
      </c>
      <c r="D569" t="s">
        <v>74</v>
      </c>
      <c r="E569" t="s">
        <v>74</v>
      </c>
      <c r="F569" t="s">
        <v>11085</v>
      </c>
      <c r="G569" t="s">
        <v>74</v>
      </c>
      <c r="H569" t="s">
        <v>74</v>
      </c>
      <c r="I569" t="s">
        <v>11086</v>
      </c>
      <c r="J569" t="s">
        <v>4759</v>
      </c>
      <c r="K569" t="s">
        <v>74</v>
      </c>
      <c r="L569" t="s">
        <v>74</v>
      </c>
      <c r="M569" t="s">
        <v>78</v>
      </c>
      <c r="N569" t="s">
        <v>79</v>
      </c>
      <c r="O569" t="s">
        <v>74</v>
      </c>
      <c r="P569" t="s">
        <v>74</v>
      </c>
      <c r="Q569" t="s">
        <v>74</v>
      </c>
      <c r="R569" t="s">
        <v>74</v>
      </c>
      <c r="S569" t="s">
        <v>74</v>
      </c>
      <c r="T569" t="s">
        <v>11087</v>
      </c>
      <c r="U569" t="s">
        <v>11088</v>
      </c>
      <c r="V569" t="s">
        <v>11089</v>
      </c>
      <c r="W569" t="s">
        <v>11090</v>
      </c>
      <c r="X569" t="s">
        <v>11091</v>
      </c>
      <c r="Y569" t="s">
        <v>11092</v>
      </c>
      <c r="Z569" t="s">
        <v>11093</v>
      </c>
      <c r="AA569" t="s">
        <v>11094</v>
      </c>
      <c r="AB569" t="s">
        <v>11095</v>
      </c>
      <c r="AC569" t="s">
        <v>11096</v>
      </c>
      <c r="AD569" t="s">
        <v>11097</v>
      </c>
      <c r="AE569" t="s">
        <v>11098</v>
      </c>
      <c r="AF569" t="s">
        <v>74</v>
      </c>
      <c r="AG569">
        <v>55</v>
      </c>
      <c r="AH569">
        <v>4</v>
      </c>
      <c r="AI569">
        <v>4</v>
      </c>
      <c r="AJ569">
        <v>0</v>
      </c>
      <c r="AK569">
        <v>15</v>
      </c>
      <c r="AL569" t="s">
        <v>92</v>
      </c>
      <c r="AM569" t="s">
        <v>550</v>
      </c>
      <c r="AN569" t="s">
        <v>1398</v>
      </c>
      <c r="AO569" t="s">
        <v>4773</v>
      </c>
      <c r="AP569" t="s">
        <v>4774</v>
      </c>
      <c r="AQ569" t="s">
        <v>74</v>
      </c>
      <c r="AR569" t="s">
        <v>4775</v>
      </c>
      <c r="AS569" t="s">
        <v>4776</v>
      </c>
      <c r="AT569" t="s">
        <v>9714</v>
      </c>
      <c r="AU569">
        <v>2015</v>
      </c>
      <c r="AV569">
        <v>38</v>
      </c>
      <c r="AW569">
        <v>8</v>
      </c>
      <c r="AX569" t="s">
        <v>74</v>
      </c>
      <c r="AY569" t="s">
        <v>74</v>
      </c>
      <c r="AZ569" t="s">
        <v>74</v>
      </c>
      <c r="BA569" t="s">
        <v>74</v>
      </c>
      <c r="BB569">
        <v>1223</v>
      </c>
      <c r="BC569">
        <v>1237</v>
      </c>
      <c r="BD569" t="s">
        <v>74</v>
      </c>
      <c r="BE569" t="s">
        <v>11099</v>
      </c>
      <c r="BF569" t="str">
        <f>HYPERLINK("http://dx.doi.org/10.1007/s00300-015-1689-9","http://dx.doi.org/10.1007/s00300-015-1689-9")</f>
        <v>http://dx.doi.org/10.1007/s00300-015-1689-9</v>
      </c>
      <c r="BG569" t="s">
        <v>74</v>
      </c>
      <c r="BH569" t="s">
        <v>74</v>
      </c>
      <c r="BI569">
        <v>15</v>
      </c>
      <c r="BJ569" t="s">
        <v>4778</v>
      </c>
      <c r="BK569" t="s">
        <v>101</v>
      </c>
      <c r="BL569" t="s">
        <v>3806</v>
      </c>
      <c r="BM569" t="s">
        <v>11017</v>
      </c>
      <c r="BN569" t="s">
        <v>74</v>
      </c>
      <c r="BO569" t="s">
        <v>1213</v>
      </c>
      <c r="BP569" t="s">
        <v>74</v>
      </c>
      <c r="BQ569" t="s">
        <v>74</v>
      </c>
      <c r="BR569" t="s">
        <v>103</v>
      </c>
      <c r="BS569" t="s">
        <v>11100</v>
      </c>
      <c r="BT569" t="str">
        <f>HYPERLINK("https%3A%2F%2Fwww.webofscience.com%2Fwos%2Fwoscc%2Ffull-record%2FWOS:000358041600012","View Full Record in Web of Science")</f>
        <v>View Full Record in Web of Science</v>
      </c>
    </row>
    <row r="570" spans="1:72" x14ac:dyDescent="0.15">
      <c r="A570" t="s">
        <v>72</v>
      </c>
      <c r="B570" t="s">
        <v>11101</v>
      </c>
      <c r="C570" t="s">
        <v>74</v>
      </c>
      <c r="D570" t="s">
        <v>74</v>
      </c>
      <c r="E570" t="s">
        <v>74</v>
      </c>
      <c r="F570" t="s">
        <v>11102</v>
      </c>
      <c r="G570" t="s">
        <v>74</v>
      </c>
      <c r="H570" t="s">
        <v>74</v>
      </c>
      <c r="I570" t="s">
        <v>11103</v>
      </c>
      <c r="J570" t="s">
        <v>4759</v>
      </c>
      <c r="K570" t="s">
        <v>74</v>
      </c>
      <c r="L570" t="s">
        <v>74</v>
      </c>
      <c r="M570" t="s">
        <v>78</v>
      </c>
      <c r="N570" t="s">
        <v>79</v>
      </c>
      <c r="O570" t="s">
        <v>74</v>
      </c>
      <c r="P570" t="s">
        <v>74</v>
      </c>
      <c r="Q570" t="s">
        <v>74</v>
      </c>
      <c r="R570" t="s">
        <v>74</v>
      </c>
      <c r="S570" t="s">
        <v>74</v>
      </c>
      <c r="T570" t="s">
        <v>11104</v>
      </c>
      <c r="U570" t="s">
        <v>11105</v>
      </c>
      <c r="V570" t="s">
        <v>11106</v>
      </c>
      <c r="W570" t="s">
        <v>11107</v>
      </c>
      <c r="X570" t="s">
        <v>11108</v>
      </c>
      <c r="Y570" t="s">
        <v>11109</v>
      </c>
      <c r="Z570" t="s">
        <v>11110</v>
      </c>
      <c r="AA570" t="s">
        <v>74</v>
      </c>
      <c r="AB570" t="s">
        <v>11111</v>
      </c>
      <c r="AC570" t="s">
        <v>11112</v>
      </c>
      <c r="AD570" t="s">
        <v>11113</v>
      </c>
      <c r="AE570" t="s">
        <v>11114</v>
      </c>
      <c r="AF570" t="s">
        <v>74</v>
      </c>
      <c r="AG570">
        <v>67</v>
      </c>
      <c r="AH570">
        <v>13</v>
      </c>
      <c r="AI570">
        <v>13</v>
      </c>
      <c r="AJ570">
        <v>0</v>
      </c>
      <c r="AK570">
        <v>27</v>
      </c>
      <c r="AL570" t="s">
        <v>92</v>
      </c>
      <c r="AM570" t="s">
        <v>550</v>
      </c>
      <c r="AN570" t="s">
        <v>4772</v>
      </c>
      <c r="AO570" t="s">
        <v>4773</v>
      </c>
      <c r="AP570" t="s">
        <v>4774</v>
      </c>
      <c r="AQ570" t="s">
        <v>74</v>
      </c>
      <c r="AR570" t="s">
        <v>4775</v>
      </c>
      <c r="AS570" t="s">
        <v>4776</v>
      </c>
      <c r="AT570" t="s">
        <v>9714</v>
      </c>
      <c r="AU570">
        <v>2015</v>
      </c>
      <c r="AV570">
        <v>38</v>
      </c>
      <c r="AW570">
        <v>8</v>
      </c>
      <c r="AX570" t="s">
        <v>74</v>
      </c>
      <c r="AY570" t="s">
        <v>74</v>
      </c>
      <c r="AZ570" t="s">
        <v>74</v>
      </c>
      <c r="BA570" t="s">
        <v>74</v>
      </c>
      <c r="BB570">
        <v>1249</v>
      </c>
      <c r="BC570">
        <v>1265</v>
      </c>
      <c r="BD570" t="s">
        <v>74</v>
      </c>
      <c r="BE570" t="s">
        <v>11115</v>
      </c>
      <c r="BF570" t="str">
        <f>HYPERLINK("http://dx.doi.org/10.1007/s00300-015-1691-2","http://dx.doi.org/10.1007/s00300-015-1691-2")</f>
        <v>http://dx.doi.org/10.1007/s00300-015-1691-2</v>
      </c>
      <c r="BG570" t="s">
        <v>74</v>
      </c>
      <c r="BH570" t="s">
        <v>74</v>
      </c>
      <c r="BI570">
        <v>17</v>
      </c>
      <c r="BJ570" t="s">
        <v>4778</v>
      </c>
      <c r="BK570" t="s">
        <v>101</v>
      </c>
      <c r="BL570" t="s">
        <v>3806</v>
      </c>
      <c r="BM570" t="s">
        <v>11017</v>
      </c>
      <c r="BN570" t="s">
        <v>74</v>
      </c>
      <c r="BO570" t="s">
        <v>1235</v>
      </c>
      <c r="BP570" t="s">
        <v>74</v>
      </c>
      <c r="BQ570" t="s">
        <v>74</v>
      </c>
      <c r="BR570" t="s">
        <v>103</v>
      </c>
      <c r="BS570" t="s">
        <v>11116</v>
      </c>
      <c r="BT570" t="str">
        <f>HYPERLINK("https%3A%2F%2Fwww.webofscience.com%2Fwos%2Fwoscc%2Ffull-record%2FWOS:000358041600014","View Full Record in Web of Science")</f>
        <v>View Full Record in Web of Science</v>
      </c>
    </row>
    <row r="571" spans="1:72" x14ac:dyDescent="0.15">
      <c r="A571" t="s">
        <v>72</v>
      </c>
      <c r="B571" t="s">
        <v>11117</v>
      </c>
      <c r="C571" t="s">
        <v>74</v>
      </c>
      <c r="D571" t="s">
        <v>74</v>
      </c>
      <c r="E571" t="s">
        <v>74</v>
      </c>
      <c r="F571" t="s">
        <v>11118</v>
      </c>
      <c r="G571" t="s">
        <v>74</v>
      </c>
      <c r="H571" t="s">
        <v>74</v>
      </c>
      <c r="I571" t="s">
        <v>11119</v>
      </c>
      <c r="J571" t="s">
        <v>4759</v>
      </c>
      <c r="K571" t="s">
        <v>74</v>
      </c>
      <c r="L571" t="s">
        <v>74</v>
      </c>
      <c r="M571" t="s">
        <v>78</v>
      </c>
      <c r="N571" t="s">
        <v>79</v>
      </c>
      <c r="O571" t="s">
        <v>74</v>
      </c>
      <c r="P571" t="s">
        <v>74</v>
      </c>
      <c r="Q571" t="s">
        <v>74</v>
      </c>
      <c r="R571" t="s">
        <v>74</v>
      </c>
      <c r="S571" t="s">
        <v>74</v>
      </c>
      <c r="T571" t="s">
        <v>11120</v>
      </c>
      <c r="U571" t="s">
        <v>11121</v>
      </c>
      <c r="V571" t="s">
        <v>11122</v>
      </c>
      <c r="W571" t="s">
        <v>11123</v>
      </c>
      <c r="X571" t="s">
        <v>11124</v>
      </c>
      <c r="Y571" t="s">
        <v>11125</v>
      </c>
      <c r="Z571" t="s">
        <v>11126</v>
      </c>
      <c r="AA571" t="s">
        <v>11127</v>
      </c>
      <c r="AB571" t="s">
        <v>11128</v>
      </c>
      <c r="AC571" t="s">
        <v>11129</v>
      </c>
      <c r="AD571" t="s">
        <v>11130</v>
      </c>
      <c r="AE571" t="s">
        <v>11131</v>
      </c>
      <c r="AF571" t="s">
        <v>74</v>
      </c>
      <c r="AG571">
        <v>87</v>
      </c>
      <c r="AH571">
        <v>8</v>
      </c>
      <c r="AI571">
        <v>8</v>
      </c>
      <c r="AJ571">
        <v>0</v>
      </c>
      <c r="AK571">
        <v>18</v>
      </c>
      <c r="AL571" t="s">
        <v>92</v>
      </c>
      <c r="AM571" t="s">
        <v>550</v>
      </c>
      <c r="AN571" t="s">
        <v>4772</v>
      </c>
      <c r="AO571" t="s">
        <v>4773</v>
      </c>
      <c r="AP571" t="s">
        <v>4774</v>
      </c>
      <c r="AQ571" t="s">
        <v>74</v>
      </c>
      <c r="AR571" t="s">
        <v>4775</v>
      </c>
      <c r="AS571" t="s">
        <v>4776</v>
      </c>
      <c r="AT571" t="s">
        <v>9714</v>
      </c>
      <c r="AU571">
        <v>2015</v>
      </c>
      <c r="AV571">
        <v>38</v>
      </c>
      <c r="AW571">
        <v>8</v>
      </c>
      <c r="AX571" t="s">
        <v>74</v>
      </c>
      <c r="AY571" t="s">
        <v>74</v>
      </c>
      <c r="AZ571" t="s">
        <v>74</v>
      </c>
      <c r="BA571" t="s">
        <v>74</v>
      </c>
      <c r="BB571">
        <v>1267</v>
      </c>
      <c r="BC571">
        <v>1284</v>
      </c>
      <c r="BD571" t="s">
        <v>74</v>
      </c>
      <c r="BE571" t="s">
        <v>11132</v>
      </c>
      <c r="BF571" t="str">
        <f>HYPERLINK("http://dx.doi.org/10.1007/s00300-015-1692-1","http://dx.doi.org/10.1007/s00300-015-1692-1")</f>
        <v>http://dx.doi.org/10.1007/s00300-015-1692-1</v>
      </c>
      <c r="BG571" t="s">
        <v>74</v>
      </c>
      <c r="BH571" t="s">
        <v>74</v>
      </c>
      <c r="BI571">
        <v>18</v>
      </c>
      <c r="BJ571" t="s">
        <v>4778</v>
      </c>
      <c r="BK571" t="s">
        <v>101</v>
      </c>
      <c r="BL571" t="s">
        <v>3806</v>
      </c>
      <c r="BM571" t="s">
        <v>11017</v>
      </c>
      <c r="BN571" t="s">
        <v>74</v>
      </c>
      <c r="BO571" t="s">
        <v>74</v>
      </c>
      <c r="BP571" t="s">
        <v>74</v>
      </c>
      <c r="BQ571" t="s">
        <v>74</v>
      </c>
      <c r="BR571" t="s">
        <v>103</v>
      </c>
      <c r="BS571" t="s">
        <v>11133</v>
      </c>
      <c r="BT571" t="str">
        <f>HYPERLINK("https%3A%2F%2Fwww.webofscience.com%2Fwos%2Fwoscc%2Ffull-record%2FWOS:000358041600015","View Full Record in Web of Science")</f>
        <v>View Full Record in Web of Science</v>
      </c>
    </row>
    <row r="572" spans="1:72" x14ac:dyDescent="0.15">
      <c r="A572" t="s">
        <v>72</v>
      </c>
      <c r="B572" t="s">
        <v>11134</v>
      </c>
      <c r="C572" t="s">
        <v>74</v>
      </c>
      <c r="D572" t="s">
        <v>74</v>
      </c>
      <c r="E572" t="s">
        <v>74</v>
      </c>
      <c r="F572" t="s">
        <v>11135</v>
      </c>
      <c r="G572" t="s">
        <v>74</v>
      </c>
      <c r="H572" t="s">
        <v>74</v>
      </c>
      <c r="I572" t="s">
        <v>11136</v>
      </c>
      <c r="J572" t="s">
        <v>4759</v>
      </c>
      <c r="K572" t="s">
        <v>74</v>
      </c>
      <c r="L572" t="s">
        <v>74</v>
      </c>
      <c r="M572" t="s">
        <v>78</v>
      </c>
      <c r="N572" t="s">
        <v>79</v>
      </c>
      <c r="O572" t="s">
        <v>74</v>
      </c>
      <c r="P572" t="s">
        <v>74</v>
      </c>
      <c r="Q572" t="s">
        <v>74</v>
      </c>
      <c r="R572" t="s">
        <v>74</v>
      </c>
      <c r="S572" t="s">
        <v>74</v>
      </c>
      <c r="T572" t="s">
        <v>11137</v>
      </c>
      <c r="U572" t="s">
        <v>11138</v>
      </c>
      <c r="V572" t="s">
        <v>11139</v>
      </c>
      <c r="W572" t="s">
        <v>11140</v>
      </c>
      <c r="X572" t="s">
        <v>11141</v>
      </c>
      <c r="Y572" t="s">
        <v>11142</v>
      </c>
      <c r="Z572" t="s">
        <v>11143</v>
      </c>
      <c r="AA572" t="s">
        <v>74</v>
      </c>
      <c r="AB572" t="s">
        <v>74</v>
      </c>
      <c r="AC572" t="s">
        <v>11144</v>
      </c>
      <c r="AD572" t="s">
        <v>11145</v>
      </c>
      <c r="AE572" t="s">
        <v>11146</v>
      </c>
      <c r="AF572" t="s">
        <v>74</v>
      </c>
      <c r="AG572">
        <v>39</v>
      </c>
      <c r="AH572">
        <v>8</v>
      </c>
      <c r="AI572">
        <v>9</v>
      </c>
      <c r="AJ572">
        <v>1</v>
      </c>
      <c r="AK572">
        <v>20</v>
      </c>
      <c r="AL572" t="s">
        <v>92</v>
      </c>
      <c r="AM572" t="s">
        <v>550</v>
      </c>
      <c r="AN572" t="s">
        <v>4772</v>
      </c>
      <c r="AO572" t="s">
        <v>4773</v>
      </c>
      <c r="AP572" t="s">
        <v>4774</v>
      </c>
      <c r="AQ572" t="s">
        <v>74</v>
      </c>
      <c r="AR572" t="s">
        <v>4775</v>
      </c>
      <c r="AS572" t="s">
        <v>4776</v>
      </c>
      <c r="AT572" t="s">
        <v>9714</v>
      </c>
      <c r="AU572">
        <v>2015</v>
      </c>
      <c r="AV572">
        <v>38</v>
      </c>
      <c r="AW572">
        <v>8</v>
      </c>
      <c r="AX572" t="s">
        <v>74</v>
      </c>
      <c r="AY572" t="s">
        <v>74</v>
      </c>
      <c r="AZ572" t="s">
        <v>74</v>
      </c>
      <c r="BA572" t="s">
        <v>74</v>
      </c>
      <c r="BB572">
        <v>1305</v>
      </c>
      <c r="BC572">
        <v>1310</v>
      </c>
      <c r="BD572" t="s">
        <v>74</v>
      </c>
      <c r="BE572" t="s">
        <v>11147</v>
      </c>
      <c r="BF572" t="str">
        <f>HYPERLINK("http://dx.doi.org/10.1007/s00300-015-1686-z","http://dx.doi.org/10.1007/s00300-015-1686-z")</f>
        <v>http://dx.doi.org/10.1007/s00300-015-1686-z</v>
      </c>
      <c r="BG572" t="s">
        <v>74</v>
      </c>
      <c r="BH572" t="s">
        <v>74</v>
      </c>
      <c r="BI572">
        <v>6</v>
      </c>
      <c r="BJ572" t="s">
        <v>4778</v>
      </c>
      <c r="BK572" t="s">
        <v>101</v>
      </c>
      <c r="BL572" t="s">
        <v>3806</v>
      </c>
      <c r="BM572" t="s">
        <v>11017</v>
      </c>
      <c r="BN572" t="s">
        <v>74</v>
      </c>
      <c r="BO572" t="s">
        <v>74</v>
      </c>
      <c r="BP572" t="s">
        <v>74</v>
      </c>
      <c r="BQ572" t="s">
        <v>74</v>
      </c>
      <c r="BR572" t="s">
        <v>103</v>
      </c>
      <c r="BS572" t="s">
        <v>11148</v>
      </c>
      <c r="BT572" t="str">
        <f>HYPERLINK("https%3A%2F%2Fwww.webofscience.com%2Fwos%2Fwoscc%2Ffull-record%2FWOS:000358041600019","View Full Record in Web of Science")</f>
        <v>View Full Record in Web of Science</v>
      </c>
    </row>
    <row r="573" spans="1:72" x14ac:dyDescent="0.15">
      <c r="A573" t="s">
        <v>72</v>
      </c>
      <c r="B573" t="s">
        <v>11149</v>
      </c>
      <c r="C573" t="s">
        <v>74</v>
      </c>
      <c r="D573" t="s">
        <v>74</v>
      </c>
      <c r="E573" t="s">
        <v>74</v>
      </c>
      <c r="F573" t="s">
        <v>11150</v>
      </c>
      <c r="G573" t="s">
        <v>74</v>
      </c>
      <c r="H573" t="s">
        <v>74</v>
      </c>
      <c r="I573" t="s">
        <v>11151</v>
      </c>
      <c r="J573" t="s">
        <v>4759</v>
      </c>
      <c r="K573" t="s">
        <v>74</v>
      </c>
      <c r="L573" t="s">
        <v>74</v>
      </c>
      <c r="M573" t="s">
        <v>78</v>
      </c>
      <c r="N573" t="s">
        <v>79</v>
      </c>
      <c r="O573" t="s">
        <v>74</v>
      </c>
      <c r="P573" t="s">
        <v>74</v>
      </c>
      <c r="Q573" t="s">
        <v>74</v>
      </c>
      <c r="R573" t="s">
        <v>74</v>
      </c>
      <c r="S573" t="s">
        <v>74</v>
      </c>
      <c r="T573" t="s">
        <v>11152</v>
      </c>
      <c r="U573" t="s">
        <v>74</v>
      </c>
      <c r="V573" t="s">
        <v>11153</v>
      </c>
      <c r="W573" t="s">
        <v>11154</v>
      </c>
      <c r="X573" t="s">
        <v>11155</v>
      </c>
      <c r="Y573" t="s">
        <v>11156</v>
      </c>
      <c r="Z573" t="s">
        <v>11157</v>
      </c>
      <c r="AA573" t="s">
        <v>11158</v>
      </c>
      <c r="AB573" t="s">
        <v>11159</v>
      </c>
      <c r="AC573" t="s">
        <v>11160</v>
      </c>
      <c r="AD573" t="s">
        <v>11161</v>
      </c>
      <c r="AE573" t="s">
        <v>11162</v>
      </c>
      <c r="AF573" t="s">
        <v>74</v>
      </c>
      <c r="AG573">
        <v>18</v>
      </c>
      <c r="AH573">
        <v>1</v>
      </c>
      <c r="AI573">
        <v>1</v>
      </c>
      <c r="AJ573">
        <v>1</v>
      </c>
      <c r="AK573">
        <v>12</v>
      </c>
      <c r="AL573" t="s">
        <v>92</v>
      </c>
      <c r="AM573" t="s">
        <v>550</v>
      </c>
      <c r="AN573" t="s">
        <v>4772</v>
      </c>
      <c r="AO573" t="s">
        <v>4773</v>
      </c>
      <c r="AP573" t="s">
        <v>4774</v>
      </c>
      <c r="AQ573" t="s">
        <v>74</v>
      </c>
      <c r="AR573" t="s">
        <v>4775</v>
      </c>
      <c r="AS573" t="s">
        <v>4776</v>
      </c>
      <c r="AT573" t="s">
        <v>9714</v>
      </c>
      <c r="AU573">
        <v>2015</v>
      </c>
      <c r="AV573">
        <v>38</v>
      </c>
      <c r="AW573">
        <v>8</v>
      </c>
      <c r="AX573" t="s">
        <v>74</v>
      </c>
      <c r="AY573" t="s">
        <v>74</v>
      </c>
      <c r="AZ573" t="s">
        <v>74</v>
      </c>
      <c r="BA573" t="s">
        <v>74</v>
      </c>
      <c r="BB573">
        <v>1311</v>
      </c>
      <c r="BC573">
        <v>1314</v>
      </c>
      <c r="BD573" t="s">
        <v>74</v>
      </c>
      <c r="BE573" t="s">
        <v>11163</v>
      </c>
      <c r="BF573" t="str">
        <f>HYPERLINK("http://dx.doi.org/10.1007/s00300-015-1693-0","http://dx.doi.org/10.1007/s00300-015-1693-0")</f>
        <v>http://dx.doi.org/10.1007/s00300-015-1693-0</v>
      </c>
      <c r="BG573" t="s">
        <v>74</v>
      </c>
      <c r="BH573" t="s">
        <v>74</v>
      </c>
      <c r="BI573">
        <v>4</v>
      </c>
      <c r="BJ573" t="s">
        <v>4778</v>
      </c>
      <c r="BK573" t="s">
        <v>101</v>
      </c>
      <c r="BL573" t="s">
        <v>3806</v>
      </c>
      <c r="BM573" t="s">
        <v>11017</v>
      </c>
      <c r="BN573" t="s">
        <v>74</v>
      </c>
      <c r="BO573" t="s">
        <v>74</v>
      </c>
      <c r="BP573" t="s">
        <v>74</v>
      </c>
      <c r="BQ573" t="s">
        <v>74</v>
      </c>
      <c r="BR573" t="s">
        <v>103</v>
      </c>
      <c r="BS573" t="s">
        <v>11164</v>
      </c>
      <c r="BT573" t="str">
        <f>HYPERLINK("https%3A%2F%2Fwww.webofscience.com%2Fwos%2Fwoscc%2Ffull-record%2FWOS:000358041600020","View Full Record in Web of Science")</f>
        <v>View Full Record in Web of Science</v>
      </c>
    </row>
    <row r="574" spans="1:72" x14ac:dyDescent="0.15">
      <c r="A574" t="s">
        <v>72</v>
      </c>
      <c r="B574" t="s">
        <v>11165</v>
      </c>
      <c r="C574" t="s">
        <v>74</v>
      </c>
      <c r="D574" t="s">
        <v>74</v>
      </c>
      <c r="E574" t="s">
        <v>74</v>
      </c>
      <c r="F574" t="s">
        <v>11166</v>
      </c>
      <c r="G574" t="s">
        <v>74</v>
      </c>
      <c r="H574" t="s">
        <v>74</v>
      </c>
      <c r="I574" t="s">
        <v>11167</v>
      </c>
      <c r="J574" t="s">
        <v>11168</v>
      </c>
      <c r="K574" t="s">
        <v>74</v>
      </c>
      <c r="L574" t="s">
        <v>74</v>
      </c>
      <c r="M574" t="s">
        <v>78</v>
      </c>
      <c r="N574" t="s">
        <v>79</v>
      </c>
      <c r="O574" t="s">
        <v>74</v>
      </c>
      <c r="P574" t="s">
        <v>74</v>
      </c>
      <c r="Q574" t="s">
        <v>74</v>
      </c>
      <c r="R574" t="s">
        <v>74</v>
      </c>
      <c r="S574" t="s">
        <v>74</v>
      </c>
      <c r="T574" t="s">
        <v>11169</v>
      </c>
      <c r="U574" t="s">
        <v>11170</v>
      </c>
      <c r="V574" t="s">
        <v>11171</v>
      </c>
      <c r="W574" t="s">
        <v>11172</v>
      </c>
      <c r="X574" t="s">
        <v>11173</v>
      </c>
      <c r="Y574" t="s">
        <v>11174</v>
      </c>
      <c r="Z574" t="s">
        <v>11175</v>
      </c>
      <c r="AA574" t="s">
        <v>11176</v>
      </c>
      <c r="AB574" t="s">
        <v>11177</v>
      </c>
      <c r="AC574" t="s">
        <v>11178</v>
      </c>
      <c r="AD574" t="s">
        <v>11179</v>
      </c>
      <c r="AE574" t="s">
        <v>11180</v>
      </c>
      <c r="AF574" t="s">
        <v>74</v>
      </c>
      <c r="AG574">
        <v>94</v>
      </c>
      <c r="AH574">
        <v>19</v>
      </c>
      <c r="AI574">
        <v>19</v>
      </c>
      <c r="AJ574">
        <v>2</v>
      </c>
      <c r="AK574">
        <v>56</v>
      </c>
      <c r="AL574" t="s">
        <v>92</v>
      </c>
      <c r="AM574" t="s">
        <v>550</v>
      </c>
      <c r="AN574" t="s">
        <v>4772</v>
      </c>
      <c r="AO574" t="s">
        <v>11181</v>
      </c>
      <c r="AP574" t="s">
        <v>11182</v>
      </c>
      <c r="AQ574" t="s">
        <v>74</v>
      </c>
      <c r="AR574" t="s">
        <v>11168</v>
      </c>
      <c r="AS574" t="s">
        <v>11183</v>
      </c>
      <c r="AT574" t="s">
        <v>9714</v>
      </c>
      <c r="AU574">
        <v>2015</v>
      </c>
      <c r="AV574">
        <v>18</v>
      </c>
      <c r="AW574">
        <v>5</v>
      </c>
      <c r="AX574" t="s">
        <v>74</v>
      </c>
      <c r="AY574" t="s">
        <v>74</v>
      </c>
      <c r="AZ574" t="s">
        <v>74</v>
      </c>
      <c r="BA574" t="s">
        <v>74</v>
      </c>
      <c r="BB574">
        <v>752</v>
      </c>
      <c r="BC574">
        <v>768</v>
      </c>
      <c r="BD574" t="s">
        <v>74</v>
      </c>
      <c r="BE574" t="s">
        <v>11184</v>
      </c>
      <c r="BF574" t="str">
        <f>HYPERLINK("http://dx.doi.org/10.1007/s10021-015-9860-2","http://dx.doi.org/10.1007/s10021-015-9860-2")</f>
        <v>http://dx.doi.org/10.1007/s10021-015-9860-2</v>
      </c>
      <c r="BG574" t="s">
        <v>74</v>
      </c>
      <c r="BH574" t="s">
        <v>74</v>
      </c>
      <c r="BI574">
        <v>17</v>
      </c>
      <c r="BJ574" t="s">
        <v>643</v>
      </c>
      <c r="BK574" t="s">
        <v>101</v>
      </c>
      <c r="BL574" t="s">
        <v>644</v>
      </c>
      <c r="BM574" t="s">
        <v>11185</v>
      </c>
      <c r="BN574" t="s">
        <v>74</v>
      </c>
      <c r="BO574" t="s">
        <v>74</v>
      </c>
      <c r="BP574" t="s">
        <v>74</v>
      </c>
      <c r="BQ574" t="s">
        <v>74</v>
      </c>
      <c r="BR574" t="s">
        <v>103</v>
      </c>
      <c r="BS574" t="s">
        <v>11186</v>
      </c>
      <c r="BT574" t="str">
        <f>HYPERLINK("https%3A%2F%2Fwww.webofscience.com%2Fwos%2Fwoscc%2Ffull-record%2FWOS:000358089100003","View Full Record in Web of Science")</f>
        <v>View Full Record in Web of Science</v>
      </c>
    </row>
    <row r="575" spans="1:72" x14ac:dyDescent="0.15">
      <c r="A575" t="s">
        <v>72</v>
      </c>
      <c r="B575" t="s">
        <v>11187</v>
      </c>
      <c r="C575" t="s">
        <v>74</v>
      </c>
      <c r="D575" t="s">
        <v>74</v>
      </c>
      <c r="E575" t="s">
        <v>74</v>
      </c>
      <c r="F575" t="s">
        <v>11188</v>
      </c>
      <c r="G575" t="s">
        <v>74</v>
      </c>
      <c r="H575" t="s">
        <v>74</v>
      </c>
      <c r="I575" t="s">
        <v>11189</v>
      </c>
      <c r="J575" t="s">
        <v>11190</v>
      </c>
      <c r="K575" t="s">
        <v>74</v>
      </c>
      <c r="L575" t="s">
        <v>74</v>
      </c>
      <c r="M575" t="s">
        <v>78</v>
      </c>
      <c r="N575" t="s">
        <v>79</v>
      </c>
      <c r="O575" t="s">
        <v>74</v>
      </c>
      <c r="P575" t="s">
        <v>74</v>
      </c>
      <c r="Q575" t="s">
        <v>74</v>
      </c>
      <c r="R575" t="s">
        <v>74</v>
      </c>
      <c r="S575" t="s">
        <v>74</v>
      </c>
      <c r="T575" t="s">
        <v>11191</v>
      </c>
      <c r="U575" t="s">
        <v>11192</v>
      </c>
      <c r="V575" t="s">
        <v>11193</v>
      </c>
      <c r="W575" t="s">
        <v>11194</v>
      </c>
      <c r="X575" t="s">
        <v>11195</v>
      </c>
      <c r="Y575" t="s">
        <v>11196</v>
      </c>
      <c r="Z575" t="s">
        <v>11197</v>
      </c>
      <c r="AA575" t="s">
        <v>11198</v>
      </c>
      <c r="AB575" t="s">
        <v>11199</v>
      </c>
      <c r="AC575" t="s">
        <v>11200</v>
      </c>
      <c r="AD575" t="s">
        <v>11201</v>
      </c>
      <c r="AE575" t="s">
        <v>11202</v>
      </c>
      <c r="AF575" t="s">
        <v>74</v>
      </c>
      <c r="AG575">
        <v>66</v>
      </c>
      <c r="AH575">
        <v>7</v>
      </c>
      <c r="AI575">
        <v>7</v>
      </c>
      <c r="AJ575">
        <v>1</v>
      </c>
      <c r="AK575">
        <v>36</v>
      </c>
      <c r="AL575" t="s">
        <v>92</v>
      </c>
      <c r="AM575" t="s">
        <v>550</v>
      </c>
      <c r="AN575" t="s">
        <v>4772</v>
      </c>
      <c r="AO575" t="s">
        <v>11203</v>
      </c>
      <c r="AP575" t="s">
        <v>11204</v>
      </c>
      <c r="AQ575" t="s">
        <v>74</v>
      </c>
      <c r="AR575" t="s">
        <v>11205</v>
      </c>
      <c r="AS575" t="s">
        <v>11206</v>
      </c>
      <c r="AT575" t="s">
        <v>9714</v>
      </c>
      <c r="AU575">
        <v>2015</v>
      </c>
      <c r="AV575">
        <v>78</v>
      </c>
      <c r="AW575">
        <v>1</v>
      </c>
      <c r="AX575" t="s">
        <v>74</v>
      </c>
      <c r="AY575" t="s">
        <v>74</v>
      </c>
      <c r="AZ575" t="s">
        <v>74</v>
      </c>
      <c r="BA575" t="s">
        <v>74</v>
      </c>
      <c r="BB575">
        <v>309</v>
      </c>
      <c r="BC575">
        <v>331</v>
      </c>
      <c r="BD575" t="s">
        <v>74</v>
      </c>
      <c r="BE575" t="s">
        <v>11207</v>
      </c>
      <c r="BF575" t="str">
        <f>HYPERLINK("http://dx.doi.org/10.1007/s11069-015-1715-9","http://dx.doi.org/10.1007/s11069-015-1715-9")</f>
        <v>http://dx.doi.org/10.1007/s11069-015-1715-9</v>
      </c>
      <c r="BG575" t="s">
        <v>74</v>
      </c>
      <c r="BH575" t="s">
        <v>74</v>
      </c>
      <c r="BI575">
        <v>23</v>
      </c>
      <c r="BJ575" t="s">
        <v>11208</v>
      </c>
      <c r="BK575" t="s">
        <v>101</v>
      </c>
      <c r="BL575" t="s">
        <v>11209</v>
      </c>
      <c r="BM575" t="s">
        <v>11210</v>
      </c>
      <c r="BN575" t="s">
        <v>74</v>
      </c>
      <c r="BO575" t="s">
        <v>74</v>
      </c>
      <c r="BP575" t="s">
        <v>74</v>
      </c>
      <c r="BQ575" t="s">
        <v>74</v>
      </c>
      <c r="BR575" t="s">
        <v>103</v>
      </c>
      <c r="BS575" t="s">
        <v>11211</v>
      </c>
      <c r="BT575" t="str">
        <f>HYPERLINK("https%3A%2F%2Fwww.webofscience.com%2Fwos%2Fwoscc%2Ffull-record%2FWOS:000357507900018","View Full Record in Web of Science")</f>
        <v>View Full Record in Web of Science</v>
      </c>
    </row>
    <row r="576" spans="1:72" x14ac:dyDescent="0.15">
      <c r="A576" t="s">
        <v>72</v>
      </c>
      <c r="B576" t="s">
        <v>11212</v>
      </c>
      <c r="C576" t="s">
        <v>74</v>
      </c>
      <c r="D576" t="s">
        <v>74</v>
      </c>
      <c r="E576" t="s">
        <v>74</v>
      </c>
      <c r="F576" t="s">
        <v>11213</v>
      </c>
      <c r="G576" t="s">
        <v>74</v>
      </c>
      <c r="H576" t="s">
        <v>74</v>
      </c>
      <c r="I576" t="s">
        <v>11214</v>
      </c>
      <c r="J576" t="s">
        <v>11215</v>
      </c>
      <c r="K576" t="s">
        <v>74</v>
      </c>
      <c r="L576" t="s">
        <v>74</v>
      </c>
      <c r="M576" t="s">
        <v>78</v>
      </c>
      <c r="N576" t="s">
        <v>79</v>
      </c>
      <c r="O576" t="s">
        <v>74</v>
      </c>
      <c r="P576" t="s">
        <v>74</v>
      </c>
      <c r="Q576" t="s">
        <v>74</v>
      </c>
      <c r="R576" t="s">
        <v>74</v>
      </c>
      <c r="S576" t="s">
        <v>74</v>
      </c>
      <c r="T576" t="s">
        <v>11216</v>
      </c>
      <c r="U576" t="s">
        <v>11217</v>
      </c>
      <c r="V576" t="s">
        <v>11218</v>
      </c>
      <c r="W576" t="s">
        <v>11219</v>
      </c>
      <c r="X576" t="s">
        <v>11220</v>
      </c>
      <c r="Y576" t="s">
        <v>256</v>
      </c>
      <c r="Z576" t="s">
        <v>257</v>
      </c>
      <c r="AA576" t="s">
        <v>11221</v>
      </c>
      <c r="AB576" t="s">
        <v>11222</v>
      </c>
      <c r="AC576" t="s">
        <v>11223</v>
      </c>
      <c r="AD576" t="s">
        <v>11224</v>
      </c>
      <c r="AE576" t="s">
        <v>11225</v>
      </c>
      <c r="AF576" t="s">
        <v>74</v>
      </c>
      <c r="AG576">
        <v>47</v>
      </c>
      <c r="AH576">
        <v>12</v>
      </c>
      <c r="AI576">
        <v>12</v>
      </c>
      <c r="AJ576">
        <v>3</v>
      </c>
      <c r="AK576">
        <v>38</v>
      </c>
      <c r="AL576" t="s">
        <v>2434</v>
      </c>
      <c r="AM576" t="s">
        <v>2435</v>
      </c>
      <c r="AN576" t="s">
        <v>2436</v>
      </c>
      <c r="AO576" t="s">
        <v>11226</v>
      </c>
      <c r="AP576" t="s">
        <v>11227</v>
      </c>
      <c r="AQ576" t="s">
        <v>74</v>
      </c>
      <c r="AR576" t="s">
        <v>11228</v>
      </c>
      <c r="AS576" t="s">
        <v>11229</v>
      </c>
      <c r="AT576" t="s">
        <v>9714</v>
      </c>
      <c r="AU576">
        <v>2015</v>
      </c>
      <c r="AV576">
        <v>32</v>
      </c>
      <c r="AW576">
        <v>8</v>
      </c>
      <c r="AX576" t="s">
        <v>74</v>
      </c>
      <c r="AY576" t="s">
        <v>74</v>
      </c>
      <c r="AZ576" t="s">
        <v>74</v>
      </c>
      <c r="BA576" t="s">
        <v>74</v>
      </c>
      <c r="BB576">
        <v>1063</v>
      </c>
      <c r="BC576">
        <v>1076</v>
      </c>
      <c r="BD576" t="s">
        <v>74</v>
      </c>
      <c r="BE576" t="s">
        <v>11230</v>
      </c>
      <c r="BF576" t="str">
        <f>HYPERLINK("http://dx.doi.org/10.1007/s00376-014-4142-z","http://dx.doi.org/10.1007/s00376-014-4142-z")</f>
        <v>http://dx.doi.org/10.1007/s00376-014-4142-z</v>
      </c>
      <c r="BG576" t="s">
        <v>74</v>
      </c>
      <c r="BH576" t="s">
        <v>74</v>
      </c>
      <c r="BI576">
        <v>14</v>
      </c>
      <c r="BJ576" t="s">
        <v>271</v>
      </c>
      <c r="BK576" t="s">
        <v>101</v>
      </c>
      <c r="BL576" t="s">
        <v>271</v>
      </c>
      <c r="BM576" t="s">
        <v>11231</v>
      </c>
      <c r="BN576" t="s">
        <v>74</v>
      </c>
      <c r="BO576" t="s">
        <v>74</v>
      </c>
      <c r="BP576" t="s">
        <v>74</v>
      </c>
      <c r="BQ576" t="s">
        <v>74</v>
      </c>
      <c r="BR576" t="s">
        <v>103</v>
      </c>
      <c r="BS576" t="s">
        <v>11232</v>
      </c>
      <c r="BT576" t="str">
        <f>HYPERLINK("https%3A%2F%2Fwww.webofscience.com%2Fwos%2Fwoscc%2Ffull-record%2FWOS:000355857900004","View Full Record in Web of Science")</f>
        <v>View Full Record in Web of Science</v>
      </c>
    </row>
    <row r="577" spans="1:72" x14ac:dyDescent="0.15">
      <c r="A577" t="s">
        <v>72</v>
      </c>
      <c r="B577" t="s">
        <v>3629</v>
      </c>
      <c r="C577" t="s">
        <v>74</v>
      </c>
      <c r="D577" t="s">
        <v>74</v>
      </c>
      <c r="E577" t="s">
        <v>74</v>
      </c>
      <c r="F577" t="s">
        <v>3630</v>
      </c>
      <c r="G577" t="s">
        <v>74</v>
      </c>
      <c r="H577" t="s">
        <v>74</v>
      </c>
      <c r="I577" t="s">
        <v>11233</v>
      </c>
      <c r="J577" t="s">
        <v>2691</v>
      </c>
      <c r="K577" t="s">
        <v>74</v>
      </c>
      <c r="L577" t="s">
        <v>74</v>
      </c>
      <c r="M577" t="s">
        <v>78</v>
      </c>
      <c r="N577" t="s">
        <v>754</v>
      </c>
      <c r="O577" t="s">
        <v>74</v>
      </c>
      <c r="P577" t="s">
        <v>74</v>
      </c>
      <c r="Q577" t="s">
        <v>74</v>
      </c>
      <c r="R577" t="s">
        <v>74</v>
      </c>
      <c r="S577" t="s">
        <v>74</v>
      </c>
      <c r="T577" t="s">
        <v>74</v>
      </c>
      <c r="U577" t="s">
        <v>74</v>
      </c>
      <c r="V577" t="s">
        <v>74</v>
      </c>
      <c r="W577" t="s">
        <v>74</v>
      </c>
      <c r="X577" t="s">
        <v>74</v>
      </c>
      <c r="Y577" t="s">
        <v>74</v>
      </c>
      <c r="Z577" t="s">
        <v>74</v>
      </c>
      <c r="AA577" t="s">
        <v>74</v>
      </c>
      <c r="AB577" t="s">
        <v>74</v>
      </c>
      <c r="AC577" t="s">
        <v>74</v>
      </c>
      <c r="AD577" t="s">
        <v>74</v>
      </c>
      <c r="AE577" t="s">
        <v>74</v>
      </c>
      <c r="AF577" t="s">
        <v>74</v>
      </c>
      <c r="AG577">
        <v>0</v>
      </c>
      <c r="AH577">
        <v>0</v>
      </c>
      <c r="AI577">
        <v>0</v>
      </c>
      <c r="AJ577">
        <v>0</v>
      </c>
      <c r="AK577">
        <v>1</v>
      </c>
      <c r="AL577" t="s">
        <v>741</v>
      </c>
      <c r="AM577" t="s">
        <v>550</v>
      </c>
      <c r="AN577" t="s">
        <v>742</v>
      </c>
      <c r="AO577" t="s">
        <v>2704</v>
      </c>
      <c r="AP577" t="s">
        <v>2705</v>
      </c>
      <c r="AQ577" t="s">
        <v>74</v>
      </c>
      <c r="AR577" t="s">
        <v>2706</v>
      </c>
      <c r="AS577" t="s">
        <v>2707</v>
      </c>
      <c r="AT577" t="s">
        <v>9714</v>
      </c>
      <c r="AU577">
        <v>2015</v>
      </c>
      <c r="AV577">
        <v>27</v>
      </c>
      <c r="AW577">
        <v>4</v>
      </c>
      <c r="AX577" t="s">
        <v>74</v>
      </c>
      <c r="AY577" t="s">
        <v>74</v>
      </c>
      <c r="AZ577" t="s">
        <v>74</v>
      </c>
      <c r="BA577" t="s">
        <v>74</v>
      </c>
      <c r="BB577">
        <v>325</v>
      </c>
      <c r="BC577">
        <v>325</v>
      </c>
      <c r="BD577" t="s">
        <v>74</v>
      </c>
      <c r="BE577" t="s">
        <v>11234</v>
      </c>
      <c r="BF577" t="str">
        <f>HYPERLINK("http://dx.doi.org/10.1017/S0954102015000322","http://dx.doi.org/10.1017/S0954102015000322")</f>
        <v>http://dx.doi.org/10.1017/S0954102015000322</v>
      </c>
      <c r="BG577" t="s">
        <v>74</v>
      </c>
      <c r="BH577" t="s">
        <v>74</v>
      </c>
      <c r="BI577">
        <v>1</v>
      </c>
      <c r="BJ577" t="s">
        <v>2709</v>
      </c>
      <c r="BK577" t="s">
        <v>101</v>
      </c>
      <c r="BL577" t="s">
        <v>2710</v>
      </c>
      <c r="BM577" t="s">
        <v>10017</v>
      </c>
      <c r="BN577" t="s">
        <v>74</v>
      </c>
      <c r="BO577" t="s">
        <v>162</v>
      </c>
      <c r="BP577" t="s">
        <v>74</v>
      </c>
      <c r="BQ577" t="s">
        <v>74</v>
      </c>
      <c r="BR577" t="s">
        <v>103</v>
      </c>
      <c r="BS577" t="s">
        <v>11235</v>
      </c>
      <c r="BT577" t="str">
        <f>HYPERLINK("https%3A%2F%2Fwww.webofscience.com%2Fwos%2Fwoscc%2Ffull-record%2FWOS:000360201200001","View Full Record in Web of Science")</f>
        <v>View Full Record in Web of Science</v>
      </c>
    </row>
    <row r="578" spans="1:72" x14ac:dyDescent="0.15">
      <c r="A578" t="s">
        <v>72</v>
      </c>
      <c r="B578" t="s">
        <v>11236</v>
      </c>
      <c r="C578" t="s">
        <v>74</v>
      </c>
      <c r="D578" t="s">
        <v>74</v>
      </c>
      <c r="E578" t="s">
        <v>74</v>
      </c>
      <c r="F578" t="s">
        <v>11237</v>
      </c>
      <c r="G578" t="s">
        <v>74</v>
      </c>
      <c r="H578" t="s">
        <v>74</v>
      </c>
      <c r="I578" t="s">
        <v>11238</v>
      </c>
      <c r="J578" t="s">
        <v>2691</v>
      </c>
      <c r="K578" t="s">
        <v>74</v>
      </c>
      <c r="L578" t="s">
        <v>74</v>
      </c>
      <c r="M578" t="s">
        <v>78</v>
      </c>
      <c r="N578" t="s">
        <v>79</v>
      </c>
      <c r="O578" t="s">
        <v>74</v>
      </c>
      <c r="P578" t="s">
        <v>74</v>
      </c>
      <c r="Q578" t="s">
        <v>74</v>
      </c>
      <c r="R578" t="s">
        <v>74</v>
      </c>
      <c r="S578" t="s">
        <v>74</v>
      </c>
      <c r="T578" t="s">
        <v>11239</v>
      </c>
      <c r="U578" t="s">
        <v>11240</v>
      </c>
      <c r="V578" t="s">
        <v>11241</v>
      </c>
      <c r="W578" t="s">
        <v>11242</v>
      </c>
      <c r="X578" t="s">
        <v>11243</v>
      </c>
      <c r="Y578" t="s">
        <v>11244</v>
      </c>
      <c r="Z578" t="s">
        <v>11245</v>
      </c>
      <c r="AA578" t="s">
        <v>11246</v>
      </c>
      <c r="AB578" t="s">
        <v>11247</v>
      </c>
      <c r="AC578" t="s">
        <v>11248</v>
      </c>
      <c r="AD578" t="s">
        <v>11249</v>
      </c>
      <c r="AE578" t="s">
        <v>11250</v>
      </c>
      <c r="AF578" t="s">
        <v>74</v>
      </c>
      <c r="AG578">
        <v>32</v>
      </c>
      <c r="AH578">
        <v>7</v>
      </c>
      <c r="AI578">
        <v>10</v>
      </c>
      <c r="AJ578">
        <v>0</v>
      </c>
      <c r="AK578">
        <v>33</v>
      </c>
      <c r="AL578" t="s">
        <v>741</v>
      </c>
      <c r="AM578" t="s">
        <v>550</v>
      </c>
      <c r="AN578" t="s">
        <v>742</v>
      </c>
      <c r="AO578" t="s">
        <v>2704</v>
      </c>
      <c r="AP578" t="s">
        <v>2705</v>
      </c>
      <c r="AQ578" t="s">
        <v>74</v>
      </c>
      <c r="AR578" t="s">
        <v>2706</v>
      </c>
      <c r="AS578" t="s">
        <v>2707</v>
      </c>
      <c r="AT578" t="s">
        <v>9714</v>
      </c>
      <c r="AU578">
        <v>2015</v>
      </c>
      <c r="AV578">
        <v>27</v>
      </c>
      <c r="AW578">
        <v>4</v>
      </c>
      <c r="AX578" t="s">
        <v>74</v>
      </c>
      <c r="AY578" t="s">
        <v>74</v>
      </c>
      <c r="AZ578" t="s">
        <v>74</v>
      </c>
      <c r="BA578" t="s">
        <v>74</v>
      </c>
      <c r="BB578">
        <v>362</v>
      </c>
      <c r="BC578">
        <v>372</v>
      </c>
      <c r="BD578" t="s">
        <v>74</v>
      </c>
      <c r="BE578" t="s">
        <v>11251</v>
      </c>
      <c r="BF578" t="str">
        <f>HYPERLINK("http://dx.doi.org/10.1017/S0954102014000881","http://dx.doi.org/10.1017/S0954102014000881")</f>
        <v>http://dx.doi.org/10.1017/S0954102014000881</v>
      </c>
      <c r="BG578" t="s">
        <v>74</v>
      </c>
      <c r="BH578" t="s">
        <v>74</v>
      </c>
      <c r="BI578">
        <v>11</v>
      </c>
      <c r="BJ578" t="s">
        <v>2709</v>
      </c>
      <c r="BK578" t="s">
        <v>101</v>
      </c>
      <c r="BL578" t="s">
        <v>2710</v>
      </c>
      <c r="BM578" t="s">
        <v>10017</v>
      </c>
      <c r="BN578" t="s">
        <v>74</v>
      </c>
      <c r="BO578" t="s">
        <v>1509</v>
      </c>
      <c r="BP578" t="s">
        <v>74</v>
      </c>
      <c r="BQ578" t="s">
        <v>74</v>
      </c>
      <c r="BR578" t="s">
        <v>103</v>
      </c>
      <c r="BS578" t="s">
        <v>11252</v>
      </c>
      <c r="BT578" t="str">
        <f>HYPERLINK("https%3A%2F%2Fwww.webofscience.com%2Fwos%2Fwoscc%2Ffull-record%2FWOS:000360201200006","View Full Record in Web of Science")</f>
        <v>View Full Record in Web of Science</v>
      </c>
    </row>
    <row r="579" spans="1:72" x14ac:dyDescent="0.15">
      <c r="A579" t="s">
        <v>72</v>
      </c>
      <c r="B579" t="s">
        <v>11253</v>
      </c>
      <c r="C579" t="s">
        <v>74</v>
      </c>
      <c r="D579" t="s">
        <v>74</v>
      </c>
      <c r="E579" t="s">
        <v>74</v>
      </c>
      <c r="F579" t="s">
        <v>11254</v>
      </c>
      <c r="G579" t="s">
        <v>74</v>
      </c>
      <c r="H579" t="s">
        <v>74</v>
      </c>
      <c r="I579" t="s">
        <v>11255</v>
      </c>
      <c r="J579" t="s">
        <v>11256</v>
      </c>
      <c r="K579" t="s">
        <v>74</v>
      </c>
      <c r="L579" t="s">
        <v>74</v>
      </c>
      <c r="M579" t="s">
        <v>78</v>
      </c>
      <c r="N579" t="s">
        <v>581</v>
      </c>
      <c r="O579" t="s">
        <v>74</v>
      </c>
      <c r="P579" t="s">
        <v>74</v>
      </c>
      <c r="Q579" t="s">
        <v>74</v>
      </c>
      <c r="R579" t="s">
        <v>74</v>
      </c>
      <c r="S579" t="s">
        <v>74</v>
      </c>
      <c r="T579" t="s">
        <v>74</v>
      </c>
      <c r="U579" t="s">
        <v>11257</v>
      </c>
      <c r="V579" t="s">
        <v>11258</v>
      </c>
      <c r="W579" t="s">
        <v>11259</v>
      </c>
      <c r="X579" t="s">
        <v>11260</v>
      </c>
      <c r="Y579" t="s">
        <v>11261</v>
      </c>
      <c r="Z579" t="s">
        <v>11262</v>
      </c>
      <c r="AA579" t="s">
        <v>74</v>
      </c>
      <c r="AB579" t="s">
        <v>11263</v>
      </c>
      <c r="AC579" t="s">
        <v>11264</v>
      </c>
      <c r="AD579" t="s">
        <v>11265</v>
      </c>
      <c r="AE579" t="s">
        <v>11266</v>
      </c>
      <c r="AF579" t="s">
        <v>74</v>
      </c>
      <c r="AG579">
        <v>148</v>
      </c>
      <c r="AH579">
        <v>57</v>
      </c>
      <c r="AI579">
        <v>61</v>
      </c>
      <c r="AJ579">
        <v>5</v>
      </c>
      <c r="AK579">
        <v>148</v>
      </c>
      <c r="AL579" t="s">
        <v>397</v>
      </c>
      <c r="AM579" t="s">
        <v>398</v>
      </c>
      <c r="AN579" t="s">
        <v>399</v>
      </c>
      <c r="AO579" t="s">
        <v>11267</v>
      </c>
      <c r="AP579" t="s">
        <v>74</v>
      </c>
      <c r="AQ579" t="s">
        <v>74</v>
      </c>
      <c r="AR579" t="s">
        <v>11268</v>
      </c>
      <c r="AS579" t="s">
        <v>11269</v>
      </c>
      <c r="AT579" t="s">
        <v>9714</v>
      </c>
      <c r="AU579">
        <v>2015</v>
      </c>
      <c r="AV579">
        <v>59</v>
      </c>
      <c r="AW579" t="s">
        <v>74</v>
      </c>
      <c r="AX579" t="s">
        <v>74</v>
      </c>
      <c r="AY579" t="s">
        <v>74</v>
      </c>
      <c r="AZ579" t="s">
        <v>74</v>
      </c>
      <c r="BA579" t="s">
        <v>74</v>
      </c>
      <c r="BB579">
        <v>47</v>
      </c>
      <c r="BC579">
        <v>62</v>
      </c>
      <c r="BD579" t="s">
        <v>74</v>
      </c>
      <c r="BE579" t="s">
        <v>11270</v>
      </c>
      <c r="BF579" t="str">
        <f>HYPERLINK("http://dx.doi.org/10.1016/j.apgeochem.2015.03.014","http://dx.doi.org/10.1016/j.apgeochem.2015.03.014")</f>
        <v>http://dx.doi.org/10.1016/j.apgeochem.2015.03.014</v>
      </c>
      <c r="BG579" t="s">
        <v>74</v>
      </c>
      <c r="BH579" t="s">
        <v>74</v>
      </c>
      <c r="BI579">
        <v>16</v>
      </c>
      <c r="BJ579" t="s">
        <v>1707</v>
      </c>
      <c r="BK579" t="s">
        <v>101</v>
      </c>
      <c r="BL579" t="s">
        <v>1707</v>
      </c>
      <c r="BM579" t="s">
        <v>11271</v>
      </c>
      <c r="BN579" t="s">
        <v>74</v>
      </c>
      <c r="BO579" t="s">
        <v>74</v>
      </c>
      <c r="BP579" t="s">
        <v>74</v>
      </c>
      <c r="BQ579" t="s">
        <v>74</v>
      </c>
      <c r="BR579" t="s">
        <v>103</v>
      </c>
      <c r="BS579" t="s">
        <v>11272</v>
      </c>
      <c r="BT579" t="str">
        <f>HYPERLINK("https%3A%2F%2Fwww.webofscience.com%2Fwos%2Fwoscc%2Ffull-record%2FWOS:000356962700005","View Full Record in Web of Science")</f>
        <v>View Full Record in Web of Science</v>
      </c>
    </row>
    <row r="580" spans="1:72" x14ac:dyDescent="0.15">
      <c r="A580" t="s">
        <v>72</v>
      </c>
      <c r="B580" t="s">
        <v>11273</v>
      </c>
      <c r="C580" t="s">
        <v>74</v>
      </c>
      <c r="D580" t="s">
        <v>74</v>
      </c>
      <c r="E580" t="s">
        <v>74</v>
      </c>
      <c r="F580" t="s">
        <v>11274</v>
      </c>
      <c r="G580" t="s">
        <v>74</v>
      </c>
      <c r="H580" t="s">
        <v>74</v>
      </c>
      <c r="I580" t="s">
        <v>11275</v>
      </c>
      <c r="J580" t="s">
        <v>11276</v>
      </c>
      <c r="K580" t="s">
        <v>74</v>
      </c>
      <c r="L580" t="s">
        <v>74</v>
      </c>
      <c r="M580" t="s">
        <v>78</v>
      </c>
      <c r="N580" t="s">
        <v>79</v>
      </c>
      <c r="O580" t="s">
        <v>74</v>
      </c>
      <c r="P580" t="s">
        <v>74</v>
      </c>
      <c r="Q580" t="s">
        <v>74</v>
      </c>
      <c r="R580" t="s">
        <v>74</v>
      </c>
      <c r="S580" t="s">
        <v>74</v>
      </c>
      <c r="T580" t="s">
        <v>11277</v>
      </c>
      <c r="U580" t="s">
        <v>11278</v>
      </c>
      <c r="V580" t="s">
        <v>11279</v>
      </c>
      <c r="W580" t="s">
        <v>11280</v>
      </c>
      <c r="X580" t="s">
        <v>11281</v>
      </c>
      <c r="Y580" t="s">
        <v>11282</v>
      </c>
      <c r="Z580" t="s">
        <v>11283</v>
      </c>
      <c r="AA580" t="s">
        <v>11284</v>
      </c>
      <c r="AB580" t="s">
        <v>11285</v>
      </c>
      <c r="AC580" t="s">
        <v>11286</v>
      </c>
      <c r="AD580" t="s">
        <v>11287</v>
      </c>
      <c r="AE580" t="s">
        <v>11288</v>
      </c>
      <c r="AF580" t="s">
        <v>74</v>
      </c>
      <c r="AG580">
        <v>107</v>
      </c>
      <c r="AH580">
        <v>285</v>
      </c>
      <c r="AI580">
        <v>292</v>
      </c>
      <c r="AJ580">
        <v>2</v>
      </c>
      <c r="AK580">
        <v>125</v>
      </c>
      <c r="AL580" t="s">
        <v>208</v>
      </c>
      <c r="AM580" t="s">
        <v>209</v>
      </c>
      <c r="AN580" t="s">
        <v>210</v>
      </c>
      <c r="AO580" t="s">
        <v>11289</v>
      </c>
      <c r="AP580" t="s">
        <v>11290</v>
      </c>
      <c r="AQ580" t="s">
        <v>74</v>
      </c>
      <c r="AR580" t="s">
        <v>11291</v>
      </c>
      <c r="AS580" t="s">
        <v>11292</v>
      </c>
      <c r="AT580" t="s">
        <v>9714</v>
      </c>
      <c r="AU580">
        <v>2015</v>
      </c>
      <c r="AV580">
        <v>25</v>
      </c>
      <c r="AW580">
        <v>4</v>
      </c>
      <c r="AX580" t="s">
        <v>74</v>
      </c>
      <c r="AY580" t="s">
        <v>74</v>
      </c>
      <c r="AZ580" t="s">
        <v>74</v>
      </c>
      <c r="BA580" t="s">
        <v>74</v>
      </c>
      <c r="BB580">
        <v>480</v>
      </c>
      <c r="BC580">
        <v>504</v>
      </c>
      <c r="BD580" t="s">
        <v>74</v>
      </c>
      <c r="BE580" t="s">
        <v>11293</v>
      </c>
      <c r="BF580" t="str">
        <f>HYPERLINK("http://dx.doi.org/10.1002/aqc.2445","http://dx.doi.org/10.1002/aqc.2445")</f>
        <v>http://dx.doi.org/10.1002/aqc.2445</v>
      </c>
      <c r="BG580" t="s">
        <v>74</v>
      </c>
      <c r="BH580" t="s">
        <v>74</v>
      </c>
      <c r="BI580">
        <v>25</v>
      </c>
      <c r="BJ580" t="s">
        <v>11294</v>
      </c>
      <c r="BK580" t="s">
        <v>101</v>
      </c>
      <c r="BL580" t="s">
        <v>9777</v>
      </c>
      <c r="BM580" t="s">
        <v>11295</v>
      </c>
      <c r="BN580" t="s">
        <v>74</v>
      </c>
      <c r="BO580" t="s">
        <v>219</v>
      </c>
      <c r="BP580" t="s">
        <v>74</v>
      </c>
      <c r="BQ580" t="s">
        <v>74</v>
      </c>
      <c r="BR580" t="s">
        <v>103</v>
      </c>
      <c r="BS580" t="s">
        <v>11296</v>
      </c>
      <c r="BT580" t="str">
        <f>HYPERLINK("https%3A%2F%2Fwww.webofscience.com%2Fwos%2Fwoscc%2Ffull-record%2FWOS:000360445100003","View Full Record in Web of Science")</f>
        <v>View Full Record in Web of Science</v>
      </c>
    </row>
    <row r="581" spans="1:72" x14ac:dyDescent="0.15">
      <c r="A581" t="s">
        <v>72</v>
      </c>
      <c r="B581" t="s">
        <v>11297</v>
      </c>
      <c r="C581" t="s">
        <v>74</v>
      </c>
      <c r="D581" t="s">
        <v>74</v>
      </c>
      <c r="E581" t="s">
        <v>74</v>
      </c>
      <c r="F581" t="s">
        <v>11298</v>
      </c>
      <c r="G581" t="s">
        <v>74</v>
      </c>
      <c r="H581" t="s">
        <v>74</v>
      </c>
      <c r="I581" t="s">
        <v>11299</v>
      </c>
      <c r="J581" t="s">
        <v>11300</v>
      </c>
      <c r="K581" t="s">
        <v>74</v>
      </c>
      <c r="L581" t="s">
        <v>74</v>
      </c>
      <c r="M581" t="s">
        <v>78</v>
      </c>
      <c r="N581" t="s">
        <v>79</v>
      </c>
      <c r="O581" t="s">
        <v>74</v>
      </c>
      <c r="P581" t="s">
        <v>74</v>
      </c>
      <c r="Q581" t="s">
        <v>74</v>
      </c>
      <c r="R581" t="s">
        <v>74</v>
      </c>
      <c r="S581" t="s">
        <v>74</v>
      </c>
      <c r="T581" t="s">
        <v>11301</v>
      </c>
      <c r="U581" t="s">
        <v>11302</v>
      </c>
      <c r="V581" t="s">
        <v>11303</v>
      </c>
      <c r="W581" t="s">
        <v>11304</v>
      </c>
      <c r="X581" t="s">
        <v>11305</v>
      </c>
      <c r="Y581" t="s">
        <v>11306</v>
      </c>
      <c r="Z581" t="s">
        <v>11307</v>
      </c>
      <c r="AA581" t="s">
        <v>11308</v>
      </c>
      <c r="AB581" t="s">
        <v>11309</v>
      </c>
      <c r="AC581" t="s">
        <v>11310</v>
      </c>
      <c r="AD581" t="s">
        <v>11311</v>
      </c>
      <c r="AE581" t="s">
        <v>11312</v>
      </c>
      <c r="AF581" t="s">
        <v>74</v>
      </c>
      <c r="AG581">
        <v>75</v>
      </c>
      <c r="AH581">
        <v>28</v>
      </c>
      <c r="AI581">
        <v>31</v>
      </c>
      <c r="AJ581">
        <v>1</v>
      </c>
      <c r="AK581">
        <v>57</v>
      </c>
      <c r="AL581" t="s">
        <v>92</v>
      </c>
      <c r="AM581" t="s">
        <v>550</v>
      </c>
      <c r="AN581" t="s">
        <v>1398</v>
      </c>
      <c r="AO581" t="s">
        <v>11313</v>
      </c>
      <c r="AP581" t="s">
        <v>11314</v>
      </c>
      <c r="AQ581" t="s">
        <v>74</v>
      </c>
      <c r="AR581" t="s">
        <v>11315</v>
      </c>
      <c r="AS581" t="s">
        <v>11316</v>
      </c>
      <c r="AT581" t="s">
        <v>9714</v>
      </c>
      <c r="AU581">
        <v>2015</v>
      </c>
      <c r="AV581">
        <v>197</v>
      </c>
      <c r="AW581">
        <v>6</v>
      </c>
      <c r="AX581" t="s">
        <v>74</v>
      </c>
      <c r="AY581" t="s">
        <v>74</v>
      </c>
      <c r="AZ581" t="s">
        <v>74</v>
      </c>
      <c r="BA581" t="s">
        <v>74</v>
      </c>
      <c r="BB581">
        <v>851</v>
      </c>
      <c r="BC581">
        <v>860</v>
      </c>
      <c r="BD581" t="s">
        <v>74</v>
      </c>
      <c r="BE581" t="s">
        <v>11317</v>
      </c>
      <c r="BF581" t="str">
        <f>HYPERLINK("http://dx.doi.org/10.1007/s00203-015-1121-4","http://dx.doi.org/10.1007/s00203-015-1121-4")</f>
        <v>http://dx.doi.org/10.1007/s00203-015-1121-4</v>
      </c>
      <c r="BG581" t="s">
        <v>74</v>
      </c>
      <c r="BH581" t="s">
        <v>74</v>
      </c>
      <c r="BI581">
        <v>10</v>
      </c>
      <c r="BJ581" t="s">
        <v>160</v>
      </c>
      <c r="BK581" t="s">
        <v>101</v>
      </c>
      <c r="BL581" t="s">
        <v>160</v>
      </c>
      <c r="BM581" t="s">
        <v>11318</v>
      </c>
      <c r="BN581">
        <v>26055487</v>
      </c>
      <c r="BO581" t="s">
        <v>74</v>
      </c>
      <c r="BP581" t="s">
        <v>74</v>
      </c>
      <c r="BQ581" t="s">
        <v>74</v>
      </c>
      <c r="BR581" t="s">
        <v>103</v>
      </c>
      <c r="BS581" t="s">
        <v>11319</v>
      </c>
      <c r="BT581" t="str">
        <f>HYPERLINK("https%3A%2F%2Fwww.webofscience.com%2Fwos%2Fwoscc%2Ffull-record%2FWOS:000358086200014","View Full Record in Web of Science")</f>
        <v>View Full Record in Web of Science</v>
      </c>
    </row>
    <row r="582" spans="1:72" x14ac:dyDescent="0.15">
      <c r="A582" t="s">
        <v>72</v>
      </c>
      <c r="B582" t="s">
        <v>11320</v>
      </c>
      <c r="C582" t="s">
        <v>74</v>
      </c>
      <c r="D582" t="s">
        <v>74</v>
      </c>
      <c r="E582" t="s">
        <v>74</v>
      </c>
      <c r="F582" t="s">
        <v>11321</v>
      </c>
      <c r="G582" t="s">
        <v>74</v>
      </c>
      <c r="H582" t="s">
        <v>74</v>
      </c>
      <c r="I582" t="s">
        <v>11322</v>
      </c>
      <c r="J582" t="s">
        <v>11323</v>
      </c>
      <c r="K582" t="s">
        <v>74</v>
      </c>
      <c r="L582" t="s">
        <v>74</v>
      </c>
      <c r="M582" t="s">
        <v>78</v>
      </c>
      <c r="N582" t="s">
        <v>79</v>
      </c>
      <c r="O582" t="s">
        <v>74</v>
      </c>
      <c r="P582" t="s">
        <v>74</v>
      </c>
      <c r="Q582" t="s">
        <v>74</v>
      </c>
      <c r="R582" t="s">
        <v>74</v>
      </c>
      <c r="S582" t="s">
        <v>74</v>
      </c>
      <c r="T582" t="s">
        <v>74</v>
      </c>
      <c r="U582" t="s">
        <v>11324</v>
      </c>
      <c r="V582" t="s">
        <v>11325</v>
      </c>
      <c r="W582" t="s">
        <v>11326</v>
      </c>
      <c r="X582" t="s">
        <v>11327</v>
      </c>
      <c r="Y582" t="s">
        <v>11328</v>
      </c>
      <c r="Z582" t="s">
        <v>11329</v>
      </c>
      <c r="AA582" t="s">
        <v>74</v>
      </c>
      <c r="AB582" t="s">
        <v>11330</v>
      </c>
      <c r="AC582" t="s">
        <v>11331</v>
      </c>
      <c r="AD582" t="s">
        <v>11332</v>
      </c>
      <c r="AE582" t="s">
        <v>11333</v>
      </c>
      <c r="AF582" t="s">
        <v>74</v>
      </c>
      <c r="AG582">
        <v>57</v>
      </c>
      <c r="AH582">
        <v>8</v>
      </c>
      <c r="AI582">
        <v>8</v>
      </c>
      <c r="AJ582">
        <v>0</v>
      </c>
      <c r="AK582">
        <v>9</v>
      </c>
      <c r="AL582" t="s">
        <v>10867</v>
      </c>
      <c r="AM582" t="s">
        <v>8331</v>
      </c>
      <c r="AN582" t="s">
        <v>10868</v>
      </c>
      <c r="AO582" t="s">
        <v>11334</v>
      </c>
      <c r="AP582" t="s">
        <v>11335</v>
      </c>
      <c r="AQ582" t="s">
        <v>74</v>
      </c>
      <c r="AR582" t="s">
        <v>11336</v>
      </c>
      <c r="AS582" t="s">
        <v>11337</v>
      </c>
      <c r="AT582" t="s">
        <v>9714</v>
      </c>
      <c r="AU582">
        <v>2015</v>
      </c>
      <c r="AV582">
        <v>160</v>
      </c>
      <c r="AW582">
        <v>8</v>
      </c>
      <c r="AX582" t="s">
        <v>74</v>
      </c>
      <c r="AY582" t="s">
        <v>74</v>
      </c>
      <c r="AZ582" t="s">
        <v>74</v>
      </c>
      <c r="BA582" t="s">
        <v>74</v>
      </c>
      <c r="BB582">
        <v>1893</v>
      </c>
      <c r="BC582">
        <v>1900</v>
      </c>
      <c r="BD582" t="s">
        <v>74</v>
      </c>
      <c r="BE582" t="s">
        <v>11338</v>
      </c>
      <c r="BF582" t="str">
        <f>HYPERLINK("http://dx.doi.org/10.1007/s00705-015-2434-y","http://dx.doi.org/10.1007/s00705-015-2434-y")</f>
        <v>http://dx.doi.org/10.1007/s00705-015-2434-y</v>
      </c>
      <c r="BG582" t="s">
        <v>74</v>
      </c>
      <c r="BH582" t="s">
        <v>74</v>
      </c>
      <c r="BI582">
        <v>8</v>
      </c>
      <c r="BJ582" t="s">
        <v>11339</v>
      </c>
      <c r="BK582" t="s">
        <v>101</v>
      </c>
      <c r="BL582" t="s">
        <v>11339</v>
      </c>
      <c r="BM582" t="s">
        <v>11340</v>
      </c>
      <c r="BN582">
        <v>26014920</v>
      </c>
      <c r="BO582" t="s">
        <v>74</v>
      </c>
      <c r="BP582" t="s">
        <v>74</v>
      </c>
      <c r="BQ582" t="s">
        <v>74</v>
      </c>
      <c r="BR582" t="s">
        <v>103</v>
      </c>
      <c r="BS582" t="s">
        <v>11341</v>
      </c>
      <c r="BT582" t="str">
        <f>HYPERLINK("https%3A%2F%2Fwww.webofscience.com%2Fwos%2Fwoscc%2Ffull-record%2FWOS:000359434000002","View Full Record in Web of Science")</f>
        <v>View Full Record in Web of Science</v>
      </c>
    </row>
    <row r="583" spans="1:72" x14ac:dyDescent="0.15">
      <c r="A583" t="s">
        <v>72</v>
      </c>
      <c r="B583" t="s">
        <v>11342</v>
      </c>
      <c r="C583" t="s">
        <v>74</v>
      </c>
      <c r="D583" t="s">
        <v>74</v>
      </c>
      <c r="E583" t="s">
        <v>74</v>
      </c>
      <c r="F583" t="s">
        <v>11343</v>
      </c>
      <c r="G583" t="s">
        <v>74</v>
      </c>
      <c r="H583" t="s">
        <v>74</v>
      </c>
      <c r="I583" t="s">
        <v>11344</v>
      </c>
      <c r="J583" t="s">
        <v>10375</v>
      </c>
      <c r="K583" t="s">
        <v>74</v>
      </c>
      <c r="L583" t="s">
        <v>74</v>
      </c>
      <c r="M583" t="s">
        <v>78</v>
      </c>
      <c r="N583" t="s">
        <v>79</v>
      </c>
      <c r="O583" t="s">
        <v>74</v>
      </c>
      <c r="P583" t="s">
        <v>74</v>
      </c>
      <c r="Q583" t="s">
        <v>74</v>
      </c>
      <c r="R583" t="s">
        <v>74</v>
      </c>
      <c r="S583" t="s">
        <v>74</v>
      </c>
      <c r="T583" t="s">
        <v>74</v>
      </c>
      <c r="U583" t="s">
        <v>11345</v>
      </c>
      <c r="V583" t="s">
        <v>11346</v>
      </c>
      <c r="W583" t="s">
        <v>11347</v>
      </c>
      <c r="X583" t="s">
        <v>11348</v>
      </c>
      <c r="Y583" t="s">
        <v>11349</v>
      </c>
      <c r="Z583" t="s">
        <v>11350</v>
      </c>
      <c r="AA583" t="s">
        <v>74</v>
      </c>
      <c r="AB583" t="s">
        <v>11351</v>
      </c>
      <c r="AC583" t="s">
        <v>11352</v>
      </c>
      <c r="AD583" t="s">
        <v>11353</v>
      </c>
      <c r="AE583" t="s">
        <v>11354</v>
      </c>
      <c r="AF583" t="s">
        <v>74</v>
      </c>
      <c r="AG583">
        <v>42</v>
      </c>
      <c r="AH583">
        <v>20</v>
      </c>
      <c r="AI583">
        <v>22</v>
      </c>
      <c r="AJ583">
        <v>2</v>
      </c>
      <c r="AK583">
        <v>21</v>
      </c>
      <c r="AL583" t="s">
        <v>10453</v>
      </c>
      <c r="AM583" t="s">
        <v>3419</v>
      </c>
      <c r="AN583" t="s">
        <v>10454</v>
      </c>
      <c r="AO583" t="s">
        <v>10387</v>
      </c>
      <c r="AP583" t="s">
        <v>10388</v>
      </c>
      <c r="AQ583" t="s">
        <v>74</v>
      </c>
      <c r="AR583" t="s">
        <v>10389</v>
      </c>
      <c r="AS583" t="s">
        <v>10390</v>
      </c>
      <c r="AT583" t="s">
        <v>9714</v>
      </c>
      <c r="AU583">
        <v>2015</v>
      </c>
      <c r="AV583">
        <v>47</v>
      </c>
      <c r="AW583">
        <v>3</v>
      </c>
      <c r="AX583" t="s">
        <v>74</v>
      </c>
      <c r="AY583" t="s">
        <v>74</v>
      </c>
      <c r="AZ583" t="s">
        <v>74</v>
      </c>
      <c r="BA583" t="s">
        <v>74</v>
      </c>
      <c r="BB583">
        <v>407</v>
      </c>
      <c r="BC583">
        <v>425</v>
      </c>
      <c r="BD583" t="s">
        <v>74</v>
      </c>
      <c r="BE583" t="s">
        <v>11355</v>
      </c>
      <c r="BF583" t="str">
        <f>HYPERLINK("http://dx.doi.org/10.1657/AAAR0014-024","http://dx.doi.org/10.1657/AAAR0014-024")</f>
        <v>http://dx.doi.org/10.1657/AAAR0014-024</v>
      </c>
      <c r="BG583" t="s">
        <v>74</v>
      </c>
      <c r="BH583" t="s">
        <v>74</v>
      </c>
      <c r="BI583">
        <v>19</v>
      </c>
      <c r="BJ583" t="s">
        <v>10392</v>
      </c>
      <c r="BK583" t="s">
        <v>101</v>
      </c>
      <c r="BL583" t="s">
        <v>7651</v>
      </c>
      <c r="BM583" t="s">
        <v>10393</v>
      </c>
      <c r="BN583" t="s">
        <v>74</v>
      </c>
      <c r="BO583" t="s">
        <v>1213</v>
      </c>
      <c r="BP583" t="s">
        <v>74</v>
      </c>
      <c r="BQ583" t="s">
        <v>74</v>
      </c>
      <c r="BR583" t="s">
        <v>103</v>
      </c>
      <c r="BS583" t="s">
        <v>11356</v>
      </c>
      <c r="BT583" t="str">
        <f>HYPERLINK("https%3A%2F%2Fwww.webofscience.com%2Fwos%2Fwoscc%2Ffull-record%2FWOS:000359679000001","View Full Record in Web of Science")</f>
        <v>View Full Record in Web of Science</v>
      </c>
    </row>
    <row r="584" spans="1:72" x14ac:dyDescent="0.15">
      <c r="A584" t="s">
        <v>72</v>
      </c>
      <c r="B584" t="s">
        <v>11357</v>
      </c>
      <c r="C584" t="s">
        <v>74</v>
      </c>
      <c r="D584" t="s">
        <v>74</v>
      </c>
      <c r="E584" t="s">
        <v>74</v>
      </c>
      <c r="F584" t="s">
        <v>11358</v>
      </c>
      <c r="G584" t="s">
        <v>74</v>
      </c>
      <c r="H584" t="s">
        <v>74</v>
      </c>
      <c r="I584" t="s">
        <v>11359</v>
      </c>
      <c r="J584" t="s">
        <v>10375</v>
      </c>
      <c r="K584" t="s">
        <v>74</v>
      </c>
      <c r="L584" t="s">
        <v>74</v>
      </c>
      <c r="M584" t="s">
        <v>78</v>
      </c>
      <c r="N584" t="s">
        <v>79</v>
      </c>
      <c r="O584" t="s">
        <v>74</v>
      </c>
      <c r="P584" t="s">
        <v>74</v>
      </c>
      <c r="Q584" t="s">
        <v>74</v>
      </c>
      <c r="R584" t="s">
        <v>74</v>
      </c>
      <c r="S584" t="s">
        <v>74</v>
      </c>
      <c r="T584" t="s">
        <v>74</v>
      </c>
      <c r="U584" t="s">
        <v>11360</v>
      </c>
      <c r="V584" t="s">
        <v>11361</v>
      </c>
      <c r="W584" t="s">
        <v>11362</v>
      </c>
      <c r="X584" t="s">
        <v>11363</v>
      </c>
      <c r="Y584" t="s">
        <v>11364</v>
      </c>
      <c r="Z584" t="s">
        <v>11365</v>
      </c>
      <c r="AA584" t="s">
        <v>11366</v>
      </c>
      <c r="AB584" t="s">
        <v>11367</v>
      </c>
      <c r="AC584" t="s">
        <v>11368</v>
      </c>
      <c r="AD584" t="s">
        <v>11369</v>
      </c>
      <c r="AE584" t="s">
        <v>11370</v>
      </c>
      <c r="AF584" t="s">
        <v>74</v>
      </c>
      <c r="AG584">
        <v>48</v>
      </c>
      <c r="AH584">
        <v>59</v>
      </c>
      <c r="AI584">
        <v>75</v>
      </c>
      <c r="AJ584">
        <v>0</v>
      </c>
      <c r="AK584">
        <v>47</v>
      </c>
      <c r="AL584" t="s">
        <v>1474</v>
      </c>
      <c r="AM584" t="s">
        <v>1475</v>
      </c>
      <c r="AN584" t="s">
        <v>1476</v>
      </c>
      <c r="AO584" t="s">
        <v>10387</v>
      </c>
      <c r="AP584" t="s">
        <v>10388</v>
      </c>
      <c r="AQ584" t="s">
        <v>74</v>
      </c>
      <c r="AR584" t="s">
        <v>10389</v>
      </c>
      <c r="AS584" t="s">
        <v>10390</v>
      </c>
      <c r="AT584" t="s">
        <v>9714</v>
      </c>
      <c r="AU584">
        <v>2015</v>
      </c>
      <c r="AV584">
        <v>47</v>
      </c>
      <c r="AW584">
        <v>3</v>
      </c>
      <c r="AX584" t="s">
        <v>74</v>
      </c>
      <c r="AY584" t="s">
        <v>74</v>
      </c>
      <c r="AZ584" t="s">
        <v>74</v>
      </c>
      <c r="BA584" t="s">
        <v>74</v>
      </c>
      <c r="BB584">
        <v>427</v>
      </c>
      <c r="BC584">
        <v>447</v>
      </c>
      <c r="BD584" t="s">
        <v>74</v>
      </c>
      <c r="BE584" t="s">
        <v>11371</v>
      </c>
      <c r="BF584" t="str">
        <f>HYPERLINK("http://dx.doi.org/10.1657/AAAR0014-049","http://dx.doi.org/10.1657/AAAR0014-049")</f>
        <v>http://dx.doi.org/10.1657/AAAR0014-049</v>
      </c>
      <c r="BG584" t="s">
        <v>74</v>
      </c>
      <c r="BH584" t="s">
        <v>74</v>
      </c>
      <c r="BI584">
        <v>21</v>
      </c>
      <c r="BJ584" t="s">
        <v>10392</v>
      </c>
      <c r="BK584" t="s">
        <v>101</v>
      </c>
      <c r="BL584" t="s">
        <v>7651</v>
      </c>
      <c r="BM584" t="s">
        <v>10393</v>
      </c>
      <c r="BN584" t="s">
        <v>74</v>
      </c>
      <c r="BO584" t="s">
        <v>4189</v>
      </c>
      <c r="BP584" t="s">
        <v>74</v>
      </c>
      <c r="BQ584" t="s">
        <v>74</v>
      </c>
      <c r="BR584" t="s">
        <v>103</v>
      </c>
      <c r="BS584" t="s">
        <v>11372</v>
      </c>
      <c r="BT584" t="str">
        <f>HYPERLINK("https%3A%2F%2Fwww.webofscience.com%2Fwos%2Fwoscc%2Ffull-record%2FWOS:000359679000002","View Full Record in Web of Science")</f>
        <v>View Full Record in Web of Science</v>
      </c>
    </row>
    <row r="585" spans="1:72" x14ac:dyDescent="0.15">
      <c r="A585" t="s">
        <v>72</v>
      </c>
      <c r="B585" t="s">
        <v>11373</v>
      </c>
      <c r="C585" t="s">
        <v>74</v>
      </c>
      <c r="D585" t="s">
        <v>74</v>
      </c>
      <c r="E585" t="s">
        <v>74</v>
      </c>
      <c r="F585" t="s">
        <v>11374</v>
      </c>
      <c r="G585" t="s">
        <v>74</v>
      </c>
      <c r="H585" t="s">
        <v>74</v>
      </c>
      <c r="I585" t="s">
        <v>11375</v>
      </c>
      <c r="J585" t="s">
        <v>10375</v>
      </c>
      <c r="K585" t="s">
        <v>74</v>
      </c>
      <c r="L585" t="s">
        <v>74</v>
      </c>
      <c r="M585" t="s">
        <v>78</v>
      </c>
      <c r="N585" t="s">
        <v>79</v>
      </c>
      <c r="O585" t="s">
        <v>74</v>
      </c>
      <c r="P585" t="s">
        <v>74</v>
      </c>
      <c r="Q585" t="s">
        <v>74</v>
      </c>
      <c r="R585" t="s">
        <v>74</v>
      </c>
      <c r="S585" t="s">
        <v>74</v>
      </c>
      <c r="T585" t="s">
        <v>74</v>
      </c>
      <c r="U585" t="s">
        <v>11376</v>
      </c>
      <c r="V585" t="s">
        <v>11377</v>
      </c>
      <c r="W585" t="s">
        <v>11378</v>
      </c>
      <c r="X585" t="s">
        <v>11379</v>
      </c>
      <c r="Y585" t="s">
        <v>11380</v>
      </c>
      <c r="Z585" t="s">
        <v>11381</v>
      </c>
      <c r="AA585" t="s">
        <v>74</v>
      </c>
      <c r="AB585" t="s">
        <v>74</v>
      </c>
      <c r="AC585" t="s">
        <v>11382</v>
      </c>
      <c r="AD585" t="s">
        <v>11383</v>
      </c>
      <c r="AE585" t="s">
        <v>11384</v>
      </c>
      <c r="AF585" t="s">
        <v>74</v>
      </c>
      <c r="AG585">
        <v>56</v>
      </c>
      <c r="AH585">
        <v>24</v>
      </c>
      <c r="AI585">
        <v>28</v>
      </c>
      <c r="AJ585">
        <v>4</v>
      </c>
      <c r="AK585">
        <v>78</v>
      </c>
      <c r="AL585" t="s">
        <v>10453</v>
      </c>
      <c r="AM585" t="s">
        <v>3419</v>
      </c>
      <c r="AN585" t="s">
        <v>10454</v>
      </c>
      <c r="AO585" t="s">
        <v>10387</v>
      </c>
      <c r="AP585" t="s">
        <v>10388</v>
      </c>
      <c r="AQ585" t="s">
        <v>74</v>
      </c>
      <c r="AR585" t="s">
        <v>10389</v>
      </c>
      <c r="AS585" t="s">
        <v>10390</v>
      </c>
      <c r="AT585" t="s">
        <v>9714</v>
      </c>
      <c r="AU585">
        <v>2015</v>
      </c>
      <c r="AV585">
        <v>47</v>
      </c>
      <c r="AW585">
        <v>3</v>
      </c>
      <c r="AX585" t="s">
        <v>74</v>
      </c>
      <c r="AY585" t="s">
        <v>74</v>
      </c>
      <c r="AZ585" t="s">
        <v>74</v>
      </c>
      <c r="BA585" t="s">
        <v>74</v>
      </c>
      <c r="BB585">
        <v>461</v>
      </c>
      <c r="BC585">
        <v>472</v>
      </c>
      <c r="BD585" t="s">
        <v>74</v>
      </c>
      <c r="BE585" t="s">
        <v>11385</v>
      </c>
      <c r="BF585" t="str">
        <f>HYPERLINK("http://dx.doi.org/10.1657/AAAR0014-039","http://dx.doi.org/10.1657/AAAR0014-039")</f>
        <v>http://dx.doi.org/10.1657/AAAR0014-039</v>
      </c>
      <c r="BG585" t="s">
        <v>74</v>
      </c>
      <c r="BH585" t="s">
        <v>74</v>
      </c>
      <c r="BI585">
        <v>12</v>
      </c>
      <c r="BJ585" t="s">
        <v>10392</v>
      </c>
      <c r="BK585" t="s">
        <v>101</v>
      </c>
      <c r="BL585" t="s">
        <v>7651</v>
      </c>
      <c r="BM585" t="s">
        <v>10393</v>
      </c>
      <c r="BN585" t="s">
        <v>74</v>
      </c>
      <c r="BO585" t="s">
        <v>908</v>
      </c>
      <c r="BP585" t="s">
        <v>74</v>
      </c>
      <c r="BQ585" t="s">
        <v>74</v>
      </c>
      <c r="BR585" t="s">
        <v>103</v>
      </c>
      <c r="BS585" t="s">
        <v>11386</v>
      </c>
      <c r="BT585" t="str">
        <f>HYPERLINK("https%3A%2F%2Fwww.webofscience.com%2Fwos%2Fwoscc%2Ffull-record%2FWOS:000359679000004","View Full Record in Web of Science")</f>
        <v>View Full Record in Web of Science</v>
      </c>
    </row>
    <row r="586" spans="1:72" x14ac:dyDescent="0.15">
      <c r="A586" t="s">
        <v>72</v>
      </c>
      <c r="B586" t="s">
        <v>11387</v>
      </c>
      <c r="C586" t="s">
        <v>74</v>
      </c>
      <c r="D586" t="s">
        <v>74</v>
      </c>
      <c r="E586" t="s">
        <v>74</v>
      </c>
      <c r="F586" t="s">
        <v>11388</v>
      </c>
      <c r="G586" t="s">
        <v>74</v>
      </c>
      <c r="H586" t="s">
        <v>74</v>
      </c>
      <c r="I586" t="s">
        <v>11389</v>
      </c>
      <c r="J586" t="s">
        <v>10375</v>
      </c>
      <c r="K586" t="s">
        <v>74</v>
      </c>
      <c r="L586" t="s">
        <v>74</v>
      </c>
      <c r="M586" t="s">
        <v>78</v>
      </c>
      <c r="N586" t="s">
        <v>79</v>
      </c>
      <c r="O586" t="s">
        <v>74</v>
      </c>
      <c r="P586" t="s">
        <v>74</v>
      </c>
      <c r="Q586" t="s">
        <v>74</v>
      </c>
      <c r="R586" t="s">
        <v>74</v>
      </c>
      <c r="S586" t="s">
        <v>74</v>
      </c>
      <c r="T586" t="s">
        <v>74</v>
      </c>
      <c r="U586" t="s">
        <v>11390</v>
      </c>
      <c r="V586" t="s">
        <v>11391</v>
      </c>
      <c r="W586" t="s">
        <v>11392</v>
      </c>
      <c r="X586" t="s">
        <v>11393</v>
      </c>
      <c r="Y586" t="s">
        <v>11394</v>
      </c>
      <c r="Z586" t="s">
        <v>11395</v>
      </c>
      <c r="AA586" t="s">
        <v>11396</v>
      </c>
      <c r="AB586" t="s">
        <v>11397</v>
      </c>
      <c r="AC586" t="s">
        <v>11398</v>
      </c>
      <c r="AD586" t="s">
        <v>11399</v>
      </c>
      <c r="AE586" t="s">
        <v>11400</v>
      </c>
      <c r="AF586" t="s">
        <v>74</v>
      </c>
      <c r="AG586">
        <v>48</v>
      </c>
      <c r="AH586">
        <v>21</v>
      </c>
      <c r="AI586">
        <v>22</v>
      </c>
      <c r="AJ586">
        <v>0</v>
      </c>
      <c r="AK586">
        <v>69</v>
      </c>
      <c r="AL586" t="s">
        <v>10453</v>
      </c>
      <c r="AM586" t="s">
        <v>3419</v>
      </c>
      <c r="AN586" t="s">
        <v>10454</v>
      </c>
      <c r="AO586" t="s">
        <v>10387</v>
      </c>
      <c r="AP586" t="s">
        <v>10388</v>
      </c>
      <c r="AQ586" t="s">
        <v>74</v>
      </c>
      <c r="AR586" t="s">
        <v>10389</v>
      </c>
      <c r="AS586" t="s">
        <v>10390</v>
      </c>
      <c r="AT586" t="s">
        <v>9714</v>
      </c>
      <c r="AU586">
        <v>2015</v>
      </c>
      <c r="AV586">
        <v>47</v>
      </c>
      <c r="AW586">
        <v>3</v>
      </c>
      <c r="AX586" t="s">
        <v>74</v>
      </c>
      <c r="AY586" t="s">
        <v>74</v>
      </c>
      <c r="AZ586" t="s">
        <v>74</v>
      </c>
      <c r="BA586" t="s">
        <v>74</v>
      </c>
      <c r="BB586">
        <v>495</v>
      </c>
      <c r="BC586">
        <v>503</v>
      </c>
      <c r="BD586" t="s">
        <v>74</v>
      </c>
      <c r="BE586" t="s">
        <v>11401</v>
      </c>
      <c r="BF586" t="str">
        <f>HYPERLINK("http://dx.doi.org/10.1657/AAAR0014-062","http://dx.doi.org/10.1657/AAAR0014-062")</f>
        <v>http://dx.doi.org/10.1657/AAAR0014-062</v>
      </c>
      <c r="BG586" t="s">
        <v>74</v>
      </c>
      <c r="BH586" t="s">
        <v>74</v>
      </c>
      <c r="BI586">
        <v>9</v>
      </c>
      <c r="BJ586" t="s">
        <v>10392</v>
      </c>
      <c r="BK586" t="s">
        <v>101</v>
      </c>
      <c r="BL586" t="s">
        <v>7651</v>
      </c>
      <c r="BM586" t="s">
        <v>10393</v>
      </c>
      <c r="BN586" t="s">
        <v>74</v>
      </c>
      <c r="BO586" t="s">
        <v>908</v>
      </c>
      <c r="BP586" t="s">
        <v>74</v>
      </c>
      <c r="BQ586" t="s">
        <v>74</v>
      </c>
      <c r="BR586" t="s">
        <v>103</v>
      </c>
      <c r="BS586" t="s">
        <v>11402</v>
      </c>
      <c r="BT586" t="str">
        <f>HYPERLINK("https%3A%2F%2Fwww.webofscience.com%2Fwos%2Fwoscc%2Ffull-record%2FWOS:000359679000007","View Full Record in Web of Science")</f>
        <v>View Full Record in Web of Science</v>
      </c>
    </row>
    <row r="587" spans="1:72" x14ac:dyDescent="0.15">
      <c r="A587" t="s">
        <v>72</v>
      </c>
      <c r="B587" t="s">
        <v>11403</v>
      </c>
      <c r="C587" t="s">
        <v>74</v>
      </c>
      <c r="D587" t="s">
        <v>74</v>
      </c>
      <c r="E587" t="s">
        <v>74</v>
      </c>
      <c r="F587" t="s">
        <v>11404</v>
      </c>
      <c r="G587" t="s">
        <v>74</v>
      </c>
      <c r="H587" t="s">
        <v>74</v>
      </c>
      <c r="I587" t="s">
        <v>11405</v>
      </c>
      <c r="J587" t="s">
        <v>10375</v>
      </c>
      <c r="K587" t="s">
        <v>74</v>
      </c>
      <c r="L587" t="s">
        <v>74</v>
      </c>
      <c r="M587" t="s">
        <v>78</v>
      </c>
      <c r="N587" t="s">
        <v>79</v>
      </c>
      <c r="O587" t="s">
        <v>74</v>
      </c>
      <c r="P587" t="s">
        <v>74</v>
      </c>
      <c r="Q587" t="s">
        <v>74</v>
      </c>
      <c r="R587" t="s">
        <v>74</v>
      </c>
      <c r="S587" t="s">
        <v>74</v>
      </c>
      <c r="T587" t="s">
        <v>74</v>
      </c>
      <c r="U587" t="s">
        <v>11406</v>
      </c>
      <c r="V587" t="s">
        <v>11407</v>
      </c>
      <c r="W587" t="s">
        <v>11408</v>
      </c>
      <c r="X587" t="s">
        <v>11409</v>
      </c>
      <c r="Y587" t="s">
        <v>11410</v>
      </c>
      <c r="Z587" t="s">
        <v>11411</v>
      </c>
      <c r="AA587" t="s">
        <v>11412</v>
      </c>
      <c r="AB587" t="s">
        <v>11413</v>
      </c>
      <c r="AC587" t="s">
        <v>11414</v>
      </c>
      <c r="AD587" t="s">
        <v>11415</v>
      </c>
      <c r="AE587" t="s">
        <v>11416</v>
      </c>
      <c r="AF587" t="s">
        <v>74</v>
      </c>
      <c r="AG587">
        <v>30</v>
      </c>
      <c r="AH587">
        <v>39</v>
      </c>
      <c r="AI587">
        <v>44</v>
      </c>
      <c r="AJ587">
        <v>1</v>
      </c>
      <c r="AK587">
        <v>30</v>
      </c>
      <c r="AL587" t="s">
        <v>1474</v>
      </c>
      <c r="AM587" t="s">
        <v>1475</v>
      </c>
      <c r="AN587" t="s">
        <v>1476</v>
      </c>
      <c r="AO587" t="s">
        <v>10387</v>
      </c>
      <c r="AP587" t="s">
        <v>10388</v>
      </c>
      <c r="AQ587" t="s">
        <v>74</v>
      </c>
      <c r="AR587" t="s">
        <v>10389</v>
      </c>
      <c r="AS587" t="s">
        <v>10390</v>
      </c>
      <c r="AT587" t="s">
        <v>9714</v>
      </c>
      <c r="AU587">
        <v>2015</v>
      </c>
      <c r="AV587">
        <v>47</v>
      </c>
      <c r="AW587">
        <v>3</v>
      </c>
      <c r="AX587" t="s">
        <v>74</v>
      </c>
      <c r="AY587" t="s">
        <v>74</v>
      </c>
      <c r="AZ587" t="s">
        <v>74</v>
      </c>
      <c r="BA587" t="s">
        <v>74</v>
      </c>
      <c r="BB587">
        <v>505</v>
      </c>
      <c r="BC587">
        <v>510</v>
      </c>
      <c r="BD587" t="s">
        <v>74</v>
      </c>
      <c r="BE587" t="s">
        <v>11417</v>
      </c>
      <c r="BF587" t="str">
        <f>HYPERLINK("http://dx.doi.org/10.1657/AAAR0014-060","http://dx.doi.org/10.1657/AAAR0014-060")</f>
        <v>http://dx.doi.org/10.1657/AAAR0014-060</v>
      </c>
      <c r="BG587" t="s">
        <v>74</v>
      </c>
      <c r="BH587" t="s">
        <v>74</v>
      </c>
      <c r="BI587">
        <v>6</v>
      </c>
      <c r="BJ587" t="s">
        <v>10392</v>
      </c>
      <c r="BK587" t="s">
        <v>101</v>
      </c>
      <c r="BL587" t="s">
        <v>7651</v>
      </c>
      <c r="BM587" t="s">
        <v>10393</v>
      </c>
      <c r="BN587" t="s">
        <v>74</v>
      </c>
      <c r="BO587" t="s">
        <v>162</v>
      </c>
      <c r="BP587" t="s">
        <v>74</v>
      </c>
      <c r="BQ587" t="s">
        <v>74</v>
      </c>
      <c r="BR587" t="s">
        <v>103</v>
      </c>
      <c r="BS587" t="s">
        <v>11418</v>
      </c>
      <c r="BT587" t="str">
        <f>HYPERLINK("https%3A%2F%2Fwww.webofscience.com%2Fwos%2Fwoscc%2Ffull-record%2FWOS:000359679000008","View Full Record in Web of Science")</f>
        <v>View Full Record in Web of Science</v>
      </c>
    </row>
    <row r="588" spans="1:72" x14ac:dyDescent="0.15">
      <c r="A588" t="s">
        <v>72</v>
      </c>
      <c r="B588" t="s">
        <v>11419</v>
      </c>
      <c r="C588" t="s">
        <v>74</v>
      </c>
      <c r="D588" t="s">
        <v>74</v>
      </c>
      <c r="E588" t="s">
        <v>74</v>
      </c>
      <c r="F588" t="s">
        <v>11420</v>
      </c>
      <c r="G588" t="s">
        <v>74</v>
      </c>
      <c r="H588" t="s">
        <v>74</v>
      </c>
      <c r="I588" t="s">
        <v>11421</v>
      </c>
      <c r="J588" t="s">
        <v>11422</v>
      </c>
      <c r="K588" t="s">
        <v>74</v>
      </c>
      <c r="L588" t="s">
        <v>74</v>
      </c>
      <c r="M588" t="s">
        <v>78</v>
      </c>
      <c r="N588" t="s">
        <v>79</v>
      </c>
      <c r="O588" t="s">
        <v>74</v>
      </c>
      <c r="P588" t="s">
        <v>74</v>
      </c>
      <c r="Q588" t="s">
        <v>74</v>
      </c>
      <c r="R588" t="s">
        <v>74</v>
      </c>
      <c r="S588" t="s">
        <v>74</v>
      </c>
      <c r="T588" t="s">
        <v>11423</v>
      </c>
      <c r="U588" t="s">
        <v>11424</v>
      </c>
      <c r="V588" t="s">
        <v>11425</v>
      </c>
      <c r="W588" t="s">
        <v>11426</v>
      </c>
      <c r="X588" t="s">
        <v>11427</v>
      </c>
      <c r="Y588" t="s">
        <v>11428</v>
      </c>
      <c r="Z588" t="s">
        <v>11429</v>
      </c>
      <c r="AA588" t="s">
        <v>11430</v>
      </c>
      <c r="AB588" t="s">
        <v>11431</v>
      </c>
      <c r="AC588" t="s">
        <v>11432</v>
      </c>
      <c r="AD588" t="s">
        <v>11433</v>
      </c>
      <c r="AE588" t="s">
        <v>11434</v>
      </c>
      <c r="AF588" t="s">
        <v>74</v>
      </c>
      <c r="AG588">
        <v>98</v>
      </c>
      <c r="AH588">
        <v>24</v>
      </c>
      <c r="AI588">
        <v>24</v>
      </c>
      <c r="AJ588">
        <v>0</v>
      </c>
      <c r="AK588">
        <v>28</v>
      </c>
      <c r="AL588" t="s">
        <v>397</v>
      </c>
      <c r="AM588" t="s">
        <v>398</v>
      </c>
      <c r="AN588" t="s">
        <v>399</v>
      </c>
      <c r="AO588" t="s">
        <v>11435</v>
      </c>
      <c r="AP588" t="s">
        <v>11436</v>
      </c>
      <c r="AQ588" t="s">
        <v>74</v>
      </c>
      <c r="AR588" t="s">
        <v>11437</v>
      </c>
      <c r="AS588" t="s">
        <v>11438</v>
      </c>
      <c r="AT588" t="s">
        <v>10526</v>
      </c>
      <c r="AU588">
        <v>2015</v>
      </c>
      <c r="AV588">
        <v>23</v>
      </c>
      <c r="AW588">
        <v>15</v>
      </c>
      <c r="AX588" t="s">
        <v>74</v>
      </c>
      <c r="AY588" t="s">
        <v>74</v>
      </c>
      <c r="AZ588" t="s">
        <v>74</v>
      </c>
      <c r="BA588" t="s">
        <v>74</v>
      </c>
      <c r="BB588">
        <v>4405</v>
      </c>
      <c r="BC588">
        <v>4409</v>
      </c>
      <c r="BD588" t="s">
        <v>74</v>
      </c>
      <c r="BE588" t="s">
        <v>11439</v>
      </c>
      <c r="BF588" t="str">
        <f>HYPERLINK("http://dx.doi.org/10.1016/j.bmc.2015.06.021","http://dx.doi.org/10.1016/j.bmc.2015.06.021")</f>
        <v>http://dx.doi.org/10.1016/j.bmc.2015.06.021</v>
      </c>
      <c r="BG588" t="s">
        <v>74</v>
      </c>
      <c r="BH588" t="s">
        <v>74</v>
      </c>
      <c r="BI588">
        <v>5</v>
      </c>
      <c r="BJ588" t="s">
        <v>11440</v>
      </c>
      <c r="BK588" t="s">
        <v>101</v>
      </c>
      <c r="BL588" t="s">
        <v>11441</v>
      </c>
      <c r="BM588" t="s">
        <v>11442</v>
      </c>
      <c r="BN588">
        <v>26145820</v>
      </c>
      <c r="BO588" t="s">
        <v>74</v>
      </c>
      <c r="BP588" t="s">
        <v>74</v>
      </c>
      <c r="BQ588" t="s">
        <v>74</v>
      </c>
      <c r="BR588" t="s">
        <v>103</v>
      </c>
      <c r="BS588" t="s">
        <v>11443</v>
      </c>
      <c r="BT588" t="str">
        <f>HYPERLINK("https%3A%2F%2Fwww.webofscience.com%2Fwos%2Fwoscc%2Ffull-record%2FWOS:000358440000030","View Full Record in Web of Science")</f>
        <v>View Full Record in Web of Science</v>
      </c>
    </row>
    <row r="589" spans="1:72" x14ac:dyDescent="0.15">
      <c r="A589" t="s">
        <v>72</v>
      </c>
      <c r="B589" t="s">
        <v>11444</v>
      </c>
      <c r="C589" t="s">
        <v>74</v>
      </c>
      <c r="D589" t="s">
        <v>74</v>
      </c>
      <c r="E589" t="s">
        <v>74</v>
      </c>
      <c r="F589" t="s">
        <v>11445</v>
      </c>
      <c r="G589" t="s">
        <v>74</v>
      </c>
      <c r="H589" t="s">
        <v>74</v>
      </c>
      <c r="I589" t="s">
        <v>11446</v>
      </c>
      <c r="J589" t="s">
        <v>11447</v>
      </c>
      <c r="K589" t="s">
        <v>74</v>
      </c>
      <c r="L589" t="s">
        <v>74</v>
      </c>
      <c r="M589" t="s">
        <v>78</v>
      </c>
      <c r="N589" t="s">
        <v>79</v>
      </c>
      <c r="O589" t="s">
        <v>74</v>
      </c>
      <c r="P589" t="s">
        <v>74</v>
      </c>
      <c r="Q589" t="s">
        <v>74</v>
      </c>
      <c r="R589" t="s">
        <v>74</v>
      </c>
      <c r="S589" t="s">
        <v>74</v>
      </c>
      <c r="T589" t="s">
        <v>11448</v>
      </c>
      <c r="U589" t="s">
        <v>11449</v>
      </c>
      <c r="V589" t="s">
        <v>11450</v>
      </c>
      <c r="W589" t="s">
        <v>11451</v>
      </c>
      <c r="X589" t="s">
        <v>11452</v>
      </c>
      <c r="Y589" t="s">
        <v>11453</v>
      </c>
      <c r="Z589" t="s">
        <v>3709</v>
      </c>
      <c r="AA589" t="s">
        <v>3710</v>
      </c>
      <c r="AB589" t="s">
        <v>11454</v>
      </c>
      <c r="AC589" t="s">
        <v>11455</v>
      </c>
      <c r="AD589" t="s">
        <v>11456</v>
      </c>
      <c r="AE589" t="s">
        <v>11457</v>
      </c>
      <c r="AF589" t="s">
        <v>74</v>
      </c>
      <c r="AG589">
        <v>42</v>
      </c>
      <c r="AH589">
        <v>20</v>
      </c>
      <c r="AI589">
        <v>26</v>
      </c>
      <c r="AJ589">
        <v>2</v>
      </c>
      <c r="AK589">
        <v>37</v>
      </c>
      <c r="AL589" t="s">
        <v>92</v>
      </c>
      <c r="AM589" t="s">
        <v>93</v>
      </c>
      <c r="AN589" t="s">
        <v>94</v>
      </c>
      <c r="AO589" t="s">
        <v>11458</v>
      </c>
      <c r="AP589" t="s">
        <v>11459</v>
      </c>
      <c r="AQ589" t="s">
        <v>74</v>
      </c>
      <c r="AR589" t="s">
        <v>11460</v>
      </c>
      <c r="AS589" t="s">
        <v>11461</v>
      </c>
      <c r="AT589" t="s">
        <v>9714</v>
      </c>
      <c r="AU589">
        <v>2015</v>
      </c>
      <c r="AV589">
        <v>156</v>
      </c>
      <c r="AW589">
        <v>2</v>
      </c>
      <c r="AX589" t="s">
        <v>74</v>
      </c>
      <c r="AY589" t="s">
        <v>74</v>
      </c>
      <c r="AZ589" t="s">
        <v>74</v>
      </c>
      <c r="BA589" t="s">
        <v>74</v>
      </c>
      <c r="BB589">
        <v>231</v>
      </c>
      <c r="BC589">
        <v>251</v>
      </c>
      <c r="BD589" t="s">
        <v>74</v>
      </c>
      <c r="BE589" t="s">
        <v>11462</v>
      </c>
      <c r="BF589" t="str">
        <f>HYPERLINK("http://dx.doi.org/10.1007/s10546-015-0015-y","http://dx.doi.org/10.1007/s10546-015-0015-y")</f>
        <v>http://dx.doi.org/10.1007/s10546-015-0015-y</v>
      </c>
      <c r="BG589" t="s">
        <v>74</v>
      </c>
      <c r="BH589" t="s">
        <v>74</v>
      </c>
      <c r="BI589">
        <v>21</v>
      </c>
      <c r="BJ589" t="s">
        <v>271</v>
      </c>
      <c r="BK589" t="s">
        <v>101</v>
      </c>
      <c r="BL589" t="s">
        <v>271</v>
      </c>
      <c r="BM589" t="s">
        <v>11463</v>
      </c>
      <c r="BN589" t="s">
        <v>74</v>
      </c>
      <c r="BO589" t="s">
        <v>290</v>
      </c>
      <c r="BP589" t="s">
        <v>74</v>
      </c>
      <c r="BQ589" t="s">
        <v>74</v>
      </c>
      <c r="BR589" t="s">
        <v>103</v>
      </c>
      <c r="BS589" t="s">
        <v>11464</v>
      </c>
      <c r="BT589" t="str">
        <f>HYPERLINK("https%3A%2F%2Fwww.webofscience.com%2Fwos%2Fwoscc%2Ffull-record%2FWOS:000357287200004","View Full Record in Web of Science")</f>
        <v>View Full Record in Web of Science</v>
      </c>
    </row>
    <row r="590" spans="1:72" x14ac:dyDescent="0.15">
      <c r="A590" t="s">
        <v>72</v>
      </c>
      <c r="B590" t="s">
        <v>11465</v>
      </c>
      <c r="C590" t="s">
        <v>74</v>
      </c>
      <c r="D590" t="s">
        <v>74</v>
      </c>
      <c r="E590" t="s">
        <v>74</v>
      </c>
      <c r="F590" t="s">
        <v>11466</v>
      </c>
      <c r="G590" t="s">
        <v>74</v>
      </c>
      <c r="H590" t="s">
        <v>74</v>
      </c>
      <c r="I590" t="s">
        <v>11467</v>
      </c>
      <c r="J590" t="s">
        <v>7699</v>
      </c>
      <c r="K590" t="s">
        <v>74</v>
      </c>
      <c r="L590" t="s">
        <v>74</v>
      </c>
      <c r="M590" t="s">
        <v>78</v>
      </c>
      <c r="N590" t="s">
        <v>79</v>
      </c>
      <c r="O590" t="s">
        <v>74</v>
      </c>
      <c r="P590" t="s">
        <v>74</v>
      </c>
      <c r="Q590" t="s">
        <v>74</v>
      </c>
      <c r="R590" t="s">
        <v>74</v>
      </c>
      <c r="S590" t="s">
        <v>74</v>
      </c>
      <c r="T590" t="s">
        <v>11468</v>
      </c>
      <c r="U590" t="s">
        <v>11469</v>
      </c>
      <c r="V590" t="s">
        <v>11470</v>
      </c>
      <c r="W590" t="s">
        <v>11471</v>
      </c>
      <c r="X590" t="s">
        <v>439</v>
      </c>
      <c r="Y590" t="s">
        <v>11472</v>
      </c>
      <c r="Z590" t="s">
        <v>11473</v>
      </c>
      <c r="AA590" t="s">
        <v>11474</v>
      </c>
      <c r="AB590" t="s">
        <v>11475</v>
      </c>
      <c r="AC590" t="s">
        <v>11476</v>
      </c>
      <c r="AD590" t="s">
        <v>11477</v>
      </c>
      <c r="AE590" t="s">
        <v>11478</v>
      </c>
      <c r="AF590" t="s">
        <v>74</v>
      </c>
      <c r="AG590">
        <v>54</v>
      </c>
      <c r="AH590">
        <v>24</v>
      </c>
      <c r="AI590">
        <v>25</v>
      </c>
      <c r="AJ590">
        <v>3</v>
      </c>
      <c r="AK590">
        <v>49</v>
      </c>
      <c r="AL590" t="s">
        <v>92</v>
      </c>
      <c r="AM590" t="s">
        <v>550</v>
      </c>
      <c r="AN590" t="s">
        <v>1398</v>
      </c>
      <c r="AO590" t="s">
        <v>7712</v>
      </c>
      <c r="AP590" t="s">
        <v>7713</v>
      </c>
      <c r="AQ590" t="s">
        <v>74</v>
      </c>
      <c r="AR590" t="s">
        <v>7714</v>
      </c>
      <c r="AS590" t="s">
        <v>7715</v>
      </c>
      <c r="AT590" t="s">
        <v>9714</v>
      </c>
      <c r="AU590">
        <v>2015</v>
      </c>
      <c r="AV590">
        <v>45</v>
      </c>
      <c r="AW590" t="s">
        <v>10873</v>
      </c>
      <c r="AX590" t="s">
        <v>74</v>
      </c>
      <c r="AY590" t="s">
        <v>74</v>
      </c>
      <c r="AZ590" t="s">
        <v>74</v>
      </c>
      <c r="BA590" t="s">
        <v>74</v>
      </c>
      <c r="BB590">
        <v>975</v>
      </c>
      <c r="BC590">
        <v>988</v>
      </c>
      <c r="BD590" t="s">
        <v>74</v>
      </c>
      <c r="BE590" t="s">
        <v>11479</v>
      </c>
      <c r="BF590" t="str">
        <f>HYPERLINK("http://dx.doi.org/10.1007/s00382-014-2337-8","http://dx.doi.org/10.1007/s00382-014-2337-8")</f>
        <v>http://dx.doi.org/10.1007/s00382-014-2337-8</v>
      </c>
      <c r="BG590" t="s">
        <v>74</v>
      </c>
      <c r="BH590" t="s">
        <v>74</v>
      </c>
      <c r="BI590">
        <v>14</v>
      </c>
      <c r="BJ590" t="s">
        <v>271</v>
      </c>
      <c r="BK590" t="s">
        <v>101</v>
      </c>
      <c r="BL590" t="s">
        <v>271</v>
      </c>
      <c r="BM590" t="s">
        <v>11480</v>
      </c>
      <c r="BN590" t="s">
        <v>74</v>
      </c>
      <c r="BO590" t="s">
        <v>455</v>
      </c>
      <c r="BP590" t="s">
        <v>74</v>
      </c>
      <c r="BQ590" t="s">
        <v>74</v>
      </c>
      <c r="BR590" t="s">
        <v>103</v>
      </c>
      <c r="BS590" t="s">
        <v>11481</v>
      </c>
      <c r="BT590" t="str">
        <f>HYPERLINK("https%3A%2F%2Fwww.webofscience.com%2Fwos%2Fwoscc%2Ffull-record%2FWOS:000356807800028","View Full Record in Web of Science")</f>
        <v>View Full Record in Web of Science</v>
      </c>
    </row>
    <row r="591" spans="1:72" x14ac:dyDescent="0.15">
      <c r="A591" t="s">
        <v>72</v>
      </c>
      <c r="B591" t="s">
        <v>11482</v>
      </c>
      <c r="C591" t="s">
        <v>74</v>
      </c>
      <c r="D591" t="s">
        <v>74</v>
      </c>
      <c r="E591" t="s">
        <v>74</v>
      </c>
      <c r="F591" t="s">
        <v>11483</v>
      </c>
      <c r="G591" t="s">
        <v>74</v>
      </c>
      <c r="H591" t="s">
        <v>74</v>
      </c>
      <c r="I591" t="s">
        <v>11484</v>
      </c>
      <c r="J591" t="s">
        <v>3747</v>
      </c>
      <c r="K591" t="s">
        <v>74</v>
      </c>
      <c r="L591" t="s">
        <v>74</v>
      </c>
      <c r="M591" t="s">
        <v>78</v>
      </c>
      <c r="N591" t="s">
        <v>754</v>
      </c>
      <c r="O591" t="s">
        <v>74</v>
      </c>
      <c r="P591" t="s">
        <v>74</v>
      </c>
      <c r="Q591" t="s">
        <v>74</v>
      </c>
      <c r="R591" t="s">
        <v>74</v>
      </c>
      <c r="S591" t="s">
        <v>74</v>
      </c>
      <c r="T591" t="s">
        <v>74</v>
      </c>
      <c r="U591" t="s">
        <v>11485</v>
      </c>
      <c r="V591" t="s">
        <v>74</v>
      </c>
      <c r="W591" t="s">
        <v>11486</v>
      </c>
      <c r="X591" t="s">
        <v>10181</v>
      </c>
      <c r="Y591" t="s">
        <v>11487</v>
      </c>
      <c r="Z591" t="s">
        <v>11488</v>
      </c>
      <c r="AA591" t="s">
        <v>74</v>
      </c>
      <c r="AB591" t="s">
        <v>74</v>
      </c>
      <c r="AC591" t="s">
        <v>74</v>
      </c>
      <c r="AD591" t="s">
        <v>74</v>
      </c>
      <c r="AE591" t="s">
        <v>74</v>
      </c>
      <c r="AF591" t="s">
        <v>74</v>
      </c>
      <c r="AG591">
        <v>27</v>
      </c>
      <c r="AH591">
        <v>2</v>
      </c>
      <c r="AI591">
        <v>2</v>
      </c>
      <c r="AJ591">
        <v>0</v>
      </c>
      <c r="AK591">
        <v>12</v>
      </c>
      <c r="AL591" t="s">
        <v>397</v>
      </c>
      <c r="AM591" t="s">
        <v>398</v>
      </c>
      <c r="AN591" t="s">
        <v>399</v>
      </c>
      <c r="AO591" t="s">
        <v>3759</v>
      </c>
      <c r="AP591" t="s">
        <v>3760</v>
      </c>
      <c r="AQ591" t="s">
        <v>74</v>
      </c>
      <c r="AR591" t="s">
        <v>3761</v>
      </c>
      <c r="AS591" t="s">
        <v>3762</v>
      </c>
      <c r="AT591" t="s">
        <v>9714</v>
      </c>
      <c r="AU591">
        <v>2015</v>
      </c>
      <c r="AV591">
        <v>118</v>
      </c>
      <c r="AW591" t="s">
        <v>74</v>
      </c>
      <c r="AX591" t="s">
        <v>5574</v>
      </c>
      <c r="AY591" t="s">
        <v>74</v>
      </c>
      <c r="AZ591" t="s">
        <v>931</v>
      </c>
      <c r="BA591" t="s">
        <v>74</v>
      </c>
      <c r="BB591">
        <v>137</v>
      </c>
      <c r="BC591">
        <v>141</v>
      </c>
      <c r="BD591" t="s">
        <v>74</v>
      </c>
      <c r="BE591" t="s">
        <v>11489</v>
      </c>
      <c r="BF591" t="str">
        <f>HYPERLINK("http://dx.doi.org/10.1016/j.dsr2.2015.07.001","http://dx.doi.org/10.1016/j.dsr2.2015.07.001")</f>
        <v>http://dx.doi.org/10.1016/j.dsr2.2015.07.001</v>
      </c>
      <c r="BG591" t="s">
        <v>74</v>
      </c>
      <c r="BH591" t="s">
        <v>74</v>
      </c>
      <c r="BI591">
        <v>5</v>
      </c>
      <c r="BJ591" t="s">
        <v>339</v>
      </c>
      <c r="BK591" t="s">
        <v>101</v>
      </c>
      <c r="BL591" t="s">
        <v>339</v>
      </c>
      <c r="BM591" t="s">
        <v>10172</v>
      </c>
      <c r="BN591" t="s">
        <v>74</v>
      </c>
      <c r="BO591" t="s">
        <v>74</v>
      </c>
      <c r="BP591" t="s">
        <v>74</v>
      </c>
      <c r="BQ591" t="s">
        <v>74</v>
      </c>
      <c r="BR591" t="s">
        <v>103</v>
      </c>
      <c r="BS591" t="s">
        <v>11490</v>
      </c>
      <c r="BT591" t="str">
        <f>HYPERLINK("https%3A%2F%2Fwww.webofscience.com%2Fwos%2Fwoscc%2Ffull-record%2FWOS:000360255400001","View Full Record in Web of Science")</f>
        <v>View Full Record in Web of Science</v>
      </c>
    </row>
    <row r="592" spans="1:72" x14ac:dyDescent="0.15">
      <c r="A592" t="s">
        <v>72</v>
      </c>
      <c r="B592" t="s">
        <v>11491</v>
      </c>
      <c r="C592" t="s">
        <v>74</v>
      </c>
      <c r="D592" t="s">
        <v>74</v>
      </c>
      <c r="E592" t="s">
        <v>74</v>
      </c>
      <c r="F592" t="s">
        <v>11492</v>
      </c>
      <c r="G592" t="s">
        <v>74</v>
      </c>
      <c r="H592" t="s">
        <v>74</v>
      </c>
      <c r="I592" t="s">
        <v>11493</v>
      </c>
      <c r="J592" t="s">
        <v>3747</v>
      </c>
      <c r="K592" t="s">
        <v>74</v>
      </c>
      <c r="L592" t="s">
        <v>74</v>
      </c>
      <c r="M592" t="s">
        <v>78</v>
      </c>
      <c r="N592" t="s">
        <v>79</v>
      </c>
      <c r="O592" t="s">
        <v>74</v>
      </c>
      <c r="P592" t="s">
        <v>74</v>
      </c>
      <c r="Q592" t="s">
        <v>74</v>
      </c>
      <c r="R592" t="s">
        <v>74</v>
      </c>
      <c r="S592" t="s">
        <v>74</v>
      </c>
      <c r="T592" t="s">
        <v>11494</v>
      </c>
      <c r="U592" t="s">
        <v>11495</v>
      </c>
      <c r="V592" t="s">
        <v>11496</v>
      </c>
      <c r="W592" t="s">
        <v>11497</v>
      </c>
      <c r="X592" t="s">
        <v>11498</v>
      </c>
      <c r="Y592" t="s">
        <v>11499</v>
      </c>
      <c r="Z592" t="s">
        <v>11500</v>
      </c>
      <c r="AA592" t="s">
        <v>11501</v>
      </c>
      <c r="AB592" t="s">
        <v>11502</v>
      </c>
      <c r="AC592" t="s">
        <v>74</v>
      </c>
      <c r="AD592" t="s">
        <v>74</v>
      </c>
      <c r="AE592" t="s">
        <v>74</v>
      </c>
      <c r="AF592" t="s">
        <v>74</v>
      </c>
      <c r="AG592">
        <v>42</v>
      </c>
      <c r="AH592">
        <v>7</v>
      </c>
      <c r="AI592">
        <v>7</v>
      </c>
      <c r="AJ592">
        <v>0</v>
      </c>
      <c r="AK592">
        <v>10</v>
      </c>
      <c r="AL592" t="s">
        <v>397</v>
      </c>
      <c r="AM592" t="s">
        <v>398</v>
      </c>
      <c r="AN592" t="s">
        <v>399</v>
      </c>
      <c r="AO592" t="s">
        <v>3759</v>
      </c>
      <c r="AP592" t="s">
        <v>3760</v>
      </c>
      <c r="AQ592" t="s">
        <v>74</v>
      </c>
      <c r="AR592" t="s">
        <v>3761</v>
      </c>
      <c r="AS592" t="s">
        <v>3762</v>
      </c>
      <c r="AT592" t="s">
        <v>9714</v>
      </c>
      <c r="AU592">
        <v>2015</v>
      </c>
      <c r="AV592">
        <v>118</v>
      </c>
      <c r="AW592" t="s">
        <v>74</v>
      </c>
      <c r="AX592" t="s">
        <v>5574</v>
      </c>
      <c r="AY592" t="s">
        <v>74</v>
      </c>
      <c r="AZ592" t="s">
        <v>931</v>
      </c>
      <c r="BA592" t="s">
        <v>74</v>
      </c>
      <c r="BB592">
        <v>142</v>
      </c>
      <c r="BC592">
        <v>151</v>
      </c>
      <c r="BD592" t="s">
        <v>74</v>
      </c>
      <c r="BE592" t="s">
        <v>11503</v>
      </c>
      <c r="BF592" t="str">
        <f>HYPERLINK("http://dx.doi.org/10.1016/j.dsr2.2015.03.012","http://dx.doi.org/10.1016/j.dsr2.2015.03.012")</f>
        <v>http://dx.doi.org/10.1016/j.dsr2.2015.03.012</v>
      </c>
      <c r="BG592" t="s">
        <v>74</v>
      </c>
      <c r="BH592" t="s">
        <v>74</v>
      </c>
      <c r="BI592">
        <v>10</v>
      </c>
      <c r="BJ592" t="s">
        <v>339</v>
      </c>
      <c r="BK592" t="s">
        <v>101</v>
      </c>
      <c r="BL592" t="s">
        <v>339</v>
      </c>
      <c r="BM592" t="s">
        <v>10172</v>
      </c>
      <c r="BN592" t="s">
        <v>74</v>
      </c>
      <c r="BO592" t="s">
        <v>74</v>
      </c>
      <c r="BP592" t="s">
        <v>74</v>
      </c>
      <c r="BQ592" t="s">
        <v>74</v>
      </c>
      <c r="BR592" t="s">
        <v>103</v>
      </c>
      <c r="BS592" t="s">
        <v>11504</v>
      </c>
      <c r="BT592" t="str">
        <f>HYPERLINK("https%3A%2F%2Fwww.webofscience.com%2Fwos%2Fwoscc%2Ffull-record%2FWOS:000360255400002","View Full Record in Web of Science")</f>
        <v>View Full Record in Web of Science</v>
      </c>
    </row>
    <row r="593" spans="1:72" x14ac:dyDescent="0.15">
      <c r="A593" t="s">
        <v>72</v>
      </c>
      <c r="B593" t="s">
        <v>11505</v>
      </c>
      <c r="C593" t="s">
        <v>74</v>
      </c>
      <c r="D593" t="s">
        <v>74</v>
      </c>
      <c r="E593" t="s">
        <v>74</v>
      </c>
      <c r="F593" t="s">
        <v>11506</v>
      </c>
      <c r="G593" t="s">
        <v>74</v>
      </c>
      <c r="H593" t="s">
        <v>74</v>
      </c>
      <c r="I593" t="s">
        <v>11507</v>
      </c>
      <c r="J593" t="s">
        <v>3747</v>
      </c>
      <c r="K593" t="s">
        <v>74</v>
      </c>
      <c r="L593" t="s">
        <v>74</v>
      </c>
      <c r="M593" t="s">
        <v>78</v>
      </c>
      <c r="N593" t="s">
        <v>79</v>
      </c>
      <c r="O593" t="s">
        <v>74</v>
      </c>
      <c r="P593" t="s">
        <v>74</v>
      </c>
      <c r="Q593" t="s">
        <v>74</v>
      </c>
      <c r="R593" t="s">
        <v>74</v>
      </c>
      <c r="S593" t="s">
        <v>74</v>
      </c>
      <c r="T593" t="s">
        <v>11508</v>
      </c>
      <c r="U593" t="s">
        <v>11509</v>
      </c>
      <c r="V593" t="s">
        <v>11510</v>
      </c>
      <c r="W593" t="s">
        <v>11511</v>
      </c>
      <c r="X593" t="s">
        <v>11512</v>
      </c>
      <c r="Y593" t="s">
        <v>11513</v>
      </c>
      <c r="Z593" t="s">
        <v>11514</v>
      </c>
      <c r="AA593" t="s">
        <v>11515</v>
      </c>
      <c r="AB593" t="s">
        <v>11516</v>
      </c>
      <c r="AC593" t="s">
        <v>11517</v>
      </c>
      <c r="AD593" t="s">
        <v>11518</v>
      </c>
      <c r="AE593" t="s">
        <v>11519</v>
      </c>
      <c r="AF593" t="s">
        <v>74</v>
      </c>
      <c r="AG593">
        <v>57</v>
      </c>
      <c r="AH593">
        <v>49</v>
      </c>
      <c r="AI593">
        <v>49</v>
      </c>
      <c r="AJ593">
        <v>2</v>
      </c>
      <c r="AK593">
        <v>28</v>
      </c>
      <c r="AL593" t="s">
        <v>397</v>
      </c>
      <c r="AM593" t="s">
        <v>398</v>
      </c>
      <c r="AN593" t="s">
        <v>399</v>
      </c>
      <c r="AO593" t="s">
        <v>3759</v>
      </c>
      <c r="AP593" t="s">
        <v>3760</v>
      </c>
      <c r="AQ593" t="s">
        <v>74</v>
      </c>
      <c r="AR593" t="s">
        <v>3761</v>
      </c>
      <c r="AS593" t="s">
        <v>3762</v>
      </c>
      <c r="AT593" t="s">
        <v>9714</v>
      </c>
      <c r="AU593">
        <v>2015</v>
      </c>
      <c r="AV593">
        <v>118</v>
      </c>
      <c r="AW593" t="s">
        <v>74</v>
      </c>
      <c r="AX593" t="s">
        <v>5574</v>
      </c>
      <c r="AY593" t="s">
        <v>74</v>
      </c>
      <c r="AZ593" t="s">
        <v>931</v>
      </c>
      <c r="BA593" t="s">
        <v>74</v>
      </c>
      <c r="BB593">
        <v>221</v>
      </c>
      <c r="BC593">
        <v>232</v>
      </c>
      <c r="BD593" t="s">
        <v>74</v>
      </c>
      <c r="BE593" t="s">
        <v>11520</v>
      </c>
      <c r="BF593" t="str">
        <f>HYPERLINK("http://dx.doi.org/10.1016/j.dsr2.2015.01.003","http://dx.doi.org/10.1016/j.dsr2.2015.01.003")</f>
        <v>http://dx.doi.org/10.1016/j.dsr2.2015.01.003</v>
      </c>
      <c r="BG593" t="s">
        <v>74</v>
      </c>
      <c r="BH593" t="s">
        <v>74</v>
      </c>
      <c r="BI593">
        <v>12</v>
      </c>
      <c r="BJ593" t="s">
        <v>339</v>
      </c>
      <c r="BK593" t="s">
        <v>101</v>
      </c>
      <c r="BL593" t="s">
        <v>339</v>
      </c>
      <c r="BM593" t="s">
        <v>10172</v>
      </c>
      <c r="BN593" t="s">
        <v>74</v>
      </c>
      <c r="BO593" t="s">
        <v>74</v>
      </c>
      <c r="BP593" t="s">
        <v>74</v>
      </c>
      <c r="BQ593" t="s">
        <v>74</v>
      </c>
      <c r="BR593" t="s">
        <v>103</v>
      </c>
      <c r="BS593" t="s">
        <v>11521</v>
      </c>
      <c r="BT593" t="str">
        <f>HYPERLINK("https%3A%2F%2Fwww.webofscience.com%2Fwos%2Fwoscc%2Ffull-record%2FWOS:000360255400010","View Full Record in Web of Science")</f>
        <v>View Full Record in Web of Science</v>
      </c>
    </row>
    <row r="594" spans="1:72" x14ac:dyDescent="0.15">
      <c r="A594" t="s">
        <v>72</v>
      </c>
      <c r="B594" t="s">
        <v>11522</v>
      </c>
      <c r="C594" t="s">
        <v>74</v>
      </c>
      <c r="D594" t="s">
        <v>74</v>
      </c>
      <c r="E594" t="s">
        <v>74</v>
      </c>
      <c r="F594" t="s">
        <v>11523</v>
      </c>
      <c r="G594" t="s">
        <v>74</v>
      </c>
      <c r="H594" t="s">
        <v>74</v>
      </c>
      <c r="I594" t="s">
        <v>11524</v>
      </c>
      <c r="J594" t="s">
        <v>3747</v>
      </c>
      <c r="K594" t="s">
        <v>74</v>
      </c>
      <c r="L594" t="s">
        <v>74</v>
      </c>
      <c r="M594" t="s">
        <v>78</v>
      </c>
      <c r="N594" t="s">
        <v>79</v>
      </c>
      <c r="O594" t="s">
        <v>74</v>
      </c>
      <c r="P594" t="s">
        <v>74</v>
      </c>
      <c r="Q594" t="s">
        <v>74</v>
      </c>
      <c r="R594" t="s">
        <v>74</v>
      </c>
      <c r="S594" t="s">
        <v>74</v>
      </c>
      <c r="T594" t="s">
        <v>11525</v>
      </c>
      <c r="U594" t="s">
        <v>11526</v>
      </c>
      <c r="V594" t="s">
        <v>11527</v>
      </c>
      <c r="W594" t="s">
        <v>11528</v>
      </c>
      <c r="X594" t="s">
        <v>11529</v>
      </c>
      <c r="Y594" t="s">
        <v>11530</v>
      </c>
      <c r="Z594" t="s">
        <v>11531</v>
      </c>
      <c r="AA594" t="s">
        <v>2396</v>
      </c>
      <c r="AB594" t="s">
        <v>2397</v>
      </c>
      <c r="AC594" t="s">
        <v>74</v>
      </c>
      <c r="AD594" t="s">
        <v>74</v>
      </c>
      <c r="AE594" t="s">
        <v>74</v>
      </c>
      <c r="AF594" t="s">
        <v>74</v>
      </c>
      <c r="AG594">
        <v>145</v>
      </c>
      <c r="AH594">
        <v>15</v>
      </c>
      <c r="AI594">
        <v>16</v>
      </c>
      <c r="AJ594">
        <v>2</v>
      </c>
      <c r="AK594">
        <v>38</v>
      </c>
      <c r="AL594" t="s">
        <v>397</v>
      </c>
      <c r="AM594" t="s">
        <v>398</v>
      </c>
      <c r="AN594" t="s">
        <v>399</v>
      </c>
      <c r="AO594" t="s">
        <v>3759</v>
      </c>
      <c r="AP594" t="s">
        <v>3760</v>
      </c>
      <c r="AQ594" t="s">
        <v>74</v>
      </c>
      <c r="AR594" t="s">
        <v>3761</v>
      </c>
      <c r="AS594" t="s">
        <v>3762</v>
      </c>
      <c r="AT594" t="s">
        <v>9714</v>
      </c>
      <c r="AU594">
        <v>2015</v>
      </c>
      <c r="AV594">
        <v>118</v>
      </c>
      <c r="AW594" t="s">
        <v>74</v>
      </c>
      <c r="AX594" t="s">
        <v>5574</v>
      </c>
      <c r="AY594" t="s">
        <v>74</v>
      </c>
      <c r="AZ594" t="s">
        <v>931</v>
      </c>
      <c r="BA594" t="s">
        <v>74</v>
      </c>
      <c r="BB594">
        <v>261</v>
      </c>
      <c r="BC594">
        <v>274</v>
      </c>
      <c r="BD594" t="s">
        <v>74</v>
      </c>
      <c r="BE594" t="s">
        <v>11532</v>
      </c>
      <c r="BF594" t="str">
        <f>HYPERLINK("http://dx.doi.org/10.1016/j.dsr2.2015.03.011","http://dx.doi.org/10.1016/j.dsr2.2015.03.011")</f>
        <v>http://dx.doi.org/10.1016/j.dsr2.2015.03.011</v>
      </c>
      <c r="BG594" t="s">
        <v>74</v>
      </c>
      <c r="BH594" t="s">
        <v>74</v>
      </c>
      <c r="BI594">
        <v>14</v>
      </c>
      <c r="BJ594" t="s">
        <v>339</v>
      </c>
      <c r="BK594" t="s">
        <v>101</v>
      </c>
      <c r="BL594" t="s">
        <v>339</v>
      </c>
      <c r="BM594" t="s">
        <v>10172</v>
      </c>
      <c r="BN594" t="s">
        <v>74</v>
      </c>
      <c r="BO594" t="s">
        <v>74</v>
      </c>
      <c r="BP594" t="s">
        <v>74</v>
      </c>
      <c r="BQ594" t="s">
        <v>74</v>
      </c>
      <c r="BR594" t="s">
        <v>103</v>
      </c>
      <c r="BS594" t="s">
        <v>11533</v>
      </c>
      <c r="BT594" t="str">
        <f>HYPERLINK("https%3A%2F%2Fwww.webofscience.com%2Fwos%2Fwoscc%2Ffull-record%2FWOS:000360255400014","View Full Record in Web of Science")</f>
        <v>View Full Record in Web of Science</v>
      </c>
    </row>
    <row r="595" spans="1:72" x14ac:dyDescent="0.15">
      <c r="A595" t="s">
        <v>72</v>
      </c>
      <c r="B595" t="s">
        <v>11534</v>
      </c>
      <c r="C595" t="s">
        <v>74</v>
      </c>
      <c r="D595" t="s">
        <v>74</v>
      </c>
      <c r="E595" t="s">
        <v>74</v>
      </c>
      <c r="F595" t="s">
        <v>11535</v>
      </c>
      <c r="G595" t="s">
        <v>74</v>
      </c>
      <c r="H595" t="s">
        <v>74</v>
      </c>
      <c r="I595" t="s">
        <v>11536</v>
      </c>
      <c r="J595" t="s">
        <v>11537</v>
      </c>
      <c r="K595" t="s">
        <v>74</v>
      </c>
      <c r="L595" t="s">
        <v>74</v>
      </c>
      <c r="M595" t="s">
        <v>78</v>
      </c>
      <c r="N595" t="s">
        <v>79</v>
      </c>
      <c r="O595" t="s">
        <v>74</v>
      </c>
      <c r="P595" t="s">
        <v>74</v>
      </c>
      <c r="Q595" t="s">
        <v>74</v>
      </c>
      <c r="R595" t="s">
        <v>74</v>
      </c>
      <c r="S595" t="s">
        <v>74</v>
      </c>
      <c r="T595" t="s">
        <v>11538</v>
      </c>
      <c r="U595" t="s">
        <v>11539</v>
      </c>
      <c r="V595" t="s">
        <v>11540</v>
      </c>
      <c r="W595" t="s">
        <v>11541</v>
      </c>
      <c r="X595" t="s">
        <v>11542</v>
      </c>
      <c r="Y595" t="s">
        <v>11543</v>
      </c>
      <c r="Z595" t="s">
        <v>11544</v>
      </c>
      <c r="AA595" t="s">
        <v>11545</v>
      </c>
      <c r="AB595" t="s">
        <v>11546</v>
      </c>
      <c r="AC595" t="s">
        <v>11547</v>
      </c>
      <c r="AD595" t="s">
        <v>11548</v>
      </c>
      <c r="AE595" t="s">
        <v>11549</v>
      </c>
      <c r="AF595" t="s">
        <v>74</v>
      </c>
      <c r="AG595">
        <v>36</v>
      </c>
      <c r="AH595">
        <v>59</v>
      </c>
      <c r="AI595">
        <v>63</v>
      </c>
      <c r="AJ595">
        <v>7</v>
      </c>
      <c r="AK595">
        <v>72</v>
      </c>
      <c r="AL595" t="s">
        <v>208</v>
      </c>
      <c r="AM595" t="s">
        <v>209</v>
      </c>
      <c r="AN595" t="s">
        <v>210</v>
      </c>
      <c r="AO595" t="s">
        <v>11550</v>
      </c>
      <c r="AP595" t="s">
        <v>11551</v>
      </c>
      <c r="AQ595" t="s">
        <v>74</v>
      </c>
      <c r="AR595" t="s">
        <v>11552</v>
      </c>
      <c r="AS595" t="s">
        <v>11553</v>
      </c>
      <c r="AT595" t="s">
        <v>9714</v>
      </c>
      <c r="AU595">
        <v>2015</v>
      </c>
      <c r="AV595">
        <v>21</v>
      </c>
      <c r="AW595">
        <v>8</v>
      </c>
      <c r="AX595" t="s">
        <v>74</v>
      </c>
      <c r="AY595" t="s">
        <v>74</v>
      </c>
      <c r="AZ595" t="s">
        <v>74</v>
      </c>
      <c r="BA595" t="s">
        <v>74</v>
      </c>
      <c r="BB595">
        <v>876</v>
      </c>
      <c r="BC595">
        <v>887</v>
      </c>
      <c r="BD595" t="s">
        <v>74</v>
      </c>
      <c r="BE595" t="s">
        <v>11554</v>
      </c>
      <c r="BF595" t="str">
        <f>HYPERLINK("http://dx.doi.org/10.1111/ddi.12309","http://dx.doi.org/10.1111/ddi.12309")</f>
        <v>http://dx.doi.org/10.1111/ddi.12309</v>
      </c>
      <c r="BG595" t="s">
        <v>74</v>
      </c>
      <c r="BH595" t="s">
        <v>74</v>
      </c>
      <c r="BI595">
        <v>12</v>
      </c>
      <c r="BJ595" t="s">
        <v>4778</v>
      </c>
      <c r="BK595" t="s">
        <v>101</v>
      </c>
      <c r="BL595" t="s">
        <v>3806</v>
      </c>
      <c r="BM595" t="s">
        <v>11555</v>
      </c>
      <c r="BN595" t="s">
        <v>74</v>
      </c>
      <c r="BO595" t="s">
        <v>1235</v>
      </c>
      <c r="BP595" t="s">
        <v>74</v>
      </c>
      <c r="BQ595" t="s">
        <v>74</v>
      </c>
      <c r="BR595" t="s">
        <v>103</v>
      </c>
      <c r="BS595" t="s">
        <v>11556</v>
      </c>
      <c r="BT595" t="str">
        <f>HYPERLINK("https%3A%2F%2Fwww.webofscience.com%2Fwos%2Fwoscc%2Ffull-record%2FWOS:000358370900003","View Full Record in Web of Science")</f>
        <v>View Full Record in Web of Science</v>
      </c>
    </row>
    <row r="596" spans="1:72" x14ac:dyDescent="0.15">
      <c r="A596" t="s">
        <v>72</v>
      </c>
      <c r="B596" t="s">
        <v>11557</v>
      </c>
      <c r="C596" t="s">
        <v>74</v>
      </c>
      <c r="D596" t="s">
        <v>74</v>
      </c>
      <c r="E596" t="s">
        <v>74</v>
      </c>
      <c r="F596" t="s">
        <v>11558</v>
      </c>
      <c r="G596" t="s">
        <v>74</v>
      </c>
      <c r="H596" t="s">
        <v>74</v>
      </c>
      <c r="I596" t="s">
        <v>11559</v>
      </c>
      <c r="J596" t="s">
        <v>11560</v>
      </c>
      <c r="K596" t="s">
        <v>74</v>
      </c>
      <c r="L596" t="s">
        <v>74</v>
      </c>
      <c r="M596" t="s">
        <v>78</v>
      </c>
      <c r="N596" t="s">
        <v>79</v>
      </c>
      <c r="O596" t="s">
        <v>74</v>
      </c>
      <c r="P596" t="s">
        <v>74</v>
      </c>
      <c r="Q596" t="s">
        <v>74</v>
      </c>
      <c r="R596" t="s">
        <v>74</v>
      </c>
      <c r="S596" t="s">
        <v>74</v>
      </c>
      <c r="T596" t="s">
        <v>11561</v>
      </c>
      <c r="U596" t="s">
        <v>11562</v>
      </c>
      <c r="V596" t="s">
        <v>11563</v>
      </c>
      <c r="W596" t="s">
        <v>11564</v>
      </c>
      <c r="X596" t="s">
        <v>11565</v>
      </c>
      <c r="Y596" t="s">
        <v>11566</v>
      </c>
      <c r="Z596" t="s">
        <v>11567</v>
      </c>
      <c r="AA596" t="s">
        <v>11568</v>
      </c>
      <c r="AB596" t="s">
        <v>11569</v>
      </c>
      <c r="AC596" t="s">
        <v>11570</v>
      </c>
      <c r="AD596" t="s">
        <v>11571</v>
      </c>
      <c r="AE596" t="s">
        <v>11572</v>
      </c>
      <c r="AF596" t="s">
        <v>74</v>
      </c>
      <c r="AG596">
        <v>81</v>
      </c>
      <c r="AH596">
        <v>28</v>
      </c>
      <c r="AI596">
        <v>29</v>
      </c>
      <c r="AJ596">
        <v>0</v>
      </c>
      <c r="AK596">
        <v>77</v>
      </c>
      <c r="AL596" t="s">
        <v>3231</v>
      </c>
      <c r="AM596" t="s">
        <v>3232</v>
      </c>
      <c r="AN596" t="s">
        <v>3233</v>
      </c>
      <c r="AO596" t="s">
        <v>11573</v>
      </c>
      <c r="AP596" t="s">
        <v>11574</v>
      </c>
      <c r="AQ596" t="s">
        <v>74</v>
      </c>
      <c r="AR596" t="s">
        <v>11575</v>
      </c>
      <c r="AS596" t="s">
        <v>11576</v>
      </c>
      <c r="AT596" t="s">
        <v>9714</v>
      </c>
      <c r="AU596">
        <v>2015</v>
      </c>
      <c r="AV596">
        <v>118</v>
      </c>
      <c r="AW596" t="s">
        <v>74</v>
      </c>
      <c r="AX596" t="s">
        <v>74</v>
      </c>
      <c r="AY596" t="s">
        <v>74</v>
      </c>
      <c r="AZ596" t="s">
        <v>74</v>
      </c>
      <c r="BA596" t="s">
        <v>74</v>
      </c>
      <c r="BB596">
        <v>190</v>
      </c>
      <c r="BC596">
        <v>198</v>
      </c>
      <c r="BD596" t="s">
        <v>74</v>
      </c>
      <c r="BE596" t="s">
        <v>11577</v>
      </c>
      <c r="BF596" t="str">
        <f>HYPERLINK("http://dx.doi.org/10.1016/j.ecoenv.2015.04.029","http://dx.doi.org/10.1016/j.ecoenv.2015.04.029")</f>
        <v>http://dx.doi.org/10.1016/j.ecoenv.2015.04.029</v>
      </c>
      <c r="BG596" t="s">
        <v>74</v>
      </c>
      <c r="BH596" t="s">
        <v>74</v>
      </c>
      <c r="BI596">
        <v>9</v>
      </c>
      <c r="BJ596" t="s">
        <v>7453</v>
      </c>
      <c r="BK596" t="s">
        <v>101</v>
      </c>
      <c r="BL596" t="s">
        <v>7454</v>
      </c>
      <c r="BM596" t="s">
        <v>11578</v>
      </c>
      <c r="BN596">
        <v>25957080</v>
      </c>
      <c r="BO596" t="s">
        <v>74</v>
      </c>
      <c r="BP596" t="s">
        <v>74</v>
      </c>
      <c r="BQ596" t="s">
        <v>74</v>
      </c>
      <c r="BR596" t="s">
        <v>103</v>
      </c>
      <c r="BS596" t="s">
        <v>11579</v>
      </c>
      <c r="BT596" t="str">
        <f>HYPERLINK("https%3A%2F%2Fwww.webofscience.com%2Fwos%2Fwoscc%2Ffull-record%2FWOS:000355353600024","View Full Record in Web of Science")</f>
        <v>View Full Record in Web of Science</v>
      </c>
    </row>
    <row r="597" spans="1:72" x14ac:dyDescent="0.15">
      <c r="A597" t="s">
        <v>72</v>
      </c>
      <c r="B597" t="s">
        <v>11580</v>
      </c>
      <c r="C597" t="s">
        <v>74</v>
      </c>
      <c r="D597" t="s">
        <v>74</v>
      </c>
      <c r="E597" t="s">
        <v>74</v>
      </c>
      <c r="F597" t="s">
        <v>11581</v>
      </c>
      <c r="G597" t="s">
        <v>74</v>
      </c>
      <c r="H597" t="s">
        <v>74</v>
      </c>
      <c r="I597" t="s">
        <v>11582</v>
      </c>
      <c r="J597" t="s">
        <v>6382</v>
      </c>
      <c r="K597" t="s">
        <v>74</v>
      </c>
      <c r="L597" t="s">
        <v>74</v>
      </c>
      <c r="M597" t="s">
        <v>78</v>
      </c>
      <c r="N597" t="s">
        <v>79</v>
      </c>
      <c r="O597" t="s">
        <v>74</v>
      </c>
      <c r="P597" t="s">
        <v>74</v>
      </c>
      <c r="Q597" t="s">
        <v>74</v>
      </c>
      <c r="R597" t="s">
        <v>74</v>
      </c>
      <c r="S597" t="s">
        <v>74</v>
      </c>
      <c r="T597" t="s">
        <v>11583</v>
      </c>
      <c r="U597" t="s">
        <v>11584</v>
      </c>
      <c r="V597" t="s">
        <v>11585</v>
      </c>
      <c r="W597" t="s">
        <v>11586</v>
      </c>
      <c r="X597" t="s">
        <v>11587</v>
      </c>
      <c r="Y597" t="s">
        <v>11588</v>
      </c>
      <c r="Z597" t="s">
        <v>11589</v>
      </c>
      <c r="AA597" t="s">
        <v>74</v>
      </c>
      <c r="AB597" t="s">
        <v>74</v>
      </c>
      <c r="AC597" t="s">
        <v>11590</v>
      </c>
      <c r="AD597" t="s">
        <v>11590</v>
      </c>
      <c r="AE597" t="s">
        <v>11591</v>
      </c>
      <c r="AF597" t="s">
        <v>74</v>
      </c>
      <c r="AG597">
        <v>33</v>
      </c>
      <c r="AH597">
        <v>172</v>
      </c>
      <c r="AI597">
        <v>183</v>
      </c>
      <c r="AJ597">
        <v>4</v>
      </c>
      <c r="AK597">
        <v>74</v>
      </c>
      <c r="AL597" t="s">
        <v>2894</v>
      </c>
      <c r="AM597" t="s">
        <v>2895</v>
      </c>
      <c r="AN597" t="s">
        <v>2896</v>
      </c>
      <c r="AO597" t="s">
        <v>6393</v>
      </c>
      <c r="AP597" t="s">
        <v>74</v>
      </c>
      <c r="AQ597" t="s">
        <v>74</v>
      </c>
      <c r="AR597" t="s">
        <v>6394</v>
      </c>
      <c r="AS597" t="s">
        <v>6395</v>
      </c>
      <c r="AT597" t="s">
        <v>9714</v>
      </c>
      <c r="AU597">
        <v>2015</v>
      </c>
      <c r="AV597">
        <v>10</v>
      </c>
      <c r="AW597">
        <v>8</v>
      </c>
      <c r="AX597" t="s">
        <v>74</v>
      </c>
      <c r="AY597" t="s">
        <v>74</v>
      </c>
      <c r="AZ597" t="s">
        <v>74</v>
      </c>
      <c r="BA597" t="s">
        <v>74</v>
      </c>
      <c r="BB597" t="s">
        <v>74</v>
      </c>
      <c r="BC597" t="s">
        <v>74</v>
      </c>
      <c r="BD597">
        <v>84019</v>
      </c>
      <c r="BE597" t="s">
        <v>11592</v>
      </c>
      <c r="BF597" t="str">
        <f>HYPERLINK("http://dx.doi.org/10.1088/1748-9326/10/8/084019","http://dx.doi.org/10.1088/1748-9326/10/8/084019")</f>
        <v>http://dx.doi.org/10.1088/1748-9326/10/8/084019</v>
      </c>
      <c r="BG597" t="s">
        <v>74</v>
      </c>
      <c r="BH597" t="s">
        <v>74</v>
      </c>
      <c r="BI597">
        <v>6</v>
      </c>
      <c r="BJ597" t="s">
        <v>1837</v>
      </c>
      <c r="BK597" t="s">
        <v>101</v>
      </c>
      <c r="BL597" t="s">
        <v>1838</v>
      </c>
      <c r="BM597" t="s">
        <v>9716</v>
      </c>
      <c r="BN597" t="s">
        <v>74</v>
      </c>
      <c r="BO597" t="s">
        <v>1404</v>
      </c>
      <c r="BP597" t="s">
        <v>74</v>
      </c>
      <c r="BQ597" t="s">
        <v>74</v>
      </c>
      <c r="BR597" t="s">
        <v>103</v>
      </c>
      <c r="BS597" t="s">
        <v>11593</v>
      </c>
      <c r="BT597" t="str">
        <f>HYPERLINK("https%3A%2F%2Fwww.webofscience.com%2Fwos%2Fwoscc%2Ffull-record%2FWOS:000366999400020","View Full Record in Web of Science")</f>
        <v>View Full Record in Web of Science</v>
      </c>
    </row>
    <row r="598" spans="1:72" x14ac:dyDescent="0.15">
      <c r="A598" t="s">
        <v>72</v>
      </c>
      <c r="B598" t="s">
        <v>11594</v>
      </c>
      <c r="C598" t="s">
        <v>74</v>
      </c>
      <c r="D598" t="s">
        <v>74</v>
      </c>
      <c r="E598" t="s">
        <v>74</v>
      </c>
      <c r="F598" t="s">
        <v>11595</v>
      </c>
      <c r="G598" t="s">
        <v>74</v>
      </c>
      <c r="H598" t="s">
        <v>74</v>
      </c>
      <c r="I598" t="s">
        <v>11596</v>
      </c>
      <c r="J598" t="s">
        <v>11597</v>
      </c>
      <c r="K598" t="s">
        <v>74</v>
      </c>
      <c r="L598" t="s">
        <v>74</v>
      </c>
      <c r="M598" t="s">
        <v>78</v>
      </c>
      <c r="N598" t="s">
        <v>79</v>
      </c>
      <c r="O598" t="s">
        <v>74</v>
      </c>
      <c r="P598" t="s">
        <v>74</v>
      </c>
      <c r="Q598" t="s">
        <v>74</v>
      </c>
      <c r="R598" t="s">
        <v>74</v>
      </c>
      <c r="S598" t="s">
        <v>74</v>
      </c>
      <c r="T598" t="s">
        <v>11598</v>
      </c>
      <c r="U598" t="s">
        <v>11599</v>
      </c>
      <c r="V598" t="s">
        <v>11600</v>
      </c>
      <c r="W598" t="s">
        <v>11601</v>
      </c>
      <c r="X598" t="s">
        <v>11602</v>
      </c>
      <c r="Y598" t="s">
        <v>11603</v>
      </c>
      <c r="Z598" t="s">
        <v>11604</v>
      </c>
      <c r="AA598" t="s">
        <v>11605</v>
      </c>
      <c r="AB598" t="s">
        <v>11606</v>
      </c>
      <c r="AC598" t="s">
        <v>11607</v>
      </c>
      <c r="AD598" t="s">
        <v>11608</v>
      </c>
      <c r="AE598" t="s">
        <v>11609</v>
      </c>
      <c r="AF598" t="s">
        <v>74</v>
      </c>
      <c r="AG598">
        <v>70</v>
      </c>
      <c r="AH598">
        <v>21</v>
      </c>
      <c r="AI598">
        <v>22</v>
      </c>
      <c r="AJ598">
        <v>0</v>
      </c>
      <c r="AK598">
        <v>29</v>
      </c>
      <c r="AL598" t="s">
        <v>208</v>
      </c>
      <c r="AM598" t="s">
        <v>209</v>
      </c>
      <c r="AN598" t="s">
        <v>210</v>
      </c>
      <c r="AO598" t="s">
        <v>11610</v>
      </c>
      <c r="AP598" t="s">
        <v>11611</v>
      </c>
      <c r="AQ598" t="s">
        <v>74</v>
      </c>
      <c r="AR598" t="s">
        <v>11612</v>
      </c>
      <c r="AS598" t="s">
        <v>11613</v>
      </c>
      <c r="AT598" t="s">
        <v>9714</v>
      </c>
      <c r="AU598">
        <v>2015</v>
      </c>
      <c r="AV598">
        <v>282</v>
      </c>
      <c r="AW598">
        <v>15</v>
      </c>
      <c r="AX598" t="s">
        <v>74</v>
      </c>
      <c r="AY598" t="s">
        <v>74</v>
      </c>
      <c r="AZ598" t="s">
        <v>74</v>
      </c>
      <c r="BA598" t="s">
        <v>74</v>
      </c>
      <c r="BB598">
        <v>2948</v>
      </c>
      <c r="BC598">
        <v>2965</v>
      </c>
      <c r="BD598" t="s">
        <v>74</v>
      </c>
      <c r="BE598" t="s">
        <v>11614</v>
      </c>
      <c r="BF598" t="str">
        <f>HYPERLINK("http://dx.doi.org/10.1111/febs.13335","http://dx.doi.org/10.1111/febs.13335")</f>
        <v>http://dx.doi.org/10.1111/febs.13335</v>
      </c>
      <c r="BG598" t="s">
        <v>74</v>
      </c>
      <c r="BH598" t="s">
        <v>74</v>
      </c>
      <c r="BI598">
        <v>18</v>
      </c>
      <c r="BJ598" t="s">
        <v>2921</v>
      </c>
      <c r="BK598" t="s">
        <v>101</v>
      </c>
      <c r="BL598" t="s">
        <v>2921</v>
      </c>
      <c r="BM598" t="s">
        <v>11615</v>
      </c>
      <c r="BN598">
        <v>26040838</v>
      </c>
      <c r="BO598" t="s">
        <v>2686</v>
      </c>
      <c r="BP598" t="s">
        <v>74</v>
      </c>
      <c r="BQ598" t="s">
        <v>74</v>
      </c>
      <c r="BR598" t="s">
        <v>103</v>
      </c>
      <c r="BS598" t="s">
        <v>11616</v>
      </c>
      <c r="BT598" t="str">
        <f>HYPERLINK("https%3A%2F%2Fwww.webofscience.com%2Fwos%2Fwoscc%2Ffull-record%2FWOS:000358840500011","View Full Record in Web of Science")</f>
        <v>View Full Record in Web of Science</v>
      </c>
    </row>
    <row r="599" spans="1:72" x14ac:dyDescent="0.15">
      <c r="A599" t="s">
        <v>72</v>
      </c>
      <c r="B599" t="s">
        <v>11617</v>
      </c>
      <c r="C599" t="s">
        <v>74</v>
      </c>
      <c r="D599" t="s">
        <v>74</v>
      </c>
      <c r="E599" t="s">
        <v>74</v>
      </c>
      <c r="F599" t="s">
        <v>11618</v>
      </c>
      <c r="G599" t="s">
        <v>74</v>
      </c>
      <c r="H599" t="s">
        <v>74</v>
      </c>
      <c r="I599" t="s">
        <v>11619</v>
      </c>
      <c r="J599" t="s">
        <v>11620</v>
      </c>
      <c r="K599" t="s">
        <v>74</v>
      </c>
      <c r="L599" t="s">
        <v>74</v>
      </c>
      <c r="M599" t="s">
        <v>78</v>
      </c>
      <c r="N599" t="s">
        <v>79</v>
      </c>
      <c r="O599" t="s">
        <v>74</v>
      </c>
      <c r="P599" t="s">
        <v>74</v>
      </c>
      <c r="Q599" t="s">
        <v>74</v>
      </c>
      <c r="R599" t="s">
        <v>74</v>
      </c>
      <c r="S599" t="s">
        <v>74</v>
      </c>
      <c r="T599" t="s">
        <v>11621</v>
      </c>
      <c r="U599" t="s">
        <v>11622</v>
      </c>
      <c r="V599" t="s">
        <v>11623</v>
      </c>
      <c r="W599" t="s">
        <v>11624</v>
      </c>
      <c r="X599" t="s">
        <v>11625</v>
      </c>
      <c r="Y599" t="s">
        <v>11626</v>
      </c>
      <c r="Z599" t="s">
        <v>11627</v>
      </c>
      <c r="AA599" t="s">
        <v>11628</v>
      </c>
      <c r="AB599" t="s">
        <v>11629</v>
      </c>
      <c r="AC599" t="s">
        <v>11630</v>
      </c>
      <c r="AD599" t="s">
        <v>11630</v>
      </c>
      <c r="AE599" t="s">
        <v>11631</v>
      </c>
      <c r="AF599" t="s">
        <v>74</v>
      </c>
      <c r="AG599">
        <v>64</v>
      </c>
      <c r="AH599">
        <v>14</v>
      </c>
      <c r="AI599">
        <v>16</v>
      </c>
      <c r="AJ599">
        <v>2</v>
      </c>
      <c r="AK599">
        <v>34</v>
      </c>
      <c r="AL599" t="s">
        <v>2279</v>
      </c>
      <c r="AM599" t="s">
        <v>398</v>
      </c>
      <c r="AN599" t="s">
        <v>2280</v>
      </c>
      <c r="AO599" t="s">
        <v>11632</v>
      </c>
      <c r="AP599" t="s">
        <v>11633</v>
      </c>
      <c r="AQ599" t="s">
        <v>74</v>
      </c>
      <c r="AR599" t="s">
        <v>11634</v>
      </c>
      <c r="AS599" t="s">
        <v>11635</v>
      </c>
      <c r="AT599" t="s">
        <v>9714</v>
      </c>
      <c r="AU599">
        <v>2015</v>
      </c>
      <c r="AV599">
        <v>362</v>
      </c>
      <c r="AW599">
        <v>15</v>
      </c>
      <c r="AX599" t="s">
        <v>74</v>
      </c>
      <c r="AY599" t="s">
        <v>74</v>
      </c>
      <c r="AZ599" t="s">
        <v>74</v>
      </c>
      <c r="BA599" t="s">
        <v>74</v>
      </c>
      <c r="BB599" t="s">
        <v>74</v>
      </c>
      <c r="BC599" t="s">
        <v>74</v>
      </c>
      <c r="BD599" t="s">
        <v>11636</v>
      </c>
      <c r="BE599" t="s">
        <v>11637</v>
      </c>
      <c r="BF599" t="str">
        <f>HYPERLINK("http://dx.doi.org/10.1093/femsle/fnv110","http://dx.doi.org/10.1093/femsle/fnv110")</f>
        <v>http://dx.doi.org/10.1093/femsle/fnv110</v>
      </c>
      <c r="BG599" t="s">
        <v>74</v>
      </c>
      <c r="BH599" t="s">
        <v>74</v>
      </c>
      <c r="BI599">
        <v>8</v>
      </c>
      <c r="BJ599" t="s">
        <v>160</v>
      </c>
      <c r="BK599" t="s">
        <v>101</v>
      </c>
      <c r="BL599" t="s">
        <v>160</v>
      </c>
      <c r="BM599" t="s">
        <v>11638</v>
      </c>
      <c r="BN599">
        <v>26187747</v>
      </c>
      <c r="BO599" t="s">
        <v>1073</v>
      </c>
      <c r="BP599" t="s">
        <v>74</v>
      </c>
      <c r="BQ599" t="s">
        <v>74</v>
      </c>
      <c r="BR599" t="s">
        <v>103</v>
      </c>
      <c r="BS599" t="s">
        <v>11639</v>
      </c>
      <c r="BT599" t="str">
        <f>HYPERLINK("https%3A%2F%2Fwww.webofscience.com%2Fwos%2Fwoscc%2Ffull-record%2FWOS:000359823500002","View Full Record in Web of Science")</f>
        <v>View Full Record in Web of Science</v>
      </c>
    </row>
    <row r="600" spans="1:72" x14ac:dyDescent="0.15">
      <c r="A600" t="s">
        <v>72</v>
      </c>
      <c r="B600" t="s">
        <v>11640</v>
      </c>
      <c r="C600" t="s">
        <v>74</v>
      </c>
      <c r="D600" t="s">
        <v>74</v>
      </c>
      <c r="E600" t="s">
        <v>74</v>
      </c>
      <c r="F600" t="s">
        <v>11641</v>
      </c>
      <c r="G600" t="s">
        <v>74</v>
      </c>
      <c r="H600" t="s">
        <v>74</v>
      </c>
      <c r="I600" t="s">
        <v>11642</v>
      </c>
      <c r="J600" t="s">
        <v>913</v>
      </c>
      <c r="K600" t="s">
        <v>74</v>
      </c>
      <c r="L600" t="s">
        <v>74</v>
      </c>
      <c r="M600" t="s">
        <v>78</v>
      </c>
      <c r="N600" t="s">
        <v>79</v>
      </c>
      <c r="O600" t="s">
        <v>74</v>
      </c>
      <c r="P600" t="s">
        <v>74</v>
      </c>
      <c r="Q600" t="s">
        <v>74</v>
      </c>
      <c r="R600" t="s">
        <v>74</v>
      </c>
      <c r="S600" t="s">
        <v>74</v>
      </c>
      <c r="T600" t="s">
        <v>11643</v>
      </c>
      <c r="U600" t="s">
        <v>11644</v>
      </c>
      <c r="V600" t="s">
        <v>11645</v>
      </c>
      <c r="W600" t="s">
        <v>11646</v>
      </c>
      <c r="X600" t="s">
        <v>2228</v>
      </c>
      <c r="Y600" t="s">
        <v>11647</v>
      </c>
      <c r="Z600" t="s">
        <v>11648</v>
      </c>
      <c r="AA600" t="s">
        <v>11649</v>
      </c>
      <c r="AB600" t="s">
        <v>11650</v>
      </c>
      <c r="AC600" t="s">
        <v>74</v>
      </c>
      <c r="AD600" t="s">
        <v>74</v>
      </c>
      <c r="AE600" t="s">
        <v>74</v>
      </c>
      <c r="AF600" t="s">
        <v>74</v>
      </c>
      <c r="AG600">
        <v>44</v>
      </c>
      <c r="AH600">
        <v>24</v>
      </c>
      <c r="AI600">
        <v>27</v>
      </c>
      <c r="AJ600">
        <v>0</v>
      </c>
      <c r="AK600">
        <v>30</v>
      </c>
      <c r="AL600" t="s">
        <v>883</v>
      </c>
      <c r="AM600" t="s">
        <v>884</v>
      </c>
      <c r="AN600" t="s">
        <v>885</v>
      </c>
      <c r="AO600" t="s">
        <v>927</v>
      </c>
      <c r="AP600" t="s">
        <v>928</v>
      </c>
      <c r="AQ600" t="s">
        <v>74</v>
      </c>
      <c r="AR600" t="s">
        <v>929</v>
      </c>
      <c r="AS600" t="s">
        <v>930</v>
      </c>
      <c r="AT600" t="s">
        <v>9714</v>
      </c>
      <c r="AU600">
        <v>2015</v>
      </c>
      <c r="AV600">
        <v>168</v>
      </c>
      <c r="AW600" t="s">
        <v>74</v>
      </c>
      <c r="AX600" t="s">
        <v>74</v>
      </c>
      <c r="AY600" t="s">
        <v>74</v>
      </c>
      <c r="AZ600" t="s">
        <v>74</v>
      </c>
      <c r="BA600" t="s">
        <v>74</v>
      </c>
      <c r="BB600">
        <v>72</v>
      </c>
      <c r="BC600">
        <v>84</v>
      </c>
      <c r="BD600" t="s">
        <v>74</v>
      </c>
      <c r="BE600" t="s">
        <v>11651</v>
      </c>
      <c r="BF600" t="str">
        <f>HYPERLINK("http://dx.doi.org/10.1016/j.fishres.2015.03.023","http://dx.doi.org/10.1016/j.fishres.2015.03.023")</f>
        <v>http://dx.doi.org/10.1016/j.fishres.2015.03.023</v>
      </c>
      <c r="BG600" t="s">
        <v>74</v>
      </c>
      <c r="BH600" t="s">
        <v>74</v>
      </c>
      <c r="BI600">
        <v>13</v>
      </c>
      <c r="BJ600" t="s">
        <v>933</v>
      </c>
      <c r="BK600" t="s">
        <v>101</v>
      </c>
      <c r="BL600" t="s">
        <v>933</v>
      </c>
      <c r="BM600" t="s">
        <v>11652</v>
      </c>
      <c r="BN600" t="s">
        <v>74</v>
      </c>
      <c r="BO600" t="s">
        <v>1235</v>
      </c>
      <c r="BP600" t="s">
        <v>74</v>
      </c>
      <c r="BQ600" t="s">
        <v>74</v>
      </c>
      <c r="BR600" t="s">
        <v>103</v>
      </c>
      <c r="BS600" t="s">
        <v>11653</v>
      </c>
      <c r="BT600" t="str">
        <f>HYPERLINK("https%3A%2F%2Fwww.webofscience.com%2Fwos%2Fwoscc%2Ffull-record%2FWOS:000356122900011","View Full Record in Web of Science")</f>
        <v>View Full Record in Web of Science</v>
      </c>
    </row>
    <row r="601" spans="1:72" x14ac:dyDescent="0.15">
      <c r="A601" t="s">
        <v>72</v>
      </c>
      <c r="B601" t="s">
        <v>11654</v>
      </c>
      <c r="C601" t="s">
        <v>74</v>
      </c>
      <c r="D601" t="s">
        <v>74</v>
      </c>
      <c r="E601" t="s">
        <v>74</v>
      </c>
      <c r="F601" t="s">
        <v>11655</v>
      </c>
      <c r="G601" t="s">
        <v>74</v>
      </c>
      <c r="H601" t="s">
        <v>74</v>
      </c>
      <c r="I601" t="s">
        <v>11656</v>
      </c>
      <c r="J601" t="s">
        <v>11657</v>
      </c>
      <c r="K601" t="s">
        <v>74</v>
      </c>
      <c r="L601" t="s">
        <v>74</v>
      </c>
      <c r="M601" t="s">
        <v>78</v>
      </c>
      <c r="N601" t="s">
        <v>581</v>
      </c>
      <c r="O601" t="s">
        <v>74</v>
      </c>
      <c r="P601" t="s">
        <v>74</v>
      </c>
      <c r="Q601" t="s">
        <v>74</v>
      </c>
      <c r="R601" t="s">
        <v>74</v>
      </c>
      <c r="S601" t="s">
        <v>74</v>
      </c>
      <c r="T601" t="s">
        <v>74</v>
      </c>
      <c r="U601" t="s">
        <v>11658</v>
      </c>
      <c r="V601" t="s">
        <v>11659</v>
      </c>
      <c r="W601" t="s">
        <v>11660</v>
      </c>
      <c r="X601" t="s">
        <v>11661</v>
      </c>
      <c r="Y601" t="s">
        <v>11662</v>
      </c>
      <c r="Z601" t="s">
        <v>11663</v>
      </c>
      <c r="AA601" t="s">
        <v>11664</v>
      </c>
      <c r="AB601" t="s">
        <v>11665</v>
      </c>
      <c r="AC601" t="s">
        <v>74</v>
      </c>
      <c r="AD601" t="s">
        <v>74</v>
      </c>
      <c r="AE601" t="s">
        <v>74</v>
      </c>
      <c r="AF601" t="s">
        <v>74</v>
      </c>
      <c r="AG601">
        <v>66</v>
      </c>
      <c r="AH601">
        <v>55</v>
      </c>
      <c r="AI601">
        <v>57</v>
      </c>
      <c r="AJ601">
        <v>4</v>
      </c>
      <c r="AK601">
        <v>144</v>
      </c>
      <c r="AL601" t="s">
        <v>208</v>
      </c>
      <c r="AM601" t="s">
        <v>209</v>
      </c>
      <c r="AN601" t="s">
        <v>210</v>
      </c>
      <c r="AO601" t="s">
        <v>11666</v>
      </c>
      <c r="AP601" t="s">
        <v>11667</v>
      </c>
      <c r="AQ601" t="s">
        <v>74</v>
      </c>
      <c r="AR601" t="s">
        <v>11668</v>
      </c>
      <c r="AS601" t="s">
        <v>11669</v>
      </c>
      <c r="AT601" t="s">
        <v>9714</v>
      </c>
      <c r="AU601">
        <v>2015</v>
      </c>
      <c r="AV601">
        <v>13</v>
      </c>
      <c r="AW601">
        <v>6</v>
      </c>
      <c r="AX601" t="s">
        <v>74</v>
      </c>
      <c r="AY601" t="s">
        <v>74</v>
      </c>
      <c r="AZ601" t="s">
        <v>74</v>
      </c>
      <c r="BA601" t="s">
        <v>74</v>
      </c>
      <c r="BB601">
        <v>316</v>
      </c>
      <c r="BC601">
        <v>324</v>
      </c>
      <c r="BD601" t="s">
        <v>74</v>
      </c>
      <c r="BE601" t="s">
        <v>11670</v>
      </c>
      <c r="BF601" t="str">
        <f>HYPERLINK("http://dx.doi.org/10.1890/140315","http://dx.doi.org/10.1890/140315")</f>
        <v>http://dx.doi.org/10.1890/140315</v>
      </c>
      <c r="BG601" t="s">
        <v>74</v>
      </c>
      <c r="BH601" t="s">
        <v>74</v>
      </c>
      <c r="BI601">
        <v>9</v>
      </c>
      <c r="BJ601" t="s">
        <v>748</v>
      </c>
      <c r="BK601" t="s">
        <v>101</v>
      </c>
      <c r="BL601" t="s">
        <v>644</v>
      </c>
      <c r="BM601" t="s">
        <v>11671</v>
      </c>
      <c r="BN601" t="s">
        <v>74</v>
      </c>
      <c r="BO601" t="s">
        <v>4836</v>
      </c>
      <c r="BP601" t="s">
        <v>74</v>
      </c>
      <c r="BQ601" t="s">
        <v>74</v>
      </c>
      <c r="BR601" t="s">
        <v>103</v>
      </c>
      <c r="BS601" t="s">
        <v>11672</v>
      </c>
      <c r="BT601" t="str">
        <f>HYPERLINK("https%3A%2F%2Fwww.webofscience.com%2Fwos%2Fwoscc%2Ffull-record%2FWOS:000359273400016","View Full Record in Web of Science")</f>
        <v>View Full Record in Web of Science</v>
      </c>
    </row>
    <row r="602" spans="1:72" x14ac:dyDescent="0.15">
      <c r="A602" t="s">
        <v>72</v>
      </c>
      <c r="B602" t="s">
        <v>11673</v>
      </c>
      <c r="C602" t="s">
        <v>74</v>
      </c>
      <c r="D602" t="s">
        <v>74</v>
      </c>
      <c r="E602" t="s">
        <v>74</v>
      </c>
      <c r="F602" t="s">
        <v>11674</v>
      </c>
      <c r="G602" t="s">
        <v>74</v>
      </c>
      <c r="H602" t="s">
        <v>74</v>
      </c>
      <c r="I602" t="s">
        <v>11675</v>
      </c>
      <c r="J602" t="s">
        <v>2155</v>
      </c>
      <c r="K602" t="s">
        <v>74</v>
      </c>
      <c r="L602" t="s">
        <v>74</v>
      </c>
      <c r="M602" t="s">
        <v>78</v>
      </c>
      <c r="N602" t="s">
        <v>79</v>
      </c>
      <c r="O602" t="s">
        <v>74</v>
      </c>
      <c r="P602" t="s">
        <v>74</v>
      </c>
      <c r="Q602" t="s">
        <v>74</v>
      </c>
      <c r="R602" t="s">
        <v>74</v>
      </c>
      <c r="S602" t="s">
        <v>74</v>
      </c>
      <c r="T602" t="s">
        <v>11676</v>
      </c>
      <c r="U602" t="s">
        <v>11677</v>
      </c>
      <c r="V602" t="s">
        <v>11678</v>
      </c>
      <c r="W602" t="s">
        <v>11679</v>
      </c>
      <c r="X602" t="s">
        <v>11680</v>
      </c>
      <c r="Y602" t="s">
        <v>11681</v>
      </c>
      <c r="Z602" t="s">
        <v>11682</v>
      </c>
      <c r="AA602" t="s">
        <v>11683</v>
      </c>
      <c r="AB602" t="s">
        <v>11684</v>
      </c>
      <c r="AC602" t="s">
        <v>74</v>
      </c>
      <c r="AD602" t="s">
        <v>74</v>
      </c>
      <c r="AE602" t="s">
        <v>74</v>
      </c>
      <c r="AF602" t="s">
        <v>74</v>
      </c>
      <c r="AG602">
        <v>32</v>
      </c>
      <c r="AH602">
        <v>2</v>
      </c>
      <c r="AI602">
        <v>3</v>
      </c>
      <c r="AJ602">
        <v>1</v>
      </c>
      <c r="AK602">
        <v>4</v>
      </c>
      <c r="AL602" t="s">
        <v>2163</v>
      </c>
      <c r="AM602" t="s">
        <v>2164</v>
      </c>
      <c r="AN602" t="s">
        <v>2165</v>
      </c>
      <c r="AO602" t="s">
        <v>2166</v>
      </c>
      <c r="AP602" t="s">
        <v>2167</v>
      </c>
      <c r="AQ602" t="s">
        <v>74</v>
      </c>
      <c r="AR602" t="s">
        <v>2168</v>
      </c>
      <c r="AS602" t="s">
        <v>2169</v>
      </c>
      <c r="AT602" t="s">
        <v>9714</v>
      </c>
      <c r="AU602">
        <v>2015</v>
      </c>
      <c r="AV602">
        <v>44</v>
      </c>
      <c r="AW602">
        <v>8</v>
      </c>
      <c r="AX602" t="s">
        <v>74</v>
      </c>
      <c r="AY602" t="s">
        <v>74</v>
      </c>
      <c r="AZ602" t="s">
        <v>74</v>
      </c>
      <c r="BA602" t="s">
        <v>74</v>
      </c>
      <c r="BB602">
        <v>1207</v>
      </c>
      <c r="BC602">
        <v>1212</v>
      </c>
      <c r="BD602" t="s">
        <v>74</v>
      </c>
      <c r="BE602" t="s">
        <v>74</v>
      </c>
      <c r="BF602" t="s">
        <v>74</v>
      </c>
      <c r="BG602" t="s">
        <v>74</v>
      </c>
      <c r="BH602" t="s">
        <v>74</v>
      </c>
      <c r="BI602">
        <v>6</v>
      </c>
      <c r="BJ602" t="s">
        <v>339</v>
      </c>
      <c r="BK602" t="s">
        <v>101</v>
      </c>
      <c r="BL602" t="s">
        <v>339</v>
      </c>
      <c r="BM602" t="s">
        <v>11685</v>
      </c>
      <c r="BN602" t="s">
        <v>74</v>
      </c>
      <c r="BO602" t="s">
        <v>74</v>
      </c>
      <c r="BP602" t="s">
        <v>74</v>
      </c>
      <c r="BQ602" t="s">
        <v>74</v>
      </c>
      <c r="BR602" t="s">
        <v>103</v>
      </c>
      <c r="BS602" t="s">
        <v>11686</v>
      </c>
      <c r="BT602" t="str">
        <f>HYPERLINK("https%3A%2F%2Fwww.webofscience.com%2Fwos%2Fwoscc%2Ffull-record%2FWOS:000379633700010","View Full Record in Web of Science")</f>
        <v>View Full Record in Web of Science</v>
      </c>
    </row>
    <row r="603" spans="1:72" x14ac:dyDescent="0.15">
      <c r="A603" t="s">
        <v>72</v>
      </c>
      <c r="B603" t="s">
        <v>11687</v>
      </c>
      <c r="C603" t="s">
        <v>74</v>
      </c>
      <c r="D603" t="s">
        <v>74</v>
      </c>
      <c r="E603" t="s">
        <v>74</v>
      </c>
      <c r="F603" t="s">
        <v>11688</v>
      </c>
      <c r="G603" t="s">
        <v>74</v>
      </c>
      <c r="H603" t="s">
        <v>74</v>
      </c>
      <c r="I603" t="s">
        <v>11689</v>
      </c>
      <c r="J603" t="s">
        <v>11690</v>
      </c>
      <c r="K603" t="s">
        <v>74</v>
      </c>
      <c r="L603" t="s">
        <v>74</v>
      </c>
      <c r="M603" t="s">
        <v>78</v>
      </c>
      <c r="N603" t="s">
        <v>79</v>
      </c>
      <c r="O603" t="s">
        <v>74</v>
      </c>
      <c r="P603" t="s">
        <v>74</v>
      </c>
      <c r="Q603" t="s">
        <v>74</v>
      </c>
      <c r="R603" t="s">
        <v>74</v>
      </c>
      <c r="S603" t="s">
        <v>74</v>
      </c>
      <c r="T603" t="s">
        <v>11691</v>
      </c>
      <c r="U603" t="s">
        <v>11692</v>
      </c>
      <c r="V603" t="s">
        <v>11693</v>
      </c>
      <c r="W603" t="s">
        <v>11694</v>
      </c>
      <c r="X603" t="s">
        <v>2956</v>
      </c>
      <c r="Y603" t="s">
        <v>11695</v>
      </c>
      <c r="Z603" t="s">
        <v>11696</v>
      </c>
      <c r="AA603" t="s">
        <v>11697</v>
      </c>
      <c r="AB603" t="s">
        <v>11698</v>
      </c>
      <c r="AC603" t="s">
        <v>74</v>
      </c>
      <c r="AD603" t="s">
        <v>74</v>
      </c>
      <c r="AE603" t="s">
        <v>74</v>
      </c>
      <c r="AF603" t="s">
        <v>74</v>
      </c>
      <c r="AG603">
        <v>19</v>
      </c>
      <c r="AH603">
        <v>32</v>
      </c>
      <c r="AI603">
        <v>32</v>
      </c>
      <c r="AJ603">
        <v>0</v>
      </c>
      <c r="AK603">
        <v>40</v>
      </c>
      <c r="AL603" t="s">
        <v>496</v>
      </c>
      <c r="AM603" t="s">
        <v>398</v>
      </c>
      <c r="AN603" t="s">
        <v>497</v>
      </c>
      <c r="AO603" t="s">
        <v>11699</v>
      </c>
      <c r="AP603" t="s">
        <v>11700</v>
      </c>
      <c r="AQ603" t="s">
        <v>74</v>
      </c>
      <c r="AR603" t="s">
        <v>11701</v>
      </c>
      <c r="AS603" t="s">
        <v>11702</v>
      </c>
      <c r="AT603" t="s">
        <v>9714</v>
      </c>
      <c r="AU603">
        <v>2015</v>
      </c>
      <c r="AV603">
        <v>45</v>
      </c>
      <c r="AW603" t="s">
        <v>7516</v>
      </c>
      <c r="AX603" t="s">
        <v>74</v>
      </c>
      <c r="AY603" t="s">
        <v>74</v>
      </c>
      <c r="AZ603" t="s">
        <v>74</v>
      </c>
      <c r="BA603" t="s">
        <v>74</v>
      </c>
      <c r="BB603">
        <v>575</v>
      </c>
      <c r="BC603">
        <v>578</v>
      </c>
      <c r="BD603" t="s">
        <v>74</v>
      </c>
      <c r="BE603" t="s">
        <v>11703</v>
      </c>
      <c r="BF603" t="str">
        <f>HYPERLINK("http://dx.doi.org/10.1016/j.ijpara.2015.04.005","http://dx.doi.org/10.1016/j.ijpara.2015.04.005")</f>
        <v>http://dx.doi.org/10.1016/j.ijpara.2015.04.005</v>
      </c>
      <c r="BG603" t="s">
        <v>74</v>
      </c>
      <c r="BH603" t="s">
        <v>74</v>
      </c>
      <c r="BI603">
        <v>4</v>
      </c>
      <c r="BJ603" t="s">
        <v>11704</v>
      </c>
      <c r="BK603" t="s">
        <v>101</v>
      </c>
      <c r="BL603" t="s">
        <v>11704</v>
      </c>
      <c r="BM603" t="s">
        <v>11705</v>
      </c>
      <c r="BN603">
        <v>26008963</v>
      </c>
      <c r="BO603" t="s">
        <v>245</v>
      </c>
      <c r="BP603" t="s">
        <v>74</v>
      </c>
      <c r="BQ603" t="s">
        <v>74</v>
      </c>
      <c r="BR603" t="s">
        <v>103</v>
      </c>
      <c r="BS603" t="s">
        <v>11706</v>
      </c>
      <c r="BT603" t="str">
        <f>HYPERLINK("https%3A%2F%2Fwww.webofscience.com%2Fwos%2Fwoscc%2Ffull-record%2FWOS:000358462000001","View Full Record in Web of Science")</f>
        <v>View Full Record in Web of Science</v>
      </c>
    </row>
    <row r="604" spans="1:72" x14ac:dyDescent="0.15">
      <c r="A604" t="s">
        <v>72</v>
      </c>
      <c r="B604" t="s">
        <v>11707</v>
      </c>
      <c r="C604" t="s">
        <v>74</v>
      </c>
      <c r="D604" t="s">
        <v>74</v>
      </c>
      <c r="E604" t="s">
        <v>74</v>
      </c>
      <c r="F604" t="s">
        <v>11708</v>
      </c>
      <c r="G604" t="s">
        <v>74</v>
      </c>
      <c r="H604" t="s">
        <v>74</v>
      </c>
      <c r="I604" t="s">
        <v>11709</v>
      </c>
      <c r="J604" t="s">
        <v>11710</v>
      </c>
      <c r="K604" t="s">
        <v>74</v>
      </c>
      <c r="L604" t="s">
        <v>74</v>
      </c>
      <c r="M604" t="s">
        <v>78</v>
      </c>
      <c r="N604" t="s">
        <v>79</v>
      </c>
      <c r="O604" t="s">
        <v>74</v>
      </c>
      <c r="P604" t="s">
        <v>74</v>
      </c>
      <c r="Q604" t="s">
        <v>74</v>
      </c>
      <c r="R604" t="s">
        <v>74</v>
      </c>
      <c r="S604" t="s">
        <v>74</v>
      </c>
      <c r="T604" t="s">
        <v>74</v>
      </c>
      <c r="U604" t="s">
        <v>11711</v>
      </c>
      <c r="V604" t="s">
        <v>11712</v>
      </c>
      <c r="W604" t="s">
        <v>11713</v>
      </c>
      <c r="X604" t="s">
        <v>11714</v>
      </c>
      <c r="Y604" t="s">
        <v>11715</v>
      </c>
      <c r="Z604" t="s">
        <v>11716</v>
      </c>
      <c r="AA604" t="s">
        <v>11717</v>
      </c>
      <c r="AB604" t="s">
        <v>11718</v>
      </c>
      <c r="AC604" t="s">
        <v>74</v>
      </c>
      <c r="AD604" t="s">
        <v>74</v>
      </c>
      <c r="AE604" t="s">
        <v>74</v>
      </c>
      <c r="AF604" t="s">
        <v>74</v>
      </c>
      <c r="AG604">
        <v>57</v>
      </c>
      <c r="AH604">
        <v>18</v>
      </c>
      <c r="AI604">
        <v>19</v>
      </c>
      <c r="AJ604">
        <v>1</v>
      </c>
      <c r="AK604">
        <v>18</v>
      </c>
      <c r="AL604" t="s">
        <v>883</v>
      </c>
      <c r="AM604" t="s">
        <v>884</v>
      </c>
      <c r="AN604" t="s">
        <v>885</v>
      </c>
      <c r="AO604" t="s">
        <v>11719</v>
      </c>
      <c r="AP604" t="s">
        <v>74</v>
      </c>
      <c r="AQ604" t="s">
        <v>74</v>
      </c>
      <c r="AR604" t="s">
        <v>11720</v>
      </c>
      <c r="AS604" t="s">
        <v>11721</v>
      </c>
      <c r="AT604" t="s">
        <v>9714</v>
      </c>
      <c r="AU604">
        <v>2015</v>
      </c>
      <c r="AV604">
        <v>4</v>
      </c>
      <c r="AW604">
        <v>2</v>
      </c>
      <c r="AX604" t="s">
        <v>74</v>
      </c>
      <c r="AY604" t="s">
        <v>74</v>
      </c>
      <c r="AZ604" t="s">
        <v>74</v>
      </c>
      <c r="BA604" t="s">
        <v>74</v>
      </c>
      <c r="BB604">
        <v>198</v>
      </c>
      <c r="BC604">
        <v>205</v>
      </c>
      <c r="BD604" t="s">
        <v>74</v>
      </c>
      <c r="BE604" t="s">
        <v>11722</v>
      </c>
      <c r="BF604" t="str">
        <f>HYPERLINK("http://dx.doi.org/10.1016/j.ijppaw.2015.03.002","http://dx.doi.org/10.1016/j.ijppaw.2015.03.002")</f>
        <v>http://dx.doi.org/10.1016/j.ijppaw.2015.03.002</v>
      </c>
      <c r="BG604" t="s">
        <v>74</v>
      </c>
      <c r="BH604" t="s">
        <v>74</v>
      </c>
      <c r="BI604">
        <v>8</v>
      </c>
      <c r="BJ604" t="s">
        <v>11723</v>
      </c>
      <c r="BK604" t="s">
        <v>101</v>
      </c>
      <c r="BL604" t="s">
        <v>11724</v>
      </c>
      <c r="BM604" t="s">
        <v>11725</v>
      </c>
      <c r="BN604">
        <v>25853053</v>
      </c>
      <c r="BO604" t="s">
        <v>2600</v>
      </c>
      <c r="BP604" t="s">
        <v>74</v>
      </c>
      <c r="BQ604" t="s">
        <v>74</v>
      </c>
      <c r="BR604" t="s">
        <v>103</v>
      </c>
      <c r="BS604" t="s">
        <v>11726</v>
      </c>
      <c r="BT604" t="str">
        <f>HYPERLINK("https%3A%2F%2Fwww.webofscience.com%2Fwos%2Fwoscc%2Ffull-record%2FWOS:000371440800006","View Full Record in Web of Science")</f>
        <v>View Full Record in Web of Science</v>
      </c>
    </row>
    <row r="605" spans="1:72" x14ac:dyDescent="0.15">
      <c r="A605" t="s">
        <v>72</v>
      </c>
      <c r="B605" t="s">
        <v>11727</v>
      </c>
      <c r="C605" t="s">
        <v>74</v>
      </c>
      <c r="D605" t="s">
        <v>74</v>
      </c>
      <c r="E605" t="s">
        <v>74</v>
      </c>
      <c r="F605" t="s">
        <v>11728</v>
      </c>
      <c r="G605" t="s">
        <v>74</v>
      </c>
      <c r="H605" t="s">
        <v>74</v>
      </c>
      <c r="I605" t="s">
        <v>11729</v>
      </c>
      <c r="J605" t="s">
        <v>11730</v>
      </c>
      <c r="K605" t="s">
        <v>74</v>
      </c>
      <c r="L605" t="s">
        <v>74</v>
      </c>
      <c r="M605" t="s">
        <v>78</v>
      </c>
      <c r="N605" t="s">
        <v>79</v>
      </c>
      <c r="O605" t="s">
        <v>74</v>
      </c>
      <c r="P605" t="s">
        <v>74</v>
      </c>
      <c r="Q605" t="s">
        <v>74</v>
      </c>
      <c r="R605" t="s">
        <v>74</v>
      </c>
      <c r="S605" t="s">
        <v>74</v>
      </c>
      <c r="T605" t="s">
        <v>11731</v>
      </c>
      <c r="U605" t="s">
        <v>11732</v>
      </c>
      <c r="V605" t="s">
        <v>11733</v>
      </c>
      <c r="W605" t="s">
        <v>11734</v>
      </c>
      <c r="X605" t="s">
        <v>11735</v>
      </c>
      <c r="Y605" t="s">
        <v>11736</v>
      </c>
      <c r="Z605" t="s">
        <v>11737</v>
      </c>
      <c r="AA605" t="s">
        <v>11738</v>
      </c>
      <c r="AB605" t="s">
        <v>11739</v>
      </c>
      <c r="AC605" t="s">
        <v>11740</v>
      </c>
      <c r="AD605" t="s">
        <v>11741</v>
      </c>
      <c r="AE605" t="s">
        <v>11742</v>
      </c>
      <c r="AF605" t="s">
        <v>74</v>
      </c>
      <c r="AG605">
        <v>67</v>
      </c>
      <c r="AH605">
        <v>52</v>
      </c>
      <c r="AI605">
        <v>57</v>
      </c>
      <c r="AJ605">
        <v>2</v>
      </c>
      <c r="AK605">
        <v>63</v>
      </c>
      <c r="AL605" t="s">
        <v>11743</v>
      </c>
      <c r="AM605" t="s">
        <v>5528</v>
      </c>
      <c r="AN605" t="s">
        <v>11744</v>
      </c>
      <c r="AO605" t="s">
        <v>11745</v>
      </c>
      <c r="AP605" t="s">
        <v>11746</v>
      </c>
      <c r="AQ605" t="s">
        <v>74</v>
      </c>
      <c r="AR605" t="s">
        <v>11747</v>
      </c>
      <c r="AS605" t="s">
        <v>11748</v>
      </c>
      <c r="AT605" t="s">
        <v>9714</v>
      </c>
      <c r="AU605">
        <v>2015</v>
      </c>
      <c r="AV605">
        <v>218</v>
      </c>
      <c r="AW605">
        <v>15</v>
      </c>
      <c r="AX605" t="s">
        <v>74</v>
      </c>
      <c r="AY605" t="s">
        <v>74</v>
      </c>
      <c r="AZ605" t="s">
        <v>74</v>
      </c>
      <c r="BA605" t="s">
        <v>74</v>
      </c>
      <c r="BB605">
        <v>2373</v>
      </c>
      <c r="BC605">
        <v>2381</v>
      </c>
      <c r="BD605" t="s">
        <v>74</v>
      </c>
      <c r="BE605" t="s">
        <v>11749</v>
      </c>
      <c r="BF605" t="str">
        <f>HYPERLINK("http://dx.doi.org/10.1242/jeb.122804","http://dx.doi.org/10.1242/jeb.122804")</f>
        <v>http://dx.doi.org/10.1242/jeb.122804</v>
      </c>
      <c r="BG605" t="s">
        <v>74</v>
      </c>
      <c r="BH605" t="s">
        <v>74</v>
      </c>
      <c r="BI605">
        <v>9</v>
      </c>
      <c r="BJ605" t="s">
        <v>11750</v>
      </c>
      <c r="BK605" t="s">
        <v>101</v>
      </c>
      <c r="BL605" t="s">
        <v>11751</v>
      </c>
      <c r="BM605" t="s">
        <v>11752</v>
      </c>
      <c r="BN605">
        <v>26056241</v>
      </c>
      <c r="BO605" t="s">
        <v>1073</v>
      </c>
      <c r="BP605" t="s">
        <v>74</v>
      </c>
      <c r="BQ605" t="s">
        <v>74</v>
      </c>
      <c r="BR605" t="s">
        <v>103</v>
      </c>
      <c r="BS605" t="s">
        <v>11753</v>
      </c>
      <c r="BT605" t="str">
        <f>HYPERLINK("https%3A%2F%2Fwww.webofscience.com%2Fwos%2Fwoscc%2Ffull-record%2FWOS:000359009100015","View Full Record in Web of Science")</f>
        <v>View Full Record in Web of Science</v>
      </c>
    </row>
    <row r="606" spans="1:72" x14ac:dyDescent="0.15">
      <c r="A606" t="s">
        <v>72</v>
      </c>
      <c r="B606" t="s">
        <v>11754</v>
      </c>
      <c r="C606" t="s">
        <v>74</v>
      </c>
      <c r="D606" t="s">
        <v>74</v>
      </c>
      <c r="E606" t="s">
        <v>74</v>
      </c>
      <c r="F606" t="s">
        <v>11755</v>
      </c>
      <c r="G606" t="s">
        <v>74</v>
      </c>
      <c r="H606" t="s">
        <v>74</v>
      </c>
      <c r="I606" t="s">
        <v>11756</v>
      </c>
      <c r="J606" t="s">
        <v>295</v>
      </c>
      <c r="K606" t="s">
        <v>74</v>
      </c>
      <c r="L606" t="s">
        <v>74</v>
      </c>
      <c r="M606" t="s">
        <v>78</v>
      </c>
      <c r="N606" t="s">
        <v>79</v>
      </c>
      <c r="O606" t="s">
        <v>74</v>
      </c>
      <c r="P606" t="s">
        <v>74</v>
      </c>
      <c r="Q606" t="s">
        <v>74</v>
      </c>
      <c r="R606" t="s">
        <v>74</v>
      </c>
      <c r="S606" t="s">
        <v>74</v>
      </c>
      <c r="T606" t="s">
        <v>74</v>
      </c>
      <c r="U606" t="s">
        <v>11757</v>
      </c>
      <c r="V606" t="s">
        <v>11758</v>
      </c>
      <c r="W606" t="s">
        <v>11759</v>
      </c>
      <c r="X606" t="s">
        <v>11760</v>
      </c>
      <c r="Y606" t="s">
        <v>11761</v>
      </c>
      <c r="Z606" t="s">
        <v>11762</v>
      </c>
      <c r="AA606" t="s">
        <v>11763</v>
      </c>
      <c r="AB606" t="s">
        <v>11764</v>
      </c>
      <c r="AC606" t="s">
        <v>11765</v>
      </c>
      <c r="AD606" t="s">
        <v>11766</v>
      </c>
      <c r="AE606" t="s">
        <v>11767</v>
      </c>
      <c r="AF606" t="s">
        <v>74</v>
      </c>
      <c r="AG606">
        <v>46</v>
      </c>
      <c r="AH606">
        <v>18</v>
      </c>
      <c r="AI606">
        <v>22</v>
      </c>
      <c r="AJ606">
        <v>0</v>
      </c>
      <c r="AK606">
        <v>17</v>
      </c>
      <c r="AL606" t="s">
        <v>306</v>
      </c>
      <c r="AM606" t="s">
        <v>307</v>
      </c>
      <c r="AN606" t="s">
        <v>308</v>
      </c>
      <c r="AO606" t="s">
        <v>309</v>
      </c>
      <c r="AP606" t="s">
        <v>310</v>
      </c>
      <c r="AQ606" t="s">
        <v>74</v>
      </c>
      <c r="AR606" t="s">
        <v>311</v>
      </c>
      <c r="AS606" t="s">
        <v>312</v>
      </c>
      <c r="AT606" t="s">
        <v>9714</v>
      </c>
      <c r="AU606">
        <v>2015</v>
      </c>
      <c r="AV606">
        <v>120</v>
      </c>
      <c r="AW606">
        <v>8</v>
      </c>
      <c r="AX606" t="s">
        <v>74</v>
      </c>
      <c r="AY606" t="s">
        <v>74</v>
      </c>
      <c r="AZ606" t="s">
        <v>74</v>
      </c>
      <c r="BA606" t="s">
        <v>74</v>
      </c>
      <c r="BB606">
        <v>1501</v>
      </c>
      <c r="BC606">
        <v>1514</v>
      </c>
      <c r="BD606" t="s">
        <v>74</v>
      </c>
      <c r="BE606" t="s">
        <v>11768</v>
      </c>
      <c r="BF606" t="str">
        <f>HYPERLINK("http://dx.doi.org/10.1002/2015JF003505","http://dx.doi.org/10.1002/2015JF003505")</f>
        <v>http://dx.doi.org/10.1002/2015JF003505</v>
      </c>
      <c r="BG606" t="s">
        <v>74</v>
      </c>
      <c r="BH606" t="s">
        <v>74</v>
      </c>
      <c r="BI606">
        <v>14</v>
      </c>
      <c r="BJ606" t="s">
        <v>314</v>
      </c>
      <c r="BK606" t="s">
        <v>101</v>
      </c>
      <c r="BL606" t="s">
        <v>315</v>
      </c>
      <c r="BM606" t="s">
        <v>9754</v>
      </c>
      <c r="BN606" t="s">
        <v>74</v>
      </c>
      <c r="BO606" t="s">
        <v>5942</v>
      </c>
      <c r="BP606" t="s">
        <v>74</v>
      </c>
      <c r="BQ606" t="s">
        <v>74</v>
      </c>
      <c r="BR606" t="s">
        <v>103</v>
      </c>
      <c r="BS606" t="s">
        <v>11769</v>
      </c>
      <c r="BT606" t="str">
        <f>HYPERLINK("https%3A%2F%2Fwww.webofscience.com%2Fwos%2Fwoscc%2Ffull-record%2FWOS:000363464000004","View Full Record in Web of Science")</f>
        <v>View Full Record in Web of Science</v>
      </c>
    </row>
    <row r="607" spans="1:72" x14ac:dyDescent="0.15">
      <c r="A607" t="s">
        <v>72</v>
      </c>
      <c r="B607" t="s">
        <v>11770</v>
      </c>
      <c r="C607" t="s">
        <v>74</v>
      </c>
      <c r="D607" t="s">
        <v>74</v>
      </c>
      <c r="E607" t="s">
        <v>74</v>
      </c>
      <c r="F607" t="s">
        <v>11771</v>
      </c>
      <c r="G607" t="s">
        <v>74</v>
      </c>
      <c r="H607" t="s">
        <v>74</v>
      </c>
      <c r="I607" t="s">
        <v>11772</v>
      </c>
      <c r="J607" t="s">
        <v>322</v>
      </c>
      <c r="K607" t="s">
        <v>74</v>
      </c>
      <c r="L607" t="s">
        <v>74</v>
      </c>
      <c r="M607" t="s">
        <v>78</v>
      </c>
      <c r="N607" t="s">
        <v>79</v>
      </c>
      <c r="O607" t="s">
        <v>74</v>
      </c>
      <c r="P607" t="s">
        <v>74</v>
      </c>
      <c r="Q607" t="s">
        <v>74</v>
      </c>
      <c r="R607" t="s">
        <v>74</v>
      </c>
      <c r="S607" t="s">
        <v>74</v>
      </c>
      <c r="T607" t="s">
        <v>74</v>
      </c>
      <c r="U607" t="s">
        <v>11773</v>
      </c>
      <c r="V607" t="s">
        <v>11774</v>
      </c>
      <c r="W607" t="s">
        <v>11775</v>
      </c>
      <c r="X607" t="s">
        <v>11776</v>
      </c>
      <c r="Y607" t="s">
        <v>11777</v>
      </c>
      <c r="Z607" t="s">
        <v>11778</v>
      </c>
      <c r="AA607" t="s">
        <v>11779</v>
      </c>
      <c r="AB607" t="s">
        <v>11780</v>
      </c>
      <c r="AC607" t="s">
        <v>11781</v>
      </c>
      <c r="AD607" t="s">
        <v>11782</v>
      </c>
      <c r="AE607" t="s">
        <v>11783</v>
      </c>
      <c r="AF607" t="s">
        <v>74</v>
      </c>
      <c r="AG607">
        <v>73</v>
      </c>
      <c r="AH607">
        <v>153</v>
      </c>
      <c r="AI607">
        <v>171</v>
      </c>
      <c r="AJ607">
        <v>6</v>
      </c>
      <c r="AK607">
        <v>101</v>
      </c>
      <c r="AL607" t="s">
        <v>306</v>
      </c>
      <c r="AM607" t="s">
        <v>307</v>
      </c>
      <c r="AN607" t="s">
        <v>308</v>
      </c>
      <c r="AO607" t="s">
        <v>334</v>
      </c>
      <c r="AP607" t="s">
        <v>335</v>
      </c>
      <c r="AQ607" t="s">
        <v>74</v>
      </c>
      <c r="AR607" t="s">
        <v>336</v>
      </c>
      <c r="AS607" t="s">
        <v>337</v>
      </c>
      <c r="AT607" t="s">
        <v>9714</v>
      </c>
      <c r="AU607">
        <v>2015</v>
      </c>
      <c r="AV607">
        <v>120</v>
      </c>
      <c r="AW607">
        <v>8</v>
      </c>
      <c r="AX607" t="s">
        <v>74</v>
      </c>
      <c r="AY607" t="s">
        <v>74</v>
      </c>
      <c r="AZ607" t="s">
        <v>74</v>
      </c>
      <c r="BA607" t="s">
        <v>74</v>
      </c>
      <c r="BB607">
        <v>5545</v>
      </c>
      <c r="BC607">
        <v>5565</v>
      </c>
      <c r="BD607" t="s">
        <v>74</v>
      </c>
      <c r="BE607" t="s">
        <v>11784</v>
      </c>
      <c r="BF607" t="str">
        <f>HYPERLINK("http://dx.doi.org/10.1002/2015JC010888","http://dx.doi.org/10.1002/2015JC010888")</f>
        <v>http://dx.doi.org/10.1002/2015JC010888</v>
      </c>
      <c r="BG607" t="s">
        <v>74</v>
      </c>
      <c r="BH607" t="s">
        <v>74</v>
      </c>
      <c r="BI607">
        <v>21</v>
      </c>
      <c r="BJ607" t="s">
        <v>339</v>
      </c>
      <c r="BK607" t="s">
        <v>101</v>
      </c>
      <c r="BL607" t="s">
        <v>339</v>
      </c>
      <c r="BM607" t="s">
        <v>9812</v>
      </c>
      <c r="BN607" t="s">
        <v>74</v>
      </c>
      <c r="BO607" t="s">
        <v>74</v>
      </c>
      <c r="BP607" t="s">
        <v>74</v>
      </c>
      <c r="BQ607" t="s">
        <v>74</v>
      </c>
      <c r="BR607" t="s">
        <v>103</v>
      </c>
      <c r="BS607" t="s">
        <v>11785</v>
      </c>
      <c r="BT607" t="str">
        <f>HYPERLINK("https%3A%2F%2Fwww.webofscience.com%2Fwos%2Fwoscc%2Ffull-record%2FWOS:000362653600015","View Full Record in Web of Science")</f>
        <v>View Full Record in Web of Science</v>
      </c>
    </row>
    <row r="608" spans="1:72" x14ac:dyDescent="0.15">
      <c r="A608" t="s">
        <v>72</v>
      </c>
      <c r="B608" t="s">
        <v>11786</v>
      </c>
      <c r="C608" t="s">
        <v>74</v>
      </c>
      <c r="D608" t="s">
        <v>74</v>
      </c>
      <c r="E608" t="s">
        <v>74</v>
      </c>
      <c r="F608" t="s">
        <v>11787</v>
      </c>
      <c r="G608" t="s">
        <v>74</v>
      </c>
      <c r="H608" t="s">
        <v>74</v>
      </c>
      <c r="I608" t="s">
        <v>11788</v>
      </c>
      <c r="J608" t="s">
        <v>322</v>
      </c>
      <c r="K608" t="s">
        <v>74</v>
      </c>
      <c r="L608" t="s">
        <v>74</v>
      </c>
      <c r="M608" t="s">
        <v>78</v>
      </c>
      <c r="N608" t="s">
        <v>79</v>
      </c>
      <c r="O608" t="s">
        <v>74</v>
      </c>
      <c r="P608" t="s">
        <v>74</v>
      </c>
      <c r="Q608" t="s">
        <v>74</v>
      </c>
      <c r="R608" t="s">
        <v>74</v>
      </c>
      <c r="S608" t="s">
        <v>74</v>
      </c>
      <c r="T608" t="s">
        <v>74</v>
      </c>
      <c r="U608" t="s">
        <v>11789</v>
      </c>
      <c r="V608" t="s">
        <v>11790</v>
      </c>
      <c r="W608" t="s">
        <v>11791</v>
      </c>
      <c r="X608" t="s">
        <v>11792</v>
      </c>
      <c r="Y608" t="s">
        <v>11793</v>
      </c>
      <c r="Z608" t="s">
        <v>7142</v>
      </c>
      <c r="AA608" t="s">
        <v>11794</v>
      </c>
      <c r="AB608" t="s">
        <v>11795</v>
      </c>
      <c r="AC608" t="s">
        <v>11796</v>
      </c>
      <c r="AD608" t="s">
        <v>11797</v>
      </c>
      <c r="AE608" t="s">
        <v>11798</v>
      </c>
      <c r="AF608" t="s">
        <v>74</v>
      </c>
      <c r="AG608">
        <v>59</v>
      </c>
      <c r="AH608">
        <v>29</v>
      </c>
      <c r="AI608">
        <v>31</v>
      </c>
      <c r="AJ608">
        <v>0</v>
      </c>
      <c r="AK608">
        <v>13</v>
      </c>
      <c r="AL608" t="s">
        <v>306</v>
      </c>
      <c r="AM608" t="s">
        <v>307</v>
      </c>
      <c r="AN608" t="s">
        <v>308</v>
      </c>
      <c r="AO608" t="s">
        <v>334</v>
      </c>
      <c r="AP608" t="s">
        <v>335</v>
      </c>
      <c r="AQ608" t="s">
        <v>74</v>
      </c>
      <c r="AR608" t="s">
        <v>336</v>
      </c>
      <c r="AS608" t="s">
        <v>337</v>
      </c>
      <c r="AT608" t="s">
        <v>9714</v>
      </c>
      <c r="AU608">
        <v>2015</v>
      </c>
      <c r="AV608">
        <v>120</v>
      </c>
      <c r="AW608">
        <v>8</v>
      </c>
      <c r="AX608" t="s">
        <v>74</v>
      </c>
      <c r="AY608" t="s">
        <v>74</v>
      </c>
      <c r="AZ608" t="s">
        <v>74</v>
      </c>
      <c r="BA608" t="s">
        <v>74</v>
      </c>
      <c r="BB608">
        <v>5820</v>
      </c>
      <c r="BC608">
        <v>5835</v>
      </c>
      <c r="BD608" t="s">
        <v>74</v>
      </c>
      <c r="BE608" t="s">
        <v>11799</v>
      </c>
      <c r="BF608" t="str">
        <f>HYPERLINK("http://dx.doi.org/10.1002/2015JC010805","http://dx.doi.org/10.1002/2015JC010805")</f>
        <v>http://dx.doi.org/10.1002/2015JC010805</v>
      </c>
      <c r="BG608" t="s">
        <v>74</v>
      </c>
      <c r="BH608" t="s">
        <v>74</v>
      </c>
      <c r="BI608">
        <v>16</v>
      </c>
      <c r="BJ608" t="s">
        <v>339</v>
      </c>
      <c r="BK608" t="s">
        <v>101</v>
      </c>
      <c r="BL608" t="s">
        <v>339</v>
      </c>
      <c r="BM608" t="s">
        <v>9812</v>
      </c>
      <c r="BN608" t="s">
        <v>74</v>
      </c>
      <c r="BO608" t="s">
        <v>1781</v>
      </c>
      <c r="BP608" t="s">
        <v>74</v>
      </c>
      <c r="BQ608" t="s">
        <v>74</v>
      </c>
      <c r="BR608" t="s">
        <v>103</v>
      </c>
      <c r="BS608" t="s">
        <v>11800</v>
      </c>
      <c r="BT608" t="str">
        <f>HYPERLINK("https%3A%2F%2Fwww.webofscience.com%2Fwos%2Fwoscc%2Ffull-record%2FWOS:000362653600031","View Full Record in Web of Science")</f>
        <v>View Full Record in Web of Science</v>
      </c>
    </row>
    <row r="609" spans="1:72" x14ac:dyDescent="0.15">
      <c r="A609" t="s">
        <v>72</v>
      </c>
      <c r="B609" t="s">
        <v>11801</v>
      </c>
      <c r="C609" t="s">
        <v>74</v>
      </c>
      <c r="D609" t="s">
        <v>74</v>
      </c>
      <c r="E609" t="s">
        <v>74</v>
      </c>
      <c r="F609" t="s">
        <v>11802</v>
      </c>
      <c r="G609" t="s">
        <v>74</v>
      </c>
      <c r="H609" t="s">
        <v>74</v>
      </c>
      <c r="I609" t="s">
        <v>11803</v>
      </c>
      <c r="J609" t="s">
        <v>322</v>
      </c>
      <c r="K609" t="s">
        <v>74</v>
      </c>
      <c r="L609" t="s">
        <v>74</v>
      </c>
      <c r="M609" t="s">
        <v>78</v>
      </c>
      <c r="N609" t="s">
        <v>79</v>
      </c>
      <c r="O609" t="s">
        <v>74</v>
      </c>
      <c r="P609" t="s">
        <v>74</v>
      </c>
      <c r="Q609" t="s">
        <v>74</v>
      </c>
      <c r="R609" t="s">
        <v>74</v>
      </c>
      <c r="S609" t="s">
        <v>74</v>
      </c>
      <c r="T609" t="s">
        <v>74</v>
      </c>
      <c r="U609" t="s">
        <v>11804</v>
      </c>
      <c r="V609" t="s">
        <v>11805</v>
      </c>
      <c r="W609" t="s">
        <v>11806</v>
      </c>
      <c r="X609" t="s">
        <v>11807</v>
      </c>
      <c r="Y609" t="s">
        <v>11808</v>
      </c>
      <c r="Z609" t="s">
        <v>11809</v>
      </c>
      <c r="AA609" t="s">
        <v>74</v>
      </c>
      <c r="AB609" t="s">
        <v>74</v>
      </c>
      <c r="AC609" t="s">
        <v>11810</v>
      </c>
      <c r="AD609" t="s">
        <v>11811</v>
      </c>
      <c r="AE609" t="s">
        <v>11812</v>
      </c>
      <c r="AF609" t="s">
        <v>74</v>
      </c>
      <c r="AG609">
        <v>56</v>
      </c>
      <c r="AH609">
        <v>16</v>
      </c>
      <c r="AI609">
        <v>22</v>
      </c>
      <c r="AJ609">
        <v>5</v>
      </c>
      <c r="AK609">
        <v>32</v>
      </c>
      <c r="AL609" t="s">
        <v>306</v>
      </c>
      <c r="AM609" t="s">
        <v>307</v>
      </c>
      <c r="AN609" t="s">
        <v>308</v>
      </c>
      <c r="AO609" t="s">
        <v>334</v>
      </c>
      <c r="AP609" t="s">
        <v>335</v>
      </c>
      <c r="AQ609" t="s">
        <v>74</v>
      </c>
      <c r="AR609" t="s">
        <v>336</v>
      </c>
      <c r="AS609" t="s">
        <v>337</v>
      </c>
      <c r="AT609" t="s">
        <v>9714</v>
      </c>
      <c r="AU609">
        <v>2015</v>
      </c>
      <c r="AV609">
        <v>120</v>
      </c>
      <c r="AW609">
        <v>8</v>
      </c>
      <c r="AX609" t="s">
        <v>74</v>
      </c>
      <c r="AY609" t="s">
        <v>74</v>
      </c>
      <c r="AZ609" t="s">
        <v>74</v>
      </c>
      <c r="BA609" t="s">
        <v>74</v>
      </c>
      <c r="BB609">
        <v>5836</v>
      </c>
      <c r="BC609">
        <v>5849</v>
      </c>
      <c r="BD609" t="s">
        <v>74</v>
      </c>
      <c r="BE609" t="s">
        <v>11813</v>
      </c>
      <c r="BF609" t="str">
        <f>HYPERLINK("http://dx.doi.org/10.1002/2015JC010944","http://dx.doi.org/10.1002/2015JC010944")</f>
        <v>http://dx.doi.org/10.1002/2015JC010944</v>
      </c>
      <c r="BG609" t="s">
        <v>74</v>
      </c>
      <c r="BH609" t="s">
        <v>74</v>
      </c>
      <c r="BI609">
        <v>14</v>
      </c>
      <c r="BJ609" t="s">
        <v>339</v>
      </c>
      <c r="BK609" t="s">
        <v>101</v>
      </c>
      <c r="BL609" t="s">
        <v>339</v>
      </c>
      <c r="BM609" t="s">
        <v>9812</v>
      </c>
      <c r="BN609" t="s">
        <v>74</v>
      </c>
      <c r="BO609" t="s">
        <v>74</v>
      </c>
      <c r="BP609" t="s">
        <v>74</v>
      </c>
      <c r="BQ609" t="s">
        <v>74</v>
      </c>
      <c r="BR609" t="s">
        <v>103</v>
      </c>
      <c r="BS609" t="s">
        <v>11814</v>
      </c>
      <c r="BT609" t="str">
        <f>HYPERLINK("https%3A%2F%2Fwww.webofscience.com%2Fwos%2Fwoscc%2Ffull-record%2FWOS:000362653600032","View Full Record in Web of Science")</f>
        <v>View Full Record in Web of Science</v>
      </c>
    </row>
    <row r="610" spans="1:72" x14ac:dyDescent="0.15">
      <c r="A610" t="s">
        <v>72</v>
      </c>
      <c r="B610" t="s">
        <v>11815</v>
      </c>
      <c r="C610" t="s">
        <v>74</v>
      </c>
      <c r="D610" t="s">
        <v>74</v>
      </c>
      <c r="E610" t="s">
        <v>74</v>
      </c>
      <c r="F610" t="s">
        <v>11816</v>
      </c>
      <c r="G610" t="s">
        <v>74</v>
      </c>
      <c r="H610" t="s">
        <v>74</v>
      </c>
      <c r="I610" t="s">
        <v>11817</v>
      </c>
      <c r="J610" t="s">
        <v>361</v>
      </c>
      <c r="K610" t="s">
        <v>74</v>
      </c>
      <c r="L610" t="s">
        <v>74</v>
      </c>
      <c r="M610" t="s">
        <v>78</v>
      </c>
      <c r="N610" t="s">
        <v>79</v>
      </c>
      <c r="O610" t="s">
        <v>74</v>
      </c>
      <c r="P610" t="s">
        <v>74</v>
      </c>
      <c r="Q610" t="s">
        <v>74</v>
      </c>
      <c r="R610" t="s">
        <v>74</v>
      </c>
      <c r="S610" t="s">
        <v>74</v>
      </c>
      <c r="T610" t="s">
        <v>11818</v>
      </c>
      <c r="U610" t="s">
        <v>11819</v>
      </c>
      <c r="V610" t="s">
        <v>11820</v>
      </c>
      <c r="W610" t="s">
        <v>11821</v>
      </c>
      <c r="X610" t="s">
        <v>11822</v>
      </c>
      <c r="Y610" t="s">
        <v>11823</v>
      </c>
      <c r="Z610" t="s">
        <v>11824</v>
      </c>
      <c r="AA610" t="s">
        <v>11825</v>
      </c>
      <c r="AB610" t="s">
        <v>11826</v>
      </c>
      <c r="AC610" t="s">
        <v>11827</v>
      </c>
      <c r="AD610" t="s">
        <v>11828</v>
      </c>
      <c r="AE610" t="s">
        <v>11829</v>
      </c>
      <c r="AF610" t="s">
        <v>74</v>
      </c>
      <c r="AG610">
        <v>31</v>
      </c>
      <c r="AH610">
        <v>13</v>
      </c>
      <c r="AI610">
        <v>13</v>
      </c>
      <c r="AJ610">
        <v>0</v>
      </c>
      <c r="AK610">
        <v>10</v>
      </c>
      <c r="AL610" t="s">
        <v>306</v>
      </c>
      <c r="AM610" t="s">
        <v>307</v>
      </c>
      <c r="AN610" t="s">
        <v>308</v>
      </c>
      <c r="AO610" t="s">
        <v>373</v>
      </c>
      <c r="AP610" t="s">
        <v>374</v>
      </c>
      <c r="AQ610" t="s">
        <v>74</v>
      </c>
      <c r="AR610" t="s">
        <v>375</v>
      </c>
      <c r="AS610" t="s">
        <v>376</v>
      </c>
      <c r="AT610" t="s">
        <v>9714</v>
      </c>
      <c r="AU610">
        <v>2015</v>
      </c>
      <c r="AV610">
        <v>120</v>
      </c>
      <c r="AW610">
        <v>8</v>
      </c>
      <c r="AX610" t="s">
        <v>74</v>
      </c>
      <c r="AY610" t="s">
        <v>74</v>
      </c>
      <c r="AZ610" t="s">
        <v>74</v>
      </c>
      <c r="BA610" t="s">
        <v>74</v>
      </c>
      <c r="BB610">
        <v>6176</v>
      </c>
      <c r="BC610">
        <v>6187</v>
      </c>
      <c r="BD610" t="s">
        <v>74</v>
      </c>
      <c r="BE610" t="s">
        <v>11830</v>
      </c>
      <c r="BF610" t="str">
        <f>HYPERLINK("http://dx.doi.org/10.1002/2015JA021426","http://dx.doi.org/10.1002/2015JA021426")</f>
        <v>http://dx.doi.org/10.1002/2015JA021426</v>
      </c>
      <c r="BG610" t="s">
        <v>74</v>
      </c>
      <c r="BH610" t="s">
        <v>74</v>
      </c>
      <c r="BI610">
        <v>12</v>
      </c>
      <c r="BJ610" t="s">
        <v>378</v>
      </c>
      <c r="BK610" t="s">
        <v>101</v>
      </c>
      <c r="BL610" t="s">
        <v>378</v>
      </c>
      <c r="BM610" t="s">
        <v>9850</v>
      </c>
      <c r="BN610" t="s">
        <v>74</v>
      </c>
      <c r="BO610" t="s">
        <v>1528</v>
      </c>
      <c r="BP610" t="s">
        <v>74</v>
      </c>
      <c r="BQ610" t="s">
        <v>74</v>
      </c>
      <c r="BR610" t="s">
        <v>103</v>
      </c>
      <c r="BS610" t="s">
        <v>11831</v>
      </c>
      <c r="BT610" t="str">
        <f>HYPERLINK("https%3A%2F%2Fwww.webofscience.com%2Fwos%2Fwoscc%2Ffull-record%2FWOS:000362125300010","View Full Record in Web of Science")</f>
        <v>View Full Record in Web of Science</v>
      </c>
    </row>
    <row r="611" spans="1:72" x14ac:dyDescent="0.15">
      <c r="A611" t="s">
        <v>72</v>
      </c>
      <c r="B611" t="s">
        <v>11832</v>
      </c>
      <c r="C611" t="s">
        <v>74</v>
      </c>
      <c r="D611" t="s">
        <v>74</v>
      </c>
      <c r="E611" t="s">
        <v>74</v>
      </c>
      <c r="F611" t="s">
        <v>11833</v>
      </c>
      <c r="G611" t="s">
        <v>74</v>
      </c>
      <c r="H611" t="s">
        <v>74</v>
      </c>
      <c r="I611" t="s">
        <v>11834</v>
      </c>
      <c r="J611" t="s">
        <v>361</v>
      </c>
      <c r="K611" t="s">
        <v>74</v>
      </c>
      <c r="L611" t="s">
        <v>74</v>
      </c>
      <c r="M611" t="s">
        <v>78</v>
      </c>
      <c r="N611" t="s">
        <v>79</v>
      </c>
      <c r="O611" t="s">
        <v>74</v>
      </c>
      <c r="P611" t="s">
        <v>74</v>
      </c>
      <c r="Q611" t="s">
        <v>74</v>
      </c>
      <c r="R611" t="s">
        <v>74</v>
      </c>
      <c r="S611" t="s">
        <v>74</v>
      </c>
      <c r="T611" t="s">
        <v>11835</v>
      </c>
      <c r="U611" t="s">
        <v>11836</v>
      </c>
      <c r="V611" t="s">
        <v>11837</v>
      </c>
      <c r="W611" t="s">
        <v>11838</v>
      </c>
      <c r="X611" t="s">
        <v>11839</v>
      </c>
      <c r="Y611" t="s">
        <v>11840</v>
      </c>
      <c r="Z611" t="s">
        <v>11841</v>
      </c>
      <c r="AA611" t="s">
        <v>11842</v>
      </c>
      <c r="AB611" t="s">
        <v>11843</v>
      </c>
      <c r="AC611" t="s">
        <v>11844</v>
      </c>
      <c r="AD611" t="s">
        <v>11845</v>
      </c>
      <c r="AE611" t="s">
        <v>11846</v>
      </c>
      <c r="AF611" t="s">
        <v>74</v>
      </c>
      <c r="AG611">
        <v>22</v>
      </c>
      <c r="AH611">
        <v>10</v>
      </c>
      <c r="AI611">
        <v>13</v>
      </c>
      <c r="AJ611">
        <v>1</v>
      </c>
      <c r="AK611">
        <v>11</v>
      </c>
      <c r="AL611" t="s">
        <v>306</v>
      </c>
      <c r="AM611" t="s">
        <v>307</v>
      </c>
      <c r="AN611" t="s">
        <v>308</v>
      </c>
      <c r="AO611" t="s">
        <v>373</v>
      </c>
      <c r="AP611" t="s">
        <v>374</v>
      </c>
      <c r="AQ611" t="s">
        <v>74</v>
      </c>
      <c r="AR611" t="s">
        <v>375</v>
      </c>
      <c r="AS611" t="s">
        <v>376</v>
      </c>
      <c r="AT611" t="s">
        <v>9714</v>
      </c>
      <c r="AU611">
        <v>2015</v>
      </c>
      <c r="AV611">
        <v>120</v>
      </c>
      <c r="AW611">
        <v>8</v>
      </c>
      <c r="AX611" t="s">
        <v>74</v>
      </c>
      <c r="AY611" t="s">
        <v>74</v>
      </c>
      <c r="AZ611" t="s">
        <v>74</v>
      </c>
      <c r="BA611" t="s">
        <v>74</v>
      </c>
      <c r="BB611">
        <v>6646</v>
      </c>
      <c r="BC611">
        <v>6660</v>
      </c>
      <c r="BD611" t="s">
        <v>74</v>
      </c>
      <c r="BE611" t="s">
        <v>11847</v>
      </c>
      <c r="BF611" t="str">
        <f>HYPERLINK("http://dx.doi.org/10.1002/2015JA021341","http://dx.doi.org/10.1002/2015JA021341")</f>
        <v>http://dx.doi.org/10.1002/2015JA021341</v>
      </c>
      <c r="BG611" t="s">
        <v>74</v>
      </c>
      <c r="BH611" t="s">
        <v>74</v>
      </c>
      <c r="BI611">
        <v>15</v>
      </c>
      <c r="BJ611" t="s">
        <v>378</v>
      </c>
      <c r="BK611" t="s">
        <v>101</v>
      </c>
      <c r="BL611" t="s">
        <v>378</v>
      </c>
      <c r="BM611" t="s">
        <v>9850</v>
      </c>
      <c r="BN611" t="s">
        <v>74</v>
      </c>
      <c r="BO611" t="s">
        <v>162</v>
      </c>
      <c r="BP611" t="s">
        <v>74</v>
      </c>
      <c r="BQ611" t="s">
        <v>74</v>
      </c>
      <c r="BR611" t="s">
        <v>103</v>
      </c>
      <c r="BS611" t="s">
        <v>11848</v>
      </c>
      <c r="BT611" t="str">
        <f>HYPERLINK("https%3A%2F%2Fwww.webofscience.com%2Fwos%2Fwoscc%2Ffull-record%2FWOS:000362125300044","View Full Record in Web of Science")</f>
        <v>View Full Record in Web of Science</v>
      </c>
    </row>
    <row r="612" spans="1:72" x14ac:dyDescent="0.15">
      <c r="A612" t="s">
        <v>72</v>
      </c>
      <c r="B612" t="s">
        <v>11849</v>
      </c>
      <c r="C612" t="s">
        <v>74</v>
      </c>
      <c r="D612" t="s">
        <v>74</v>
      </c>
      <c r="E612" t="s">
        <v>74</v>
      </c>
      <c r="F612" t="s">
        <v>11850</v>
      </c>
      <c r="G612" t="s">
        <v>74</v>
      </c>
      <c r="H612" t="s">
        <v>74</v>
      </c>
      <c r="I612" t="s">
        <v>11851</v>
      </c>
      <c r="J612" t="s">
        <v>361</v>
      </c>
      <c r="K612" t="s">
        <v>74</v>
      </c>
      <c r="L612" t="s">
        <v>74</v>
      </c>
      <c r="M612" t="s">
        <v>78</v>
      </c>
      <c r="N612" t="s">
        <v>79</v>
      </c>
      <c r="O612" t="s">
        <v>74</v>
      </c>
      <c r="P612" t="s">
        <v>74</v>
      </c>
      <c r="Q612" t="s">
        <v>74</v>
      </c>
      <c r="R612" t="s">
        <v>74</v>
      </c>
      <c r="S612" t="s">
        <v>74</v>
      </c>
      <c r="T612" t="s">
        <v>11852</v>
      </c>
      <c r="U612" t="s">
        <v>11853</v>
      </c>
      <c r="V612" t="s">
        <v>11854</v>
      </c>
      <c r="W612" t="s">
        <v>11855</v>
      </c>
      <c r="X612" t="s">
        <v>11856</v>
      </c>
      <c r="Y612" t="s">
        <v>11857</v>
      </c>
      <c r="Z612" t="s">
        <v>11858</v>
      </c>
      <c r="AA612" t="s">
        <v>11859</v>
      </c>
      <c r="AB612" t="s">
        <v>11860</v>
      </c>
      <c r="AC612" t="s">
        <v>11861</v>
      </c>
      <c r="AD612" t="s">
        <v>11862</v>
      </c>
      <c r="AE612" t="s">
        <v>11863</v>
      </c>
      <c r="AF612" t="s">
        <v>74</v>
      </c>
      <c r="AG612">
        <v>45</v>
      </c>
      <c r="AH612">
        <v>13</v>
      </c>
      <c r="AI612">
        <v>14</v>
      </c>
      <c r="AJ612">
        <v>1</v>
      </c>
      <c r="AK612">
        <v>6</v>
      </c>
      <c r="AL612" t="s">
        <v>306</v>
      </c>
      <c r="AM612" t="s">
        <v>307</v>
      </c>
      <c r="AN612" t="s">
        <v>308</v>
      </c>
      <c r="AO612" t="s">
        <v>373</v>
      </c>
      <c r="AP612" t="s">
        <v>374</v>
      </c>
      <c r="AQ612" t="s">
        <v>74</v>
      </c>
      <c r="AR612" t="s">
        <v>375</v>
      </c>
      <c r="AS612" t="s">
        <v>376</v>
      </c>
      <c r="AT612" t="s">
        <v>9714</v>
      </c>
      <c r="AU612">
        <v>2015</v>
      </c>
      <c r="AV612">
        <v>120</v>
      </c>
      <c r="AW612">
        <v>8</v>
      </c>
      <c r="AX612" t="s">
        <v>74</v>
      </c>
      <c r="AY612" t="s">
        <v>74</v>
      </c>
      <c r="AZ612" t="s">
        <v>74</v>
      </c>
      <c r="BA612" t="s">
        <v>74</v>
      </c>
      <c r="BB612">
        <v>6736</v>
      </c>
      <c r="BC612">
        <v>6748</v>
      </c>
      <c r="BD612" t="s">
        <v>74</v>
      </c>
      <c r="BE612" t="s">
        <v>11864</v>
      </c>
      <c r="BF612" t="str">
        <f>HYPERLINK("http://dx.doi.org/10.1002/2015JA021429","http://dx.doi.org/10.1002/2015JA021429")</f>
        <v>http://dx.doi.org/10.1002/2015JA021429</v>
      </c>
      <c r="BG612" t="s">
        <v>74</v>
      </c>
      <c r="BH612" t="s">
        <v>74</v>
      </c>
      <c r="BI612">
        <v>13</v>
      </c>
      <c r="BJ612" t="s">
        <v>378</v>
      </c>
      <c r="BK612" t="s">
        <v>101</v>
      </c>
      <c r="BL612" t="s">
        <v>378</v>
      </c>
      <c r="BM612" t="s">
        <v>9850</v>
      </c>
      <c r="BN612" t="s">
        <v>74</v>
      </c>
      <c r="BO612" t="s">
        <v>4305</v>
      </c>
      <c r="BP612" t="s">
        <v>74</v>
      </c>
      <c r="BQ612" t="s">
        <v>74</v>
      </c>
      <c r="BR612" t="s">
        <v>103</v>
      </c>
      <c r="BS612" t="s">
        <v>11865</v>
      </c>
      <c r="BT612" t="str">
        <f>HYPERLINK("https%3A%2F%2Fwww.webofscience.com%2Fwos%2Fwoscc%2Ffull-record%2FWOS:000362125300051","View Full Record in Web of Science")</f>
        <v>View Full Record in Web of Science</v>
      </c>
    </row>
    <row r="613" spans="1:72" x14ac:dyDescent="0.15">
      <c r="A613" t="s">
        <v>72</v>
      </c>
      <c r="B613" t="s">
        <v>11866</v>
      </c>
      <c r="C613" t="s">
        <v>74</v>
      </c>
      <c r="D613" t="s">
        <v>74</v>
      </c>
      <c r="E613" t="s">
        <v>74</v>
      </c>
      <c r="F613" t="s">
        <v>11867</v>
      </c>
      <c r="G613" t="s">
        <v>74</v>
      </c>
      <c r="H613" t="s">
        <v>74</v>
      </c>
      <c r="I613" t="s">
        <v>11868</v>
      </c>
      <c r="J613" t="s">
        <v>11869</v>
      </c>
      <c r="K613" t="s">
        <v>74</v>
      </c>
      <c r="L613" t="s">
        <v>74</v>
      </c>
      <c r="M613" t="s">
        <v>78</v>
      </c>
      <c r="N613" t="s">
        <v>79</v>
      </c>
      <c r="O613" t="s">
        <v>74</v>
      </c>
      <c r="P613" t="s">
        <v>74</v>
      </c>
      <c r="Q613" t="s">
        <v>74</v>
      </c>
      <c r="R613" t="s">
        <v>74</v>
      </c>
      <c r="S613" t="s">
        <v>74</v>
      </c>
      <c r="T613" t="s">
        <v>74</v>
      </c>
      <c r="U613" t="s">
        <v>11870</v>
      </c>
      <c r="V613" t="s">
        <v>11871</v>
      </c>
      <c r="W613" t="s">
        <v>11872</v>
      </c>
      <c r="X613" t="s">
        <v>11873</v>
      </c>
      <c r="Y613" t="s">
        <v>11874</v>
      </c>
      <c r="Z613" t="s">
        <v>4868</v>
      </c>
      <c r="AA613" t="s">
        <v>11875</v>
      </c>
      <c r="AB613" t="s">
        <v>11876</v>
      </c>
      <c r="AC613" t="s">
        <v>11877</v>
      </c>
      <c r="AD613" t="s">
        <v>206</v>
      </c>
      <c r="AE613" t="s">
        <v>11878</v>
      </c>
      <c r="AF613" t="s">
        <v>74</v>
      </c>
      <c r="AG613">
        <v>53</v>
      </c>
      <c r="AH613">
        <v>49</v>
      </c>
      <c r="AI613">
        <v>51</v>
      </c>
      <c r="AJ613">
        <v>6</v>
      </c>
      <c r="AK613">
        <v>78</v>
      </c>
      <c r="AL613" t="s">
        <v>2279</v>
      </c>
      <c r="AM613" t="s">
        <v>398</v>
      </c>
      <c r="AN613" t="s">
        <v>2280</v>
      </c>
      <c r="AO613" t="s">
        <v>11879</v>
      </c>
      <c r="AP613" t="s">
        <v>11880</v>
      </c>
      <c r="AQ613" t="s">
        <v>74</v>
      </c>
      <c r="AR613" t="s">
        <v>11881</v>
      </c>
      <c r="AS613" t="s">
        <v>11882</v>
      </c>
      <c r="AT613" t="s">
        <v>9714</v>
      </c>
      <c r="AU613">
        <v>2015</v>
      </c>
      <c r="AV613">
        <v>81</v>
      </c>
      <c r="AW613" t="s">
        <v>74</v>
      </c>
      <c r="AX613">
        <v>3</v>
      </c>
      <c r="AY613" t="s">
        <v>74</v>
      </c>
      <c r="AZ613" t="s">
        <v>74</v>
      </c>
      <c r="BA613" t="s">
        <v>74</v>
      </c>
      <c r="BB613">
        <v>322</v>
      </c>
      <c r="BC613">
        <v>334</v>
      </c>
      <c r="BD613" t="s">
        <v>74</v>
      </c>
      <c r="BE613" t="s">
        <v>11883</v>
      </c>
      <c r="BF613" t="str">
        <f>HYPERLINK("http://dx.doi.org/10.1093/mollus/eyv013","http://dx.doi.org/10.1093/mollus/eyv013")</f>
        <v>http://dx.doi.org/10.1093/mollus/eyv013</v>
      </c>
      <c r="BG613" t="s">
        <v>74</v>
      </c>
      <c r="BH613" t="s">
        <v>74</v>
      </c>
      <c r="BI613">
        <v>13</v>
      </c>
      <c r="BJ613" t="s">
        <v>2581</v>
      </c>
      <c r="BK613" t="s">
        <v>101</v>
      </c>
      <c r="BL613" t="s">
        <v>2581</v>
      </c>
      <c r="BM613" t="s">
        <v>11884</v>
      </c>
      <c r="BN613" t="s">
        <v>74</v>
      </c>
      <c r="BO613" t="s">
        <v>162</v>
      </c>
      <c r="BP613" t="s">
        <v>74</v>
      </c>
      <c r="BQ613" t="s">
        <v>74</v>
      </c>
      <c r="BR613" t="s">
        <v>103</v>
      </c>
      <c r="BS613" t="s">
        <v>11885</v>
      </c>
      <c r="BT613" t="str">
        <f>HYPERLINK("https%3A%2F%2Fwww.webofscience.com%2Fwos%2Fwoscc%2Ffull-record%2FWOS:000359657200002","View Full Record in Web of Science")</f>
        <v>View Full Record in Web of Science</v>
      </c>
    </row>
    <row r="614" spans="1:72" x14ac:dyDescent="0.15">
      <c r="A614" t="s">
        <v>72</v>
      </c>
      <c r="B614" t="s">
        <v>5981</v>
      </c>
      <c r="C614" t="s">
        <v>74</v>
      </c>
      <c r="D614" t="s">
        <v>74</v>
      </c>
      <c r="E614" t="s">
        <v>74</v>
      </c>
      <c r="F614" t="s">
        <v>5982</v>
      </c>
      <c r="G614" t="s">
        <v>74</v>
      </c>
      <c r="H614" t="s">
        <v>74</v>
      </c>
      <c r="I614" t="s">
        <v>11886</v>
      </c>
      <c r="J614" t="s">
        <v>2951</v>
      </c>
      <c r="K614" t="s">
        <v>74</v>
      </c>
      <c r="L614" t="s">
        <v>74</v>
      </c>
      <c r="M614" t="s">
        <v>78</v>
      </c>
      <c r="N614" t="s">
        <v>79</v>
      </c>
      <c r="O614" t="s">
        <v>74</v>
      </c>
      <c r="P614" t="s">
        <v>74</v>
      </c>
      <c r="Q614" t="s">
        <v>74</v>
      </c>
      <c r="R614" t="s">
        <v>74</v>
      </c>
      <c r="S614" t="s">
        <v>74</v>
      </c>
      <c r="T614" t="s">
        <v>11887</v>
      </c>
      <c r="U614" t="s">
        <v>11888</v>
      </c>
      <c r="V614" t="s">
        <v>11889</v>
      </c>
      <c r="W614" t="s">
        <v>5984</v>
      </c>
      <c r="X614" t="s">
        <v>2956</v>
      </c>
      <c r="Y614" t="s">
        <v>5985</v>
      </c>
      <c r="Z614" t="s">
        <v>5986</v>
      </c>
      <c r="AA614" t="s">
        <v>11890</v>
      </c>
      <c r="AB614" t="s">
        <v>11891</v>
      </c>
      <c r="AC614" t="s">
        <v>74</v>
      </c>
      <c r="AD614" t="s">
        <v>74</v>
      </c>
      <c r="AE614" t="s">
        <v>74</v>
      </c>
      <c r="AF614" t="s">
        <v>74</v>
      </c>
      <c r="AG614">
        <v>62</v>
      </c>
      <c r="AH614">
        <v>65</v>
      </c>
      <c r="AI614">
        <v>68</v>
      </c>
      <c r="AJ614">
        <v>2</v>
      </c>
      <c r="AK614">
        <v>76</v>
      </c>
      <c r="AL614" t="s">
        <v>208</v>
      </c>
      <c r="AM614" t="s">
        <v>209</v>
      </c>
      <c r="AN614" t="s">
        <v>210</v>
      </c>
      <c r="AO614" t="s">
        <v>2961</v>
      </c>
      <c r="AP614" t="s">
        <v>2962</v>
      </c>
      <c r="AQ614" t="s">
        <v>74</v>
      </c>
      <c r="AR614" t="s">
        <v>2963</v>
      </c>
      <c r="AS614" t="s">
        <v>2964</v>
      </c>
      <c r="AT614" t="s">
        <v>9714</v>
      </c>
      <c r="AU614">
        <v>2015</v>
      </c>
      <c r="AV614">
        <v>51</v>
      </c>
      <c r="AW614">
        <v>4</v>
      </c>
      <c r="AX614" t="s">
        <v>74</v>
      </c>
      <c r="AY614" t="s">
        <v>74</v>
      </c>
      <c r="AZ614" t="s">
        <v>74</v>
      </c>
      <c r="BA614" t="s">
        <v>74</v>
      </c>
      <c r="BB614">
        <v>599</v>
      </c>
      <c r="BC614">
        <v>605</v>
      </c>
      <c r="BD614" t="s">
        <v>74</v>
      </c>
      <c r="BE614" t="s">
        <v>11892</v>
      </c>
      <c r="BF614" t="str">
        <f>HYPERLINK("http://dx.doi.org/10.1111/jpy.12307","http://dx.doi.org/10.1111/jpy.12307")</f>
        <v>http://dx.doi.org/10.1111/jpy.12307</v>
      </c>
      <c r="BG614" t="s">
        <v>74</v>
      </c>
      <c r="BH614" t="s">
        <v>74</v>
      </c>
      <c r="BI614">
        <v>7</v>
      </c>
      <c r="BJ614" t="s">
        <v>2966</v>
      </c>
      <c r="BK614" t="s">
        <v>101</v>
      </c>
      <c r="BL614" t="s">
        <v>2966</v>
      </c>
      <c r="BM614" t="s">
        <v>11893</v>
      </c>
      <c r="BN614">
        <v>26986784</v>
      </c>
      <c r="BO614" t="s">
        <v>74</v>
      </c>
      <c r="BP614" t="s">
        <v>74</v>
      </c>
      <c r="BQ614" t="s">
        <v>74</v>
      </c>
      <c r="BR614" t="s">
        <v>103</v>
      </c>
      <c r="BS614" t="s">
        <v>11894</v>
      </c>
      <c r="BT614" t="str">
        <f>HYPERLINK("https%3A%2F%2Fwww.webofscience.com%2Fwos%2Fwoscc%2Ffull-record%2FWOS:000359918800002","View Full Record in Web of Science")</f>
        <v>View Full Record in Web of Science</v>
      </c>
    </row>
    <row r="615" spans="1:72" x14ac:dyDescent="0.15">
      <c r="A615" t="s">
        <v>72</v>
      </c>
      <c r="B615" t="s">
        <v>11895</v>
      </c>
      <c r="C615" t="s">
        <v>74</v>
      </c>
      <c r="D615" t="s">
        <v>74</v>
      </c>
      <c r="E615" t="s">
        <v>74</v>
      </c>
      <c r="F615" t="s">
        <v>11896</v>
      </c>
      <c r="G615" t="s">
        <v>74</v>
      </c>
      <c r="H615" t="s">
        <v>74</v>
      </c>
      <c r="I615" t="s">
        <v>11897</v>
      </c>
      <c r="J615" t="s">
        <v>4365</v>
      </c>
      <c r="K615" t="s">
        <v>74</v>
      </c>
      <c r="L615" t="s">
        <v>74</v>
      </c>
      <c r="M615" t="s">
        <v>78</v>
      </c>
      <c r="N615" t="s">
        <v>79</v>
      </c>
      <c r="O615" t="s">
        <v>74</v>
      </c>
      <c r="P615" t="s">
        <v>74</v>
      </c>
      <c r="Q615" t="s">
        <v>74</v>
      </c>
      <c r="R615" t="s">
        <v>74</v>
      </c>
      <c r="S615" t="s">
        <v>74</v>
      </c>
      <c r="T615" t="s">
        <v>74</v>
      </c>
      <c r="U615" t="s">
        <v>11898</v>
      </c>
      <c r="V615" t="s">
        <v>11899</v>
      </c>
      <c r="W615" t="s">
        <v>11900</v>
      </c>
      <c r="X615" t="s">
        <v>11901</v>
      </c>
      <c r="Y615" t="s">
        <v>11902</v>
      </c>
      <c r="Z615" t="s">
        <v>11903</v>
      </c>
      <c r="AA615" t="s">
        <v>11904</v>
      </c>
      <c r="AB615" t="s">
        <v>11905</v>
      </c>
      <c r="AC615" t="s">
        <v>11906</v>
      </c>
      <c r="AD615" t="s">
        <v>5526</v>
      </c>
      <c r="AE615" t="s">
        <v>74</v>
      </c>
      <c r="AF615" t="s">
        <v>74</v>
      </c>
      <c r="AG615">
        <v>58</v>
      </c>
      <c r="AH615">
        <v>16</v>
      </c>
      <c r="AI615">
        <v>17</v>
      </c>
      <c r="AJ615">
        <v>1</v>
      </c>
      <c r="AK615">
        <v>20</v>
      </c>
      <c r="AL615" t="s">
        <v>263</v>
      </c>
      <c r="AM615" t="s">
        <v>264</v>
      </c>
      <c r="AN615" t="s">
        <v>265</v>
      </c>
      <c r="AO615" t="s">
        <v>4378</v>
      </c>
      <c r="AP615" t="s">
        <v>4379</v>
      </c>
      <c r="AQ615" t="s">
        <v>74</v>
      </c>
      <c r="AR615" t="s">
        <v>4380</v>
      </c>
      <c r="AS615" t="s">
        <v>4381</v>
      </c>
      <c r="AT615" t="s">
        <v>9714</v>
      </c>
      <c r="AU615">
        <v>2015</v>
      </c>
      <c r="AV615">
        <v>45</v>
      </c>
      <c r="AW615">
        <v>8</v>
      </c>
      <c r="AX615" t="s">
        <v>74</v>
      </c>
      <c r="AY615" t="s">
        <v>74</v>
      </c>
      <c r="AZ615" t="s">
        <v>74</v>
      </c>
      <c r="BA615" t="s">
        <v>74</v>
      </c>
      <c r="BB615">
        <v>2025</v>
      </c>
      <c r="BC615">
        <v>2047</v>
      </c>
      <c r="BD615" t="s">
        <v>74</v>
      </c>
      <c r="BE615" t="s">
        <v>11907</v>
      </c>
      <c r="BF615" t="str">
        <f>HYPERLINK("http://dx.doi.org/10.1175/JPO-D-14-0184.1","http://dx.doi.org/10.1175/JPO-D-14-0184.1")</f>
        <v>http://dx.doi.org/10.1175/JPO-D-14-0184.1</v>
      </c>
      <c r="BG615" t="s">
        <v>74</v>
      </c>
      <c r="BH615" t="s">
        <v>74</v>
      </c>
      <c r="BI615">
        <v>23</v>
      </c>
      <c r="BJ615" t="s">
        <v>339</v>
      </c>
      <c r="BK615" t="s">
        <v>101</v>
      </c>
      <c r="BL615" t="s">
        <v>339</v>
      </c>
      <c r="BM615" t="s">
        <v>11908</v>
      </c>
      <c r="BN615" t="s">
        <v>74</v>
      </c>
      <c r="BO615" t="s">
        <v>1528</v>
      </c>
      <c r="BP615" t="s">
        <v>74</v>
      </c>
      <c r="BQ615" t="s">
        <v>74</v>
      </c>
      <c r="BR615" t="s">
        <v>103</v>
      </c>
      <c r="BS615" t="s">
        <v>11909</v>
      </c>
      <c r="BT615" t="str">
        <f>HYPERLINK("https%3A%2F%2Fwww.webofscience.com%2Fwos%2Fwoscc%2Ffull-record%2FWOS:000359749900004","View Full Record in Web of Science")</f>
        <v>View Full Record in Web of Science</v>
      </c>
    </row>
    <row r="616" spans="1:72" x14ac:dyDescent="0.15">
      <c r="A616" t="s">
        <v>72</v>
      </c>
      <c r="B616" t="s">
        <v>11910</v>
      </c>
      <c r="C616" t="s">
        <v>74</v>
      </c>
      <c r="D616" t="s">
        <v>74</v>
      </c>
      <c r="E616" t="s">
        <v>74</v>
      </c>
      <c r="F616" t="s">
        <v>11911</v>
      </c>
      <c r="G616" t="s">
        <v>74</v>
      </c>
      <c r="H616" t="s">
        <v>74</v>
      </c>
      <c r="I616" t="s">
        <v>11912</v>
      </c>
      <c r="J616" t="s">
        <v>7191</v>
      </c>
      <c r="K616" t="s">
        <v>74</v>
      </c>
      <c r="L616" t="s">
        <v>74</v>
      </c>
      <c r="M616" t="s">
        <v>78</v>
      </c>
      <c r="N616" t="s">
        <v>79</v>
      </c>
      <c r="O616" t="s">
        <v>74</v>
      </c>
      <c r="P616" t="s">
        <v>74</v>
      </c>
      <c r="Q616" t="s">
        <v>74</v>
      </c>
      <c r="R616" t="s">
        <v>74</v>
      </c>
      <c r="S616" t="s">
        <v>74</v>
      </c>
      <c r="T616" t="s">
        <v>11913</v>
      </c>
      <c r="U616" t="s">
        <v>11914</v>
      </c>
      <c r="V616" t="s">
        <v>11915</v>
      </c>
      <c r="W616" t="s">
        <v>11916</v>
      </c>
      <c r="X616" t="s">
        <v>11917</v>
      </c>
      <c r="Y616" t="s">
        <v>256</v>
      </c>
      <c r="Z616" t="s">
        <v>257</v>
      </c>
      <c r="AA616" t="s">
        <v>11918</v>
      </c>
      <c r="AB616" t="s">
        <v>11919</v>
      </c>
      <c r="AC616" t="s">
        <v>11920</v>
      </c>
      <c r="AD616" t="s">
        <v>2432</v>
      </c>
      <c r="AE616" t="s">
        <v>11921</v>
      </c>
      <c r="AF616" t="s">
        <v>74</v>
      </c>
      <c r="AG616">
        <v>83</v>
      </c>
      <c r="AH616">
        <v>83</v>
      </c>
      <c r="AI616">
        <v>87</v>
      </c>
      <c r="AJ616">
        <v>0</v>
      </c>
      <c r="AK616">
        <v>38</v>
      </c>
      <c r="AL616" t="s">
        <v>263</v>
      </c>
      <c r="AM616" t="s">
        <v>264</v>
      </c>
      <c r="AN616" t="s">
        <v>265</v>
      </c>
      <c r="AO616" t="s">
        <v>7203</v>
      </c>
      <c r="AP616" t="s">
        <v>7204</v>
      </c>
      <c r="AQ616" t="s">
        <v>74</v>
      </c>
      <c r="AR616" t="s">
        <v>7205</v>
      </c>
      <c r="AS616" t="s">
        <v>7206</v>
      </c>
      <c r="AT616" t="s">
        <v>9714</v>
      </c>
      <c r="AU616">
        <v>2015</v>
      </c>
      <c r="AV616">
        <v>72</v>
      </c>
      <c r="AW616">
        <v>8</v>
      </c>
      <c r="AX616" t="s">
        <v>74</v>
      </c>
      <c r="AY616" t="s">
        <v>74</v>
      </c>
      <c r="AZ616" t="s">
        <v>74</v>
      </c>
      <c r="BA616" t="s">
        <v>74</v>
      </c>
      <c r="BB616">
        <v>3233</v>
      </c>
      <c r="BC616">
        <v>3256</v>
      </c>
      <c r="BD616" t="s">
        <v>74</v>
      </c>
      <c r="BE616" t="s">
        <v>11922</v>
      </c>
      <c r="BF616" t="str">
        <f>HYPERLINK("http://dx.doi.org/10.1175/JAS-D-14-0239.1","http://dx.doi.org/10.1175/JAS-D-14-0239.1")</f>
        <v>http://dx.doi.org/10.1175/JAS-D-14-0239.1</v>
      </c>
      <c r="BG616" t="s">
        <v>74</v>
      </c>
      <c r="BH616" t="s">
        <v>74</v>
      </c>
      <c r="BI616">
        <v>24</v>
      </c>
      <c r="BJ616" t="s">
        <v>271</v>
      </c>
      <c r="BK616" t="s">
        <v>101</v>
      </c>
      <c r="BL616" t="s">
        <v>271</v>
      </c>
      <c r="BM616" t="s">
        <v>10655</v>
      </c>
      <c r="BN616" t="s">
        <v>74</v>
      </c>
      <c r="BO616" t="s">
        <v>74</v>
      </c>
      <c r="BP616" t="s">
        <v>74</v>
      </c>
      <c r="BQ616" t="s">
        <v>74</v>
      </c>
      <c r="BR616" t="s">
        <v>103</v>
      </c>
      <c r="BS616" t="s">
        <v>11923</v>
      </c>
      <c r="BT616" t="str">
        <f>HYPERLINK("https%3A%2F%2Fwww.webofscience.com%2Fwos%2Fwoscc%2Ffull-record%2FWOS:000359350400022","View Full Record in Web of Science")</f>
        <v>View Full Record in Web of Science</v>
      </c>
    </row>
    <row r="617" spans="1:72" x14ac:dyDescent="0.15">
      <c r="A617" t="s">
        <v>72</v>
      </c>
      <c r="B617" t="s">
        <v>11924</v>
      </c>
      <c r="C617" t="s">
        <v>74</v>
      </c>
      <c r="D617" t="s">
        <v>74</v>
      </c>
      <c r="E617" t="s">
        <v>74</v>
      </c>
      <c r="F617" t="s">
        <v>11925</v>
      </c>
      <c r="G617" t="s">
        <v>74</v>
      </c>
      <c r="H617" t="s">
        <v>74</v>
      </c>
      <c r="I617" t="s">
        <v>11926</v>
      </c>
      <c r="J617" t="s">
        <v>11927</v>
      </c>
      <c r="K617" t="s">
        <v>74</v>
      </c>
      <c r="L617" t="s">
        <v>74</v>
      </c>
      <c r="M617" t="s">
        <v>78</v>
      </c>
      <c r="N617" t="s">
        <v>79</v>
      </c>
      <c r="O617" t="s">
        <v>74</v>
      </c>
      <c r="P617" t="s">
        <v>74</v>
      </c>
      <c r="Q617" t="s">
        <v>74</v>
      </c>
      <c r="R617" t="s">
        <v>74</v>
      </c>
      <c r="S617" t="s">
        <v>74</v>
      </c>
      <c r="T617" t="s">
        <v>11928</v>
      </c>
      <c r="U617" t="s">
        <v>11929</v>
      </c>
      <c r="V617" t="s">
        <v>11930</v>
      </c>
      <c r="W617" t="s">
        <v>11931</v>
      </c>
      <c r="X617" t="s">
        <v>11932</v>
      </c>
      <c r="Y617" t="s">
        <v>11933</v>
      </c>
      <c r="Z617" t="s">
        <v>11934</v>
      </c>
      <c r="AA617" t="s">
        <v>11935</v>
      </c>
      <c r="AB617" t="s">
        <v>11936</v>
      </c>
      <c r="AC617" t="s">
        <v>74</v>
      </c>
      <c r="AD617" t="s">
        <v>74</v>
      </c>
      <c r="AE617" t="s">
        <v>74</v>
      </c>
      <c r="AF617" t="s">
        <v>74</v>
      </c>
      <c r="AG617">
        <v>192</v>
      </c>
      <c r="AH617">
        <v>71</v>
      </c>
      <c r="AI617">
        <v>79</v>
      </c>
      <c r="AJ617">
        <v>12</v>
      </c>
      <c r="AK617">
        <v>129</v>
      </c>
      <c r="AL617" t="s">
        <v>741</v>
      </c>
      <c r="AM617" t="s">
        <v>550</v>
      </c>
      <c r="AN617" t="s">
        <v>742</v>
      </c>
      <c r="AO617" t="s">
        <v>11937</v>
      </c>
      <c r="AP617" t="s">
        <v>11938</v>
      </c>
      <c r="AQ617" t="s">
        <v>74</v>
      </c>
      <c r="AR617" t="s">
        <v>11939</v>
      </c>
      <c r="AS617" t="s">
        <v>11940</v>
      </c>
      <c r="AT617" t="s">
        <v>9714</v>
      </c>
      <c r="AU617">
        <v>2015</v>
      </c>
      <c r="AV617">
        <v>95</v>
      </c>
      <c r="AW617">
        <v>5</v>
      </c>
      <c r="AX617" t="s">
        <v>74</v>
      </c>
      <c r="AY617" t="s">
        <v>74</v>
      </c>
      <c r="AZ617" t="s">
        <v>74</v>
      </c>
      <c r="BA617" t="s">
        <v>74</v>
      </c>
      <c r="BB617">
        <v>999</v>
      </c>
      <c r="BC617">
        <v>1015</v>
      </c>
      <c r="BD617" t="s">
        <v>74</v>
      </c>
      <c r="BE617" t="s">
        <v>11941</v>
      </c>
      <c r="BF617" t="str">
        <f>HYPERLINK("http://dx.doi.org/10.1017/S0025315414000782","http://dx.doi.org/10.1017/S0025315414000782")</f>
        <v>http://dx.doi.org/10.1017/S0025315414000782</v>
      </c>
      <c r="BG617" t="s">
        <v>74</v>
      </c>
      <c r="BH617" t="s">
        <v>74</v>
      </c>
      <c r="BI617">
        <v>17</v>
      </c>
      <c r="BJ617" t="s">
        <v>100</v>
      </c>
      <c r="BK617" t="s">
        <v>101</v>
      </c>
      <c r="BL617" t="s">
        <v>100</v>
      </c>
      <c r="BM617" t="s">
        <v>11942</v>
      </c>
      <c r="BN617" t="s">
        <v>74</v>
      </c>
      <c r="BO617" t="s">
        <v>1801</v>
      </c>
      <c r="BP617" t="s">
        <v>74</v>
      </c>
      <c r="BQ617" t="s">
        <v>74</v>
      </c>
      <c r="BR617" t="s">
        <v>103</v>
      </c>
      <c r="BS617" t="s">
        <v>11943</v>
      </c>
      <c r="BT617" t="str">
        <f>HYPERLINK("https%3A%2F%2Fwww.webofscience.com%2Fwos%2Fwoscc%2Ffull-record%2FWOS:000358848400016","View Full Record in Web of Science")</f>
        <v>View Full Record in Web of Science</v>
      </c>
    </row>
    <row r="618" spans="1:72" x14ac:dyDescent="0.15">
      <c r="A618" t="s">
        <v>72</v>
      </c>
      <c r="B618" t="s">
        <v>11944</v>
      </c>
      <c r="C618" t="s">
        <v>74</v>
      </c>
      <c r="D618" t="s">
        <v>74</v>
      </c>
      <c r="E618" t="s">
        <v>74</v>
      </c>
      <c r="F618" t="s">
        <v>11945</v>
      </c>
      <c r="G618" t="s">
        <v>74</v>
      </c>
      <c r="H618" t="s">
        <v>74</v>
      </c>
      <c r="I618" t="s">
        <v>11946</v>
      </c>
      <c r="J618" t="s">
        <v>4412</v>
      </c>
      <c r="K618" t="s">
        <v>74</v>
      </c>
      <c r="L618" t="s">
        <v>74</v>
      </c>
      <c r="M618" t="s">
        <v>78</v>
      </c>
      <c r="N618" t="s">
        <v>79</v>
      </c>
      <c r="O618" t="s">
        <v>74</v>
      </c>
      <c r="P618" t="s">
        <v>74</v>
      </c>
      <c r="Q618" t="s">
        <v>74</v>
      </c>
      <c r="R618" t="s">
        <v>74</v>
      </c>
      <c r="S618" t="s">
        <v>74</v>
      </c>
      <c r="T618" t="s">
        <v>11947</v>
      </c>
      <c r="U618" t="s">
        <v>11948</v>
      </c>
      <c r="V618" t="s">
        <v>11949</v>
      </c>
      <c r="W618" t="s">
        <v>11950</v>
      </c>
      <c r="X618" t="s">
        <v>11951</v>
      </c>
      <c r="Y618" t="s">
        <v>11952</v>
      </c>
      <c r="Z618" t="s">
        <v>11953</v>
      </c>
      <c r="AA618" t="s">
        <v>11954</v>
      </c>
      <c r="AB618" t="s">
        <v>11955</v>
      </c>
      <c r="AC618" t="s">
        <v>11956</v>
      </c>
      <c r="AD618" t="s">
        <v>11956</v>
      </c>
      <c r="AE618" t="s">
        <v>11957</v>
      </c>
      <c r="AF618" t="s">
        <v>74</v>
      </c>
      <c r="AG618">
        <v>42</v>
      </c>
      <c r="AH618">
        <v>12</v>
      </c>
      <c r="AI618">
        <v>13</v>
      </c>
      <c r="AJ618">
        <v>1</v>
      </c>
      <c r="AK618">
        <v>27</v>
      </c>
      <c r="AL618" t="s">
        <v>397</v>
      </c>
      <c r="AM618" t="s">
        <v>398</v>
      </c>
      <c r="AN618" t="s">
        <v>399</v>
      </c>
      <c r="AO618" t="s">
        <v>4425</v>
      </c>
      <c r="AP618" t="s">
        <v>74</v>
      </c>
      <c r="AQ618" t="s">
        <v>74</v>
      </c>
      <c r="AR618" t="s">
        <v>4426</v>
      </c>
      <c r="AS618" t="s">
        <v>4427</v>
      </c>
      <c r="AT618" t="s">
        <v>9714</v>
      </c>
      <c r="AU618">
        <v>2015</v>
      </c>
      <c r="AV618">
        <v>52</v>
      </c>
      <c r="AW618" t="s">
        <v>74</v>
      </c>
      <c r="AX618" t="s">
        <v>74</v>
      </c>
      <c r="AY618" t="s">
        <v>74</v>
      </c>
      <c r="AZ618" t="s">
        <v>74</v>
      </c>
      <c r="BA618" t="s">
        <v>74</v>
      </c>
      <c r="BB618">
        <v>75</v>
      </c>
      <c r="BC618">
        <v>83</v>
      </c>
      <c r="BD618" t="s">
        <v>74</v>
      </c>
      <c r="BE618" t="s">
        <v>11958</v>
      </c>
      <c r="BF618" t="str">
        <f>HYPERLINK("http://dx.doi.org/10.1016/j.jtherbio.2015.06.001","http://dx.doi.org/10.1016/j.jtherbio.2015.06.001")</f>
        <v>http://dx.doi.org/10.1016/j.jtherbio.2015.06.001</v>
      </c>
      <c r="BG618" t="s">
        <v>74</v>
      </c>
      <c r="BH618" t="s">
        <v>74</v>
      </c>
      <c r="BI618">
        <v>9</v>
      </c>
      <c r="BJ618" t="s">
        <v>4429</v>
      </c>
      <c r="BK618" t="s">
        <v>101</v>
      </c>
      <c r="BL618" t="s">
        <v>4430</v>
      </c>
      <c r="BM618" t="s">
        <v>11959</v>
      </c>
      <c r="BN618">
        <v>26267501</v>
      </c>
      <c r="BO618" t="s">
        <v>74</v>
      </c>
      <c r="BP618" t="s">
        <v>74</v>
      </c>
      <c r="BQ618" t="s">
        <v>74</v>
      </c>
      <c r="BR618" t="s">
        <v>103</v>
      </c>
      <c r="BS618" t="s">
        <v>11960</v>
      </c>
      <c r="BT618" t="str">
        <f>HYPERLINK("https%3A%2F%2Fwww.webofscience.com%2Fwos%2Fwoscc%2Ffull-record%2FWOS:000360773300010","View Full Record in Web of Science")</f>
        <v>View Full Record in Web of Science</v>
      </c>
    </row>
    <row r="619" spans="1:72" x14ac:dyDescent="0.15">
      <c r="A619" t="s">
        <v>72</v>
      </c>
      <c r="B619" t="s">
        <v>11961</v>
      </c>
      <c r="C619" t="s">
        <v>74</v>
      </c>
      <c r="D619" t="s">
        <v>74</v>
      </c>
      <c r="E619" t="s">
        <v>74</v>
      </c>
      <c r="F619" t="s">
        <v>11962</v>
      </c>
      <c r="G619" t="s">
        <v>74</v>
      </c>
      <c r="H619" t="s">
        <v>74</v>
      </c>
      <c r="I619" t="s">
        <v>11963</v>
      </c>
      <c r="J619" t="s">
        <v>11964</v>
      </c>
      <c r="K619" t="s">
        <v>74</v>
      </c>
      <c r="L619" t="s">
        <v>74</v>
      </c>
      <c r="M619" t="s">
        <v>4437</v>
      </c>
      <c r="N619" t="s">
        <v>79</v>
      </c>
      <c r="O619" t="s">
        <v>74</v>
      </c>
      <c r="P619" t="s">
        <v>74</v>
      </c>
      <c r="Q619" t="s">
        <v>74</v>
      </c>
      <c r="R619" t="s">
        <v>74</v>
      </c>
      <c r="S619" t="s">
        <v>74</v>
      </c>
      <c r="T619" t="s">
        <v>11965</v>
      </c>
      <c r="U619" t="s">
        <v>74</v>
      </c>
      <c r="V619" t="s">
        <v>11966</v>
      </c>
      <c r="W619" t="s">
        <v>11967</v>
      </c>
      <c r="X619" t="s">
        <v>11968</v>
      </c>
      <c r="Y619" t="s">
        <v>11969</v>
      </c>
      <c r="Z619" t="s">
        <v>11970</v>
      </c>
      <c r="AA619" t="s">
        <v>9084</v>
      </c>
      <c r="AB619" t="s">
        <v>11971</v>
      </c>
      <c r="AC619" t="s">
        <v>74</v>
      </c>
      <c r="AD619" t="s">
        <v>74</v>
      </c>
      <c r="AE619" t="s">
        <v>74</v>
      </c>
      <c r="AF619" t="s">
        <v>74</v>
      </c>
      <c r="AG619">
        <v>34</v>
      </c>
      <c r="AH619">
        <v>2</v>
      </c>
      <c r="AI619">
        <v>2</v>
      </c>
      <c r="AJ619">
        <v>0</v>
      </c>
      <c r="AK619">
        <v>1</v>
      </c>
      <c r="AL619" t="s">
        <v>11972</v>
      </c>
      <c r="AM619" t="s">
        <v>4445</v>
      </c>
      <c r="AN619" t="s">
        <v>11973</v>
      </c>
      <c r="AO619" t="s">
        <v>11974</v>
      </c>
      <c r="AP619" t="s">
        <v>11975</v>
      </c>
      <c r="AQ619" t="s">
        <v>74</v>
      </c>
      <c r="AR619" t="s">
        <v>11976</v>
      </c>
      <c r="AS619" t="s">
        <v>11977</v>
      </c>
      <c r="AT619" t="s">
        <v>9714</v>
      </c>
      <c r="AU619">
        <v>2015</v>
      </c>
      <c r="AV619">
        <v>53</v>
      </c>
      <c r="AW619">
        <v>4</v>
      </c>
      <c r="AX619" t="s">
        <v>74</v>
      </c>
      <c r="AY619" t="s">
        <v>74</v>
      </c>
      <c r="AZ619" t="s">
        <v>74</v>
      </c>
      <c r="BA619" t="s">
        <v>74</v>
      </c>
      <c r="BB619">
        <v>524</v>
      </c>
      <c r="BC619">
        <v>529</v>
      </c>
      <c r="BD619" t="s">
        <v>74</v>
      </c>
      <c r="BE619" t="s">
        <v>11978</v>
      </c>
      <c r="BF619" t="str">
        <f>HYPERLINK("http://dx.doi.org/10.9713/kcer.2015.53.4.524","http://dx.doi.org/10.9713/kcer.2015.53.4.524")</f>
        <v>http://dx.doi.org/10.9713/kcer.2015.53.4.524</v>
      </c>
      <c r="BG619" t="s">
        <v>74</v>
      </c>
      <c r="BH619" t="s">
        <v>74</v>
      </c>
      <c r="BI619">
        <v>6</v>
      </c>
      <c r="BJ619" t="s">
        <v>11979</v>
      </c>
      <c r="BK619" t="s">
        <v>831</v>
      </c>
      <c r="BL619" t="s">
        <v>832</v>
      </c>
      <c r="BM619" t="s">
        <v>11980</v>
      </c>
      <c r="BN619" t="s">
        <v>74</v>
      </c>
      <c r="BO619" t="s">
        <v>1404</v>
      </c>
      <c r="BP619" t="s">
        <v>74</v>
      </c>
      <c r="BQ619" t="s">
        <v>74</v>
      </c>
      <c r="BR619" t="s">
        <v>103</v>
      </c>
      <c r="BS619" t="s">
        <v>11981</v>
      </c>
      <c r="BT619" t="str">
        <f>HYPERLINK("https%3A%2F%2Fwww.webofscience.com%2Fwos%2Fwoscc%2Ffull-record%2FWOS:000437566000020","View Full Record in Web of Science")</f>
        <v>View Full Record in Web of Science</v>
      </c>
    </row>
    <row r="620" spans="1:72" x14ac:dyDescent="0.15">
      <c r="A620" t="s">
        <v>72</v>
      </c>
      <c r="B620" t="s">
        <v>11982</v>
      </c>
      <c r="C620" t="s">
        <v>74</v>
      </c>
      <c r="D620" t="s">
        <v>74</v>
      </c>
      <c r="E620" t="s">
        <v>74</v>
      </c>
      <c r="F620" t="s">
        <v>11983</v>
      </c>
      <c r="G620" t="s">
        <v>74</v>
      </c>
      <c r="H620" t="s">
        <v>74</v>
      </c>
      <c r="I620" t="s">
        <v>11984</v>
      </c>
      <c r="J620" t="s">
        <v>6786</v>
      </c>
      <c r="K620" t="s">
        <v>74</v>
      </c>
      <c r="L620" t="s">
        <v>74</v>
      </c>
      <c r="M620" t="s">
        <v>78</v>
      </c>
      <c r="N620" t="s">
        <v>79</v>
      </c>
      <c r="O620" t="s">
        <v>74</v>
      </c>
      <c r="P620" t="s">
        <v>74</v>
      </c>
      <c r="Q620" t="s">
        <v>74</v>
      </c>
      <c r="R620" t="s">
        <v>74</v>
      </c>
      <c r="S620" t="s">
        <v>74</v>
      </c>
      <c r="T620" t="s">
        <v>11985</v>
      </c>
      <c r="U620" t="s">
        <v>11986</v>
      </c>
      <c r="V620" t="s">
        <v>11987</v>
      </c>
      <c r="W620" t="s">
        <v>11988</v>
      </c>
      <c r="X620" t="s">
        <v>11989</v>
      </c>
      <c r="Y620" t="s">
        <v>11990</v>
      </c>
      <c r="Z620" t="s">
        <v>11991</v>
      </c>
      <c r="AA620" t="s">
        <v>11992</v>
      </c>
      <c r="AB620" t="s">
        <v>11993</v>
      </c>
      <c r="AC620" t="s">
        <v>11994</v>
      </c>
      <c r="AD620" t="s">
        <v>11995</v>
      </c>
      <c r="AE620" t="s">
        <v>11996</v>
      </c>
      <c r="AF620" t="s">
        <v>74</v>
      </c>
      <c r="AG620">
        <v>43</v>
      </c>
      <c r="AH620">
        <v>51</v>
      </c>
      <c r="AI620">
        <v>55</v>
      </c>
      <c r="AJ620">
        <v>0</v>
      </c>
      <c r="AK620">
        <v>43</v>
      </c>
      <c r="AL620" t="s">
        <v>6460</v>
      </c>
      <c r="AM620" t="s">
        <v>3041</v>
      </c>
      <c r="AN620" t="s">
        <v>6461</v>
      </c>
      <c r="AO620" t="s">
        <v>74</v>
      </c>
      <c r="AP620" t="s">
        <v>6799</v>
      </c>
      <c r="AQ620" t="s">
        <v>74</v>
      </c>
      <c r="AR620" t="s">
        <v>6800</v>
      </c>
      <c r="AS620" t="s">
        <v>6801</v>
      </c>
      <c r="AT620" t="s">
        <v>9714</v>
      </c>
      <c r="AU620">
        <v>2015</v>
      </c>
      <c r="AV620">
        <v>13</v>
      </c>
      <c r="AW620">
        <v>8</v>
      </c>
      <c r="AX620" t="s">
        <v>74</v>
      </c>
      <c r="AY620" t="s">
        <v>74</v>
      </c>
      <c r="AZ620" t="s">
        <v>74</v>
      </c>
      <c r="BA620" t="s">
        <v>74</v>
      </c>
      <c r="BB620">
        <v>4617</v>
      </c>
      <c r="BC620">
        <v>4632</v>
      </c>
      <c r="BD620" t="s">
        <v>74</v>
      </c>
      <c r="BE620" t="s">
        <v>11997</v>
      </c>
      <c r="BF620" t="str">
        <f>HYPERLINK("http://dx.doi.org/10.3390/md13084617","http://dx.doi.org/10.3390/md13084617")</f>
        <v>http://dx.doi.org/10.3390/md13084617</v>
      </c>
      <c r="BG620" t="s">
        <v>74</v>
      </c>
      <c r="BH620" t="s">
        <v>74</v>
      </c>
      <c r="BI620">
        <v>16</v>
      </c>
      <c r="BJ620" t="s">
        <v>6803</v>
      </c>
      <c r="BK620" t="s">
        <v>101</v>
      </c>
      <c r="BL620" t="s">
        <v>6804</v>
      </c>
      <c r="BM620" t="s">
        <v>11998</v>
      </c>
      <c r="BN620">
        <v>26225984</v>
      </c>
      <c r="BO620" t="s">
        <v>11999</v>
      </c>
      <c r="BP620" t="s">
        <v>74</v>
      </c>
      <c r="BQ620" t="s">
        <v>74</v>
      </c>
      <c r="BR620" t="s">
        <v>103</v>
      </c>
      <c r="BS620" t="s">
        <v>12000</v>
      </c>
      <c r="BT620" t="str">
        <f>HYPERLINK("https%3A%2F%2Fwww.webofscience.com%2Fwos%2Fwoscc%2Ffull-record%2FWOS:000360625700003","View Full Record in Web of Science")</f>
        <v>View Full Record in Web of Science</v>
      </c>
    </row>
    <row r="621" spans="1:72" x14ac:dyDescent="0.15">
      <c r="A621" t="s">
        <v>72</v>
      </c>
      <c r="B621" t="s">
        <v>12001</v>
      </c>
      <c r="C621" t="s">
        <v>74</v>
      </c>
      <c r="D621" t="s">
        <v>74</v>
      </c>
      <c r="E621" t="s">
        <v>74</v>
      </c>
      <c r="F621" t="s">
        <v>12002</v>
      </c>
      <c r="G621" t="s">
        <v>74</v>
      </c>
      <c r="H621" t="s">
        <v>74</v>
      </c>
      <c r="I621" t="s">
        <v>12003</v>
      </c>
      <c r="J621" t="s">
        <v>12004</v>
      </c>
      <c r="K621" t="s">
        <v>74</v>
      </c>
      <c r="L621" t="s">
        <v>74</v>
      </c>
      <c r="M621" t="s">
        <v>78</v>
      </c>
      <c r="N621" t="s">
        <v>79</v>
      </c>
      <c r="O621" t="s">
        <v>74</v>
      </c>
      <c r="P621" t="s">
        <v>74</v>
      </c>
      <c r="Q621" t="s">
        <v>74</v>
      </c>
      <c r="R621" t="s">
        <v>74</v>
      </c>
      <c r="S621" t="s">
        <v>74</v>
      </c>
      <c r="T621" t="s">
        <v>12005</v>
      </c>
      <c r="U621" t="s">
        <v>12006</v>
      </c>
      <c r="V621" t="s">
        <v>12007</v>
      </c>
      <c r="W621" t="s">
        <v>12008</v>
      </c>
      <c r="X621" t="s">
        <v>12009</v>
      </c>
      <c r="Y621" t="s">
        <v>12010</v>
      </c>
      <c r="Z621" t="s">
        <v>12011</v>
      </c>
      <c r="AA621" t="s">
        <v>12012</v>
      </c>
      <c r="AB621" t="s">
        <v>12013</v>
      </c>
      <c r="AC621" t="s">
        <v>12014</v>
      </c>
      <c r="AD621" t="s">
        <v>12015</v>
      </c>
      <c r="AE621" t="s">
        <v>12016</v>
      </c>
      <c r="AF621" t="s">
        <v>74</v>
      </c>
      <c r="AG621">
        <v>77</v>
      </c>
      <c r="AH621">
        <v>35</v>
      </c>
      <c r="AI621">
        <v>39</v>
      </c>
      <c r="AJ621">
        <v>0</v>
      </c>
      <c r="AK621">
        <v>25</v>
      </c>
      <c r="AL621" t="s">
        <v>92</v>
      </c>
      <c r="AM621" t="s">
        <v>550</v>
      </c>
      <c r="AN621" t="s">
        <v>1398</v>
      </c>
      <c r="AO621" t="s">
        <v>12017</v>
      </c>
      <c r="AP621" t="s">
        <v>12018</v>
      </c>
      <c r="AQ621" t="s">
        <v>74</v>
      </c>
      <c r="AR621" t="s">
        <v>12019</v>
      </c>
      <c r="AS621" t="s">
        <v>12020</v>
      </c>
      <c r="AT621" t="s">
        <v>9714</v>
      </c>
      <c r="AU621">
        <v>2015</v>
      </c>
      <c r="AV621">
        <v>70</v>
      </c>
      <c r="AW621">
        <v>2</v>
      </c>
      <c r="AX621" t="s">
        <v>74</v>
      </c>
      <c r="AY621" t="s">
        <v>74</v>
      </c>
      <c r="AZ621" t="s">
        <v>74</v>
      </c>
      <c r="BA621" t="s">
        <v>74</v>
      </c>
      <c r="BB621">
        <v>484</v>
      </c>
      <c r="BC621">
        <v>497</v>
      </c>
      <c r="BD621" t="s">
        <v>74</v>
      </c>
      <c r="BE621" t="s">
        <v>12021</v>
      </c>
      <c r="BF621" t="str">
        <f>HYPERLINK("http://dx.doi.org/10.1007/s00248-015-0568-9","http://dx.doi.org/10.1007/s00248-015-0568-9")</f>
        <v>http://dx.doi.org/10.1007/s00248-015-0568-9</v>
      </c>
      <c r="BG621" t="s">
        <v>74</v>
      </c>
      <c r="BH621" t="s">
        <v>74</v>
      </c>
      <c r="BI621">
        <v>14</v>
      </c>
      <c r="BJ621" t="s">
        <v>12022</v>
      </c>
      <c r="BK621" t="s">
        <v>101</v>
      </c>
      <c r="BL621" t="s">
        <v>12023</v>
      </c>
      <c r="BM621" t="s">
        <v>12024</v>
      </c>
      <c r="BN621">
        <v>25704316</v>
      </c>
      <c r="BO621" t="s">
        <v>190</v>
      </c>
      <c r="BP621" t="s">
        <v>74</v>
      </c>
      <c r="BQ621" t="s">
        <v>74</v>
      </c>
      <c r="BR621" t="s">
        <v>103</v>
      </c>
      <c r="BS621" t="s">
        <v>12025</v>
      </c>
      <c r="BT621" t="str">
        <f>HYPERLINK("https%3A%2F%2Fwww.webofscience.com%2Fwos%2Fwoscc%2Ffull-record%2FWOS:000357680900017","View Full Record in Web of Science")</f>
        <v>View Full Record in Web of Science</v>
      </c>
    </row>
    <row r="622" spans="1:72" x14ac:dyDescent="0.15">
      <c r="A622" t="s">
        <v>72</v>
      </c>
      <c r="B622" t="s">
        <v>12026</v>
      </c>
      <c r="C622" t="s">
        <v>74</v>
      </c>
      <c r="D622" t="s">
        <v>74</v>
      </c>
      <c r="E622" t="s">
        <v>74</v>
      </c>
      <c r="F622" t="s">
        <v>12027</v>
      </c>
      <c r="G622" t="s">
        <v>74</v>
      </c>
      <c r="H622" t="s">
        <v>74</v>
      </c>
      <c r="I622" t="s">
        <v>12028</v>
      </c>
      <c r="J622" t="s">
        <v>7246</v>
      </c>
      <c r="K622" t="s">
        <v>74</v>
      </c>
      <c r="L622" t="s">
        <v>74</v>
      </c>
      <c r="M622" t="s">
        <v>78</v>
      </c>
      <c r="N622" t="s">
        <v>79</v>
      </c>
      <c r="O622" t="s">
        <v>74</v>
      </c>
      <c r="P622" t="s">
        <v>74</v>
      </c>
      <c r="Q622" t="s">
        <v>74</v>
      </c>
      <c r="R622" t="s">
        <v>74</v>
      </c>
      <c r="S622" t="s">
        <v>74</v>
      </c>
      <c r="T622" t="s">
        <v>74</v>
      </c>
      <c r="U622" t="s">
        <v>12029</v>
      </c>
      <c r="V622" t="s">
        <v>12030</v>
      </c>
      <c r="W622" t="s">
        <v>12031</v>
      </c>
      <c r="X622" t="s">
        <v>12032</v>
      </c>
      <c r="Y622" t="s">
        <v>12033</v>
      </c>
      <c r="Z622" t="s">
        <v>12034</v>
      </c>
      <c r="AA622" t="s">
        <v>12035</v>
      </c>
      <c r="AB622" t="s">
        <v>12036</v>
      </c>
      <c r="AC622" t="s">
        <v>12037</v>
      </c>
      <c r="AD622" t="s">
        <v>12038</v>
      </c>
      <c r="AE622" t="s">
        <v>12039</v>
      </c>
      <c r="AF622" t="s">
        <v>74</v>
      </c>
      <c r="AG622">
        <v>33</v>
      </c>
      <c r="AH622">
        <v>32</v>
      </c>
      <c r="AI622">
        <v>36</v>
      </c>
      <c r="AJ622">
        <v>1</v>
      </c>
      <c r="AK622">
        <v>68</v>
      </c>
      <c r="AL622" t="s">
        <v>7257</v>
      </c>
      <c r="AM622" t="s">
        <v>7258</v>
      </c>
      <c r="AN622" t="s">
        <v>7259</v>
      </c>
      <c r="AO622" t="s">
        <v>7260</v>
      </c>
      <c r="AP622" t="s">
        <v>7261</v>
      </c>
      <c r="AQ622" t="s">
        <v>74</v>
      </c>
      <c r="AR622" t="s">
        <v>7262</v>
      </c>
      <c r="AS622" t="s">
        <v>7263</v>
      </c>
      <c r="AT622" t="s">
        <v>9714</v>
      </c>
      <c r="AU622">
        <v>2015</v>
      </c>
      <c r="AV622">
        <v>168</v>
      </c>
      <c r="AW622">
        <v>4</v>
      </c>
      <c r="AX622" t="s">
        <v>74</v>
      </c>
      <c r="AY622" t="s">
        <v>74</v>
      </c>
      <c r="AZ622" t="s">
        <v>74</v>
      </c>
      <c r="BA622" t="s">
        <v>74</v>
      </c>
      <c r="BB622">
        <v>1636</v>
      </c>
      <c r="BC622">
        <v>1647</v>
      </c>
      <c r="BD622" t="s">
        <v>74</v>
      </c>
      <c r="BE622" t="s">
        <v>12040</v>
      </c>
      <c r="BF622" t="str">
        <f>HYPERLINK("http://dx.doi.org/10.1104/pp.15.00333","http://dx.doi.org/10.1104/pp.15.00333")</f>
        <v>http://dx.doi.org/10.1104/pp.15.00333</v>
      </c>
      <c r="BG622" t="s">
        <v>74</v>
      </c>
      <c r="BH622" t="s">
        <v>74</v>
      </c>
      <c r="BI622">
        <v>12</v>
      </c>
      <c r="BJ622" t="s">
        <v>429</v>
      </c>
      <c r="BK622" t="s">
        <v>101</v>
      </c>
      <c r="BL622" t="s">
        <v>429</v>
      </c>
      <c r="BM622" t="s">
        <v>12041</v>
      </c>
      <c r="BN622">
        <v>26091819</v>
      </c>
      <c r="BO622" t="s">
        <v>908</v>
      </c>
      <c r="BP622" t="s">
        <v>74</v>
      </c>
      <c r="BQ622" t="s">
        <v>74</v>
      </c>
      <c r="BR622" t="s">
        <v>103</v>
      </c>
      <c r="BS622" t="s">
        <v>12042</v>
      </c>
      <c r="BT622" t="str">
        <f>HYPERLINK("https%3A%2F%2Fwww.webofscience.com%2Fwos%2Fwoscc%2Ffull-record%2FWOS:000359317400038","View Full Record in Web of Science")</f>
        <v>View Full Record in Web of Science</v>
      </c>
    </row>
    <row r="623" spans="1:72" x14ac:dyDescent="0.15">
      <c r="A623" t="s">
        <v>72</v>
      </c>
      <c r="B623" t="s">
        <v>12043</v>
      </c>
      <c r="C623" t="s">
        <v>74</v>
      </c>
      <c r="D623" t="s">
        <v>74</v>
      </c>
      <c r="E623" t="s">
        <v>74</v>
      </c>
      <c r="F623" t="s">
        <v>12044</v>
      </c>
      <c r="G623" t="s">
        <v>74</v>
      </c>
      <c r="H623" t="s">
        <v>74</v>
      </c>
      <c r="I623" t="s">
        <v>12045</v>
      </c>
      <c r="J623" t="s">
        <v>4759</v>
      </c>
      <c r="K623" t="s">
        <v>74</v>
      </c>
      <c r="L623" t="s">
        <v>74</v>
      </c>
      <c r="M623" t="s">
        <v>78</v>
      </c>
      <c r="N623" t="s">
        <v>79</v>
      </c>
      <c r="O623" t="s">
        <v>74</v>
      </c>
      <c r="P623" t="s">
        <v>74</v>
      </c>
      <c r="Q623" t="s">
        <v>74</v>
      </c>
      <c r="R623" t="s">
        <v>74</v>
      </c>
      <c r="S623" t="s">
        <v>74</v>
      </c>
      <c r="T623" t="s">
        <v>12046</v>
      </c>
      <c r="U623" t="s">
        <v>12047</v>
      </c>
      <c r="V623" t="s">
        <v>12048</v>
      </c>
      <c r="W623" t="s">
        <v>12049</v>
      </c>
      <c r="X623" t="s">
        <v>12050</v>
      </c>
      <c r="Y623" t="s">
        <v>12051</v>
      </c>
      <c r="Z623" t="s">
        <v>12052</v>
      </c>
      <c r="AA623" t="s">
        <v>12053</v>
      </c>
      <c r="AB623" t="s">
        <v>12054</v>
      </c>
      <c r="AC623" t="s">
        <v>12055</v>
      </c>
      <c r="AD623" t="s">
        <v>12056</v>
      </c>
      <c r="AE623" t="s">
        <v>12057</v>
      </c>
      <c r="AF623" t="s">
        <v>74</v>
      </c>
      <c r="AG623">
        <v>37</v>
      </c>
      <c r="AH623">
        <v>54</v>
      </c>
      <c r="AI623">
        <v>59</v>
      </c>
      <c r="AJ623">
        <v>4</v>
      </c>
      <c r="AK623">
        <v>48</v>
      </c>
      <c r="AL623" t="s">
        <v>92</v>
      </c>
      <c r="AM623" t="s">
        <v>550</v>
      </c>
      <c r="AN623" t="s">
        <v>1398</v>
      </c>
      <c r="AO623" t="s">
        <v>4773</v>
      </c>
      <c r="AP623" t="s">
        <v>4774</v>
      </c>
      <c r="AQ623" t="s">
        <v>74</v>
      </c>
      <c r="AR623" t="s">
        <v>4775</v>
      </c>
      <c r="AS623" t="s">
        <v>4776</v>
      </c>
      <c r="AT623" t="s">
        <v>9714</v>
      </c>
      <c r="AU623">
        <v>2015</v>
      </c>
      <c r="AV623">
        <v>38</v>
      </c>
      <c r="AW623">
        <v>8</v>
      </c>
      <c r="AX623" t="s">
        <v>74</v>
      </c>
      <c r="AY623" t="s">
        <v>74</v>
      </c>
      <c r="AZ623" t="s">
        <v>74</v>
      </c>
      <c r="BA623" t="s">
        <v>74</v>
      </c>
      <c r="BB623">
        <v>1143</v>
      </c>
      <c r="BC623">
        <v>1152</v>
      </c>
      <c r="BD623" t="s">
        <v>74</v>
      </c>
      <c r="BE623" t="s">
        <v>12058</v>
      </c>
      <c r="BF623" t="str">
        <f>HYPERLINK("http://dx.doi.org/10.1007/s00300-015-1672-5","http://dx.doi.org/10.1007/s00300-015-1672-5")</f>
        <v>http://dx.doi.org/10.1007/s00300-015-1672-5</v>
      </c>
      <c r="BG623" t="s">
        <v>74</v>
      </c>
      <c r="BH623" t="s">
        <v>74</v>
      </c>
      <c r="BI623">
        <v>10</v>
      </c>
      <c r="BJ623" t="s">
        <v>4778</v>
      </c>
      <c r="BK623" t="s">
        <v>101</v>
      </c>
      <c r="BL623" t="s">
        <v>3806</v>
      </c>
      <c r="BM623" t="s">
        <v>11017</v>
      </c>
      <c r="BN623" t="s">
        <v>74</v>
      </c>
      <c r="BO623" t="s">
        <v>74</v>
      </c>
      <c r="BP623" t="s">
        <v>74</v>
      </c>
      <c r="BQ623" t="s">
        <v>74</v>
      </c>
      <c r="BR623" t="s">
        <v>103</v>
      </c>
      <c r="BS623" t="s">
        <v>12059</v>
      </c>
      <c r="BT623" t="str">
        <f>HYPERLINK("https%3A%2F%2Fwww.webofscience.com%2Fwos%2Fwoscc%2Ffull-record%2FWOS:000358041600004","View Full Record in Web of Science")</f>
        <v>View Full Record in Web of Science</v>
      </c>
    </row>
    <row r="624" spans="1:72" x14ac:dyDescent="0.15">
      <c r="A624" t="s">
        <v>72</v>
      </c>
      <c r="B624" t="s">
        <v>12060</v>
      </c>
      <c r="C624" t="s">
        <v>74</v>
      </c>
      <c r="D624" t="s">
        <v>74</v>
      </c>
      <c r="E624" t="s">
        <v>74</v>
      </c>
      <c r="F624" t="s">
        <v>12061</v>
      </c>
      <c r="G624" t="s">
        <v>74</v>
      </c>
      <c r="H624" t="s">
        <v>74</v>
      </c>
      <c r="I624" t="s">
        <v>12062</v>
      </c>
      <c r="J624" t="s">
        <v>4759</v>
      </c>
      <c r="K624" t="s">
        <v>74</v>
      </c>
      <c r="L624" t="s">
        <v>74</v>
      </c>
      <c r="M624" t="s">
        <v>78</v>
      </c>
      <c r="N624" t="s">
        <v>79</v>
      </c>
      <c r="O624" t="s">
        <v>74</v>
      </c>
      <c r="P624" t="s">
        <v>74</v>
      </c>
      <c r="Q624" t="s">
        <v>74</v>
      </c>
      <c r="R624" t="s">
        <v>74</v>
      </c>
      <c r="S624" t="s">
        <v>74</v>
      </c>
      <c r="T624" t="s">
        <v>12063</v>
      </c>
      <c r="U624" t="s">
        <v>12064</v>
      </c>
      <c r="V624" t="s">
        <v>12065</v>
      </c>
      <c r="W624" t="s">
        <v>12066</v>
      </c>
      <c r="X624" t="s">
        <v>12067</v>
      </c>
      <c r="Y624" t="s">
        <v>12068</v>
      </c>
      <c r="Z624" t="s">
        <v>12069</v>
      </c>
      <c r="AA624" t="s">
        <v>12070</v>
      </c>
      <c r="AB624" t="s">
        <v>12071</v>
      </c>
      <c r="AC624" t="s">
        <v>12072</v>
      </c>
      <c r="AD624" t="s">
        <v>12073</v>
      </c>
      <c r="AE624" t="s">
        <v>12074</v>
      </c>
      <c r="AF624" t="s">
        <v>74</v>
      </c>
      <c r="AG624">
        <v>52</v>
      </c>
      <c r="AH624">
        <v>6</v>
      </c>
      <c r="AI624">
        <v>10</v>
      </c>
      <c r="AJ624">
        <v>1</v>
      </c>
      <c r="AK624">
        <v>51</v>
      </c>
      <c r="AL624" t="s">
        <v>92</v>
      </c>
      <c r="AM624" t="s">
        <v>550</v>
      </c>
      <c r="AN624" t="s">
        <v>4772</v>
      </c>
      <c r="AO624" t="s">
        <v>4773</v>
      </c>
      <c r="AP624" t="s">
        <v>4774</v>
      </c>
      <c r="AQ624" t="s">
        <v>74</v>
      </c>
      <c r="AR624" t="s">
        <v>4775</v>
      </c>
      <c r="AS624" t="s">
        <v>4776</v>
      </c>
      <c r="AT624" t="s">
        <v>9714</v>
      </c>
      <c r="AU624">
        <v>2015</v>
      </c>
      <c r="AV624">
        <v>38</v>
      </c>
      <c r="AW624">
        <v>8</v>
      </c>
      <c r="AX624" t="s">
        <v>74</v>
      </c>
      <c r="AY624" t="s">
        <v>74</v>
      </c>
      <c r="AZ624" t="s">
        <v>74</v>
      </c>
      <c r="BA624" t="s">
        <v>74</v>
      </c>
      <c r="BB624">
        <v>1153</v>
      </c>
      <c r="BC624">
        <v>1160</v>
      </c>
      <c r="BD624" t="s">
        <v>74</v>
      </c>
      <c r="BE624" t="s">
        <v>12075</v>
      </c>
      <c r="BF624" t="str">
        <f>HYPERLINK("http://dx.doi.org/10.1007/s00300-015-1673-4","http://dx.doi.org/10.1007/s00300-015-1673-4")</f>
        <v>http://dx.doi.org/10.1007/s00300-015-1673-4</v>
      </c>
      <c r="BG624" t="s">
        <v>74</v>
      </c>
      <c r="BH624" t="s">
        <v>74</v>
      </c>
      <c r="BI624">
        <v>8</v>
      </c>
      <c r="BJ624" t="s">
        <v>4778</v>
      </c>
      <c r="BK624" t="s">
        <v>101</v>
      </c>
      <c r="BL624" t="s">
        <v>3806</v>
      </c>
      <c r="BM624" t="s">
        <v>11017</v>
      </c>
      <c r="BN624" t="s">
        <v>74</v>
      </c>
      <c r="BO624" t="s">
        <v>74</v>
      </c>
      <c r="BP624" t="s">
        <v>74</v>
      </c>
      <c r="BQ624" t="s">
        <v>74</v>
      </c>
      <c r="BR624" t="s">
        <v>103</v>
      </c>
      <c r="BS624" t="s">
        <v>12076</v>
      </c>
      <c r="BT624" t="str">
        <f>HYPERLINK("https%3A%2F%2Fwww.webofscience.com%2Fwos%2Fwoscc%2Ffull-record%2FWOS:000358041600005","View Full Record in Web of Science")</f>
        <v>View Full Record in Web of Science</v>
      </c>
    </row>
    <row r="625" spans="1:72" x14ac:dyDescent="0.15">
      <c r="A625" t="s">
        <v>72</v>
      </c>
      <c r="B625" t="s">
        <v>12077</v>
      </c>
      <c r="C625" t="s">
        <v>74</v>
      </c>
      <c r="D625" t="s">
        <v>74</v>
      </c>
      <c r="E625" t="s">
        <v>74</v>
      </c>
      <c r="F625" t="s">
        <v>12078</v>
      </c>
      <c r="G625" t="s">
        <v>74</v>
      </c>
      <c r="H625" t="s">
        <v>74</v>
      </c>
      <c r="I625" t="s">
        <v>12079</v>
      </c>
      <c r="J625" t="s">
        <v>4759</v>
      </c>
      <c r="K625" t="s">
        <v>74</v>
      </c>
      <c r="L625" t="s">
        <v>74</v>
      </c>
      <c r="M625" t="s">
        <v>78</v>
      </c>
      <c r="N625" t="s">
        <v>79</v>
      </c>
      <c r="O625" t="s">
        <v>74</v>
      </c>
      <c r="P625" t="s">
        <v>74</v>
      </c>
      <c r="Q625" t="s">
        <v>74</v>
      </c>
      <c r="R625" t="s">
        <v>74</v>
      </c>
      <c r="S625" t="s">
        <v>74</v>
      </c>
      <c r="T625" t="s">
        <v>12080</v>
      </c>
      <c r="U625" t="s">
        <v>12081</v>
      </c>
      <c r="V625" t="s">
        <v>12082</v>
      </c>
      <c r="W625" t="s">
        <v>12083</v>
      </c>
      <c r="X625" t="s">
        <v>12084</v>
      </c>
      <c r="Y625" t="s">
        <v>12085</v>
      </c>
      <c r="Z625" t="s">
        <v>12086</v>
      </c>
      <c r="AA625" t="s">
        <v>12087</v>
      </c>
      <c r="AB625" t="s">
        <v>12088</v>
      </c>
      <c r="AC625" t="s">
        <v>12089</v>
      </c>
      <c r="AD625" t="s">
        <v>12090</v>
      </c>
      <c r="AE625" t="s">
        <v>12091</v>
      </c>
      <c r="AF625" t="s">
        <v>74</v>
      </c>
      <c r="AG625">
        <v>50</v>
      </c>
      <c r="AH625">
        <v>26</v>
      </c>
      <c r="AI625">
        <v>27</v>
      </c>
      <c r="AJ625">
        <v>0</v>
      </c>
      <c r="AK625">
        <v>21</v>
      </c>
      <c r="AL625" t="s">
        <v>92</v>
      </c>
      <c r="AM625" t="s">
        <v>550</v>
      </c>
      <c r="AN625" t="s">
        <v>4772</v>
      </c>
      <c r="AO625" t="s">
        <v>4773</v>
      </c>
      <c r="AP625" t="s">
        <v>4774</v>
      </c>
      <c r="AQ625" t="s">
        <v>74</v>
      </c>
      <c r="AR625" t="s">
        <v>4775</v>
      </c>
      <c r="AS625" t="s">
        <v>4776</v>
      </c>
      <c r="AT625" t="s">
        <v>9714</v>
      </c>
      <c r="AU625">
        <v>2015</v>
      </c>
      <c r="AV625">
        <v>38</v>
      </c>
      <c r="AW625">
        <v>8</v>
      </c>
      <c r="AX625" t="s">
        <v>74</v>
      </c>
      <c r="AY625" t="s">
        <v>74</v>
      </c>
      <c r="AZ625" t="s">
        <v>74</v>
      </c>
      <c r="BA625" t="s">
        <v>74</v>
      </c>
      <c r="BB625">
        <v>1171</v>
      </c>
      <c r="BC625">
        <v>1181</v>
      </c>
      <c r="BD625" t="s">
        <v>74</v>
      </c>
      <c r="BE625" t="s">
        <v>12092</v>
      </c>
      <c r="BF625" t="str">
        <f>HYPERLINK("http://dx.doi.org/10.1007/s00300-015-1681-4","http://dx.doi.org/10.1007/s00300-015-1681-4")</f>
        <v>http://dx.doi.org/10.1007/s00300-015-1681-4</v>
      </c>
      <c r="BG625" t="s">
        <v>74</v>
      </c>
      <c r="BH625" t="s">
        <v>74</v>
      </c>
      <c r="BI625">
        <v>11</v>
      </c>
      <c r="BJ625" t="s">
        <v>4778</v>
      </c>
      <c r="BK625" t="s">
        <v>101</v>
      </c>
      <c r="BL625" t="s">
        <v>3806</v>
      </c>
      <c r="BM625" t="s">
        <v>11017</v>
      </c>
      <c r="BN625" t="s">
        <v>74</v>
      </c>
      <c r="BO625" t="s">
        <v>74</v>
      </c>
      <c r="BP625" t="s">
        <v>74</v>
      </c>
      <c r="BQ625" t="s">
        <v>74</v>
      </c>
      <c r="BR625" t="s">
        <v>103</v>
      </c>
      <c r="BS625" t="s">
        <v>12093</v>
      </c>
      <c r="BT625" t="str">
        <f>HYPERLINK("https%3A%2F%2Fwww.webofscience.com%2Fwos%2Fwoscc%2Ffull-record%2FWOS:000358041600007","View Full Record in Web of Science")</f>
        <v>View Full Record in Web of Science</v>
      </c>
    </row>
    <row r="626" spans="1:72" x14ac:dyDescent="0.15">
      <c r="A626" t="s">
        <v>72</v>
      </c>
      <c r="B626" t="s">
        <v>12094</v>
      </c>
      <c r="C626" t="s">
        <v>74</v>
      </c>
      <c r="D626" t="s">
        <v>74</v>
      </c>
      <c r="E626" t="s">
        <v>74</v>
      </c>
      <c r="F626" t="s">
        <v>12095</v>
      </c>
      <c r="G626" t="s">
        <v>74</v>
      </c>
      <c r="H626" t="s">
        <v>74</v>
      </c>
      <c r="I626" t="s">
        <v>12096</v>
      </c>
      <c r="J626" t="s">
        <v>4759</v>
      </c>
      <c r="K626" t="s">
        <v>74</v>
      </c>
      <c r="L626" t="s">
        <v>74</v>
      </c>
      <c r="M626" t="s">
        <v>78</v>
      </c>
      <c r="N626" t="s">
        <v>79</v>
      </c>
      <c r="O626" t="s">
        <v>74</v>
      </c>
      <c r="P626" t="s">
        <v>74</v>
      </c>
      <c r="Q626" t="s">
        <v>74</v>
      </c>
      <c r="R626" t="s">
        <v>74</v>
      </c>
      <c r="S626" t="s">
        <v>74</v>
      </c>
      <c r="T626" t="s">
        <v>12097</v>
      </c>
      <c r="U626" t="s">
        <v>12098</v>
      </c>
      <c r="V626" t="s">
        <v>12099</v>
      </c>
      <c r="W626" t="s">
        <v>12100</v>
      </c>
      <c r="X626" t="s">
        <v>12101</v>
      </c>
      <c r="Y626" t="s">
        <v>12102</v>
      </c>
      <c r="Z626" t="s">
        <v>12103</v>
      </c>
      <c r="AA626" t="s">
        <v>12104</v>
      </c>
      <c r="AB626" t="s">
        <v>12105</v>
      </c>
      <c r="AC626" t="s">
        <v>12106</v>
      </c>
      <c r="AD626" t="s">
        <v>12106</v>
      </c>
      <c r="AE626" t="s">
        <v>12107</v>
      </c>
      <c r="AF626" t="s">
        <v>74</v>
      </c>
      <c r="AG626">
        <v>52</v>
      </c>
      <c r="AH626">
        <v>15</v>
      </c>
      <c r="AI626">
        <v>18</v>
      </c>
      <c r="AJ626">
        <v>0</v>
      </c>
      <c r="AK626">
        <v>47</v>
      </c>
      <c r="AL626" t="s">
        <v>92</v>
      </c>
      <c r="AM626" t="s">
        <v>550</v>
      </c>
      <c r="AN626" t="s">
        <v>4772</v>
      </c>
      <c r="AO626" t="s">
        <v>4773</v>
      </c>
      <c r="AP626" t="s">
        <v>4774</v>
      </c>
      <c r="AQ626" t="s">
        <v>74</v>
      </c>
      <c r="AR626" t="s">
        <v>4775</v>
      </c>
      <c r="AS626" t="s">
        <v>4776</v>
      </c>
      <c r="AT626" t="s">
        <v>9714</v>
      </c>
      <c r="AU626">
        <v>2015</v>
      </c>
      <c r="AV626">
        <v>38</v>
      </c>
      <c r="AW626">
        <v>8</v>
      </c>
      <c r="AX626" t="s">
        <v>74</v>
      </c>
      <c r="AY626" t="s">
        <v>74</v>
      </c>
      <c r="AZ626" t="s">
        <v>74</v>
      </c>
      <c r="BA626" t="s">
        <v>74</v>
      </c>
      <c r="BB626">
        <v>1213</v>
      </c>
      <c r="BC626">
        <v>1222</v>
      </c>
      <c r="BD626" t="s">
        <v>74</v>
      </c>
      <c r="BE626" t="s">
        <v>12108</v>
      </c>
      <c r="BF626" t="str">
        <f>HYPERLINK("http://dx.doi.org/10.1007/s00300-015-1688-x","http://dx.doi.org/10.1007/s00300-015-1688-x")</f>
        <v>http://dx.doi.org/10.1007/s00300-015-1688-x</v>
      </c>
      <c r="BG626" t="s">
        <v>74</v>
      </c>
      <c r="BH626" t="s">
        <v>74</v>
      </c>
      <c r="BI626">
        <v>10</v>
      </c>
      <c r="BJ626" t="s">
        <v>4778</v>
      </c>
      <c r="BK626" t="s">
        <v>101</v>
      </c>
      <c r="BL626" t="s">
        <v>3806</v>
      </c>
      <c r="BM626" t="s">
        <v>11017</v>
      </c>
      <c r="BN626" t="s">
        <v>74</v>
      </c>
      <c r="BO626" t="s">
        <v>74</v>
      </c>
      <c r="BP626" t="s">
        <v>74</v>
      </c>
      <c r="BQ626" t="s">
        <v>74</v>
      </c>
      <c r="BR626" t="s">
        <v>103</v>
      </c>
      <c r="BS626" t="s">
        <v>12109</v>
      </c>
      <c r="BT626" t="str">
        <f>HYPERLINK("https%3A%2F%2Fwww.webofscience.com%2Fwos%2Fwoscc%2Ffull-record%2FWOS:000358041600011","View Full Record in Web of Science")</f>
        <v>View Full Record in Web of Science</v>
      </c>
    </row>
    <row r="627" spans="1:72" x14ac:dyDescent="0.15">
      <c r="A627" t="s">
        <v>72</v>
      </c>
      <c r="B627" t="s">
        <v>12110</v>
      </c>
      <c r="C627" t="s">
        <v>74</v>
      </c>
      <c r="D627" t="s">
        <v>74</v>
      </c>
      <c r="E627" t="s">
        <v>74</v>
      </c>
      <c r="F627" t="s">
        <v>12111</v>
      </c>
      <c r="G627" t="s">
        <v>74</v>
      </c>
      <c r="H627" t="s">
        <v>74</v>
      </c>
      <c r="I627" t="s">
        <v>12112</v>
      </c>
      <c r="J627" t="s">
        <v>12113</v>
      </c>
      <c r="K627" t="s">
        <v>74</v>
      </c>
      <c r="L627" t="s">
        <v>74</v>
      </c>
      <c r="M627" t="s">
        <v>78</v>
      </c>
      <c r="N627" t="s">
        <v>79</v>
      </c>
      <c r="O627" t="s">
        <v>74</v>
      </c>
      <c r="P627" t="s">
        <v>74</v>
      </c>
      <c r="Q627" t="s">
        <v>74</v>
      </c>
      <c r="R627" t="s">
        <v>74</v>
      </c>
      <c r="S627" t="s">
        <v>74</v>
      </c>
      <c r="T627" t="s">
        <v>12114</v>
      </c>
      <c r="U627" t="s">
        <v>74</v>
      </c>
      <c r="V627" t="s">
        <v>12115</v>
      </c>
      <c r="W627" t="s">
        <v>12116</v>
      </c>
      <c r="X627" t="s">
        <v>12117</v>
      </c>
      <c r="Y627" t="s">
        <v>12118</v>
      </c>
      <c r="Z627" t="s">
        <v>12119</v>
      </c>
      <c r="AA627" t="s">
        <v>12120</v>
      </c>
      <c r="AB627" t="s">
        <v>12121</v>
      </c>
      <c r="AC627" t="s">
        <v>12122</v>
      </c>
      <c r="AD627" t="s">
        <v>12122</v>
      </c>
      <c r="AE627" t="s">
        <v>12123</v>
      </c>
      <c r="AF627" t="s">
        <v>74</v>
      </c>
      <c r="AG627">
        <v>9</v>
      </c>
      <c r="AH627">
        <v>1</v>
      </c>
      <c r="AI627">
        <v>2</v>
      </c>
      <c r="AJ627">
        <v>0</v>
      </c>
      <c r="AK627">
        <v>10</v>
      </c>
      <c r="AL627" t="s">
        <v>12124</v>
      </c>
      <c r="AM627" t="s">
        <v>12125</v>
      </c>
      <c r="AN627" t="s">
        <v>12126</v>
      </c>
      <c r="AO627" t="s">
        <v>12127</v>
      </c>
      <c r="AP627" t="s">
        <v>12128</v>
      </c>
      <c r="AQ627" t="s">
        <v>74</v>
      </c>
      <c r="AR627" t="s">
        <v>12129</v>
      </c>
      <c r="AS627" t="s">
        <v>12130</v>
      </c>
      <c r="AT627" t="s">
        <v>9714</v>
      </c>
      <c r="AU627">
        <v>2015</v>
      </c>
      <c r="AV627">
        <v>30</v>
      </c>
      <c r="AW627">
        <v>2</v>
      </c>
      <c r="AX627" t="s">
        <v>74</v>
      </c>
      <c r="AY627" t="s">
        <v>74</v>
      </c>
      <c r="AZ627" t="s">
        <v>74</v>
      </c>
      <c r="BA627" t="s">
        <v>74</v>
      </c>
      <c r="BB627">
        <v>127</v>
      </c>
      <c r="BC627">
        <v>134</v>
      </c>
      <c r="BD627" t="s">
        <v>74</v>
      </c>
      <c r="BE627" t="s">
        <v>12131</v>
      </c>
      <c r="BF627" t="str">
        <f>HYPERLINK("http://dx.doi.org/10.4067/S0718-50732015000200004","http://dx.doi.org/10.4067/S0718-50732015000200004")</f>
        <v>http://dx.doi.org/10.4067/S0718-50732015000200004</v>
      </c>
      <c r="BG627" t="s">
        <v>74</v>
      </c>
      <c r="BH627" t="s">
        <v>74</v>
      </c>
      <c r="BI627">
        <v>8</v>
      </c>
      <c r="BJ627" t="s">
        <v>12132</v>
      </c>
      <c r="BK627" t="s">
        <v>831</v>
      </c>
      <c r="BL627" t="s">
        <v>12132</v>
      </c>
      <c r="BM627" t="s">
        <v>12133</v>
      </c>
      <c r="BN627" t="s">
        <v>74</v>
      </c>
      <c r="BO627" t="s">
        <v>1235</v>
      </c>
      <c r="BP627" t="s">
        <v>74</v>
      </c>
      <c r="BQ627" t="s">
        <v>74</v>
      </c>
      <c r="BR627" t="s">
        <v>103</v>
      </c>
      <c r="BS627" t="s">
        <v>12134</v>
      </c>
      <c r="BT627" t="str">
        <f>HYPERLINK("https%3A%2F%2Fwww.webofscience.com%2Fwos%2Fwoscc%2Ffull-record%2FWOS:000421014200004","View Full Record in Web of Science")</f>
        <v>View Full Record in Web of Science</v>
      </c>
    </row>
    <row r="628" spans="1:72" x14ac:dyDescent="0.15">
      <c r="A628" t="s">
        <v>72</v>
      </c>
      <c r="B628" t="s">
        <v>12135</v>
      </c>
      <c r="C628" t="s">
        <v>74</v>
      </c>
      <c r="D628" t="s">
        <v>74</v>
      </c>
      <c r="E628" t="s">
        <v>74</v>
      </c>
      <c r="F628" t="s">
        <v>12136</v>
      </c>
      <c r="G628" t="s">
        <v>74</v>
      </c>
      <c r="H628" t="s">
        <v>74</v>
      </c>
      <c r="I628" t="s">
        <v>12137</v>
      </c>
      <c r="J628" t="s">
        <v>12138</v>
      </c>
      <c r="K628" t="s">
        <v>74</v>
      </c>
      <c r="L628" t="s">
        <v>74</v>
      </c>
      <c r="M628" t="s">
        <v>78</v>
      </c>
      <c r="N628" t="s">
        <v>79</v>
      </c>
      <c r="O628" t="s">
        <v>74</v>
      </c>
      <c r="P628" t="s">
        <v>74</v>
      </c>
      <c r="Q628" t="s">
        <v>74</v>
      </c>
      <c r="R628" t="s">
        <v>74</v>
      </c>
      <c r="S628" t="s">
        <v>74</v>
      </c>
      <c r="T628" t="s">
        <v>74</v>
      </c>
      <c r="U628" t="s">
        <v>74</v>
      </c>
      <c r="V628" t="s">
        <v>12139</v>
      </c>
      <c r="W628" t="s">
        <v>12140</v>
      </c>
      <c r="X628" t="s">
        <v>439</v>
      </c>
      <c r="Y628" t="s">
        <v>12141</v>
      </c>
      <c r="Z628" t="s">
        <v>74</v>
      </c>
      <c r="AA628" t="s">
        <v>12142</v>
      </c>
      <c r="AB628" t="s">
        <v>12143</v>
      </c>
      <c r="AC628" t="s">
        <v>12144</v>
      </c>
      <c r="AD628" t="s">
        <v>12145</v>
      </c>
      <c r="AE628" t="s">
        <v>12146</v>
      </c>
      <c r="AF628" t="s">
        <v>74</v>
      </c>
      <c r="AG628">
        <v>8</v>
      </c>
      <c r="AH628">
        <v>30</v>
      </c>
      <c r="AI628">
        <v>32</v>
      </c>
      <c r="AJ628">
        <v>1</v>
      </c>
      <c r="AK628">
        <v>11</v>
      </c>
      <c r="AL628" t="s">
        <v>306</v>
      </c>
      <c r="AM628" t="s">
        <v>307</v>
      </c>
      <c r="AN628" t="s">
        <v>308</v>
      </c>
      <c r="AO628" t="s">
        <v>12147</v>
      </c>
      <c r="AP628" t="s">
        <v>74</v>
      </c>
      <c r="AQ628" t="s">
        <v>74</v>
      </c>
      <c r="AR628" t="s">
        <v>12148</v>
      </c>
      <c r="AS628" t="s">
        <v>12149</v>
      </c>
      <c r="AT628" t="s">
        <v>9714</v>
      </c>
      <c r="AU628">
        <v>2015</v>
      </c>
      <c r="AV628">
        <v>13</v>
      </c>
      <c r="AW628">
        <v>8</v>
      </c>
      <c r="AX628" t="s">
        <v>74</v>
      </c>
      <c r="AY628" t="s">
        <v>74</v>
      </c>
      <c r="AZ628" t="s">
        <v>74</v>
      </c>
      <c r="BA628" t="s">
        <v>74</v>
      </c>
      <c r="BB628">
        <v>430</v>
      </c>
      <c r="BC628">
        <v>433</v>
      </c>
      <c r="BD628" t="s">
        <v>74</v>
      </c>
      <c r="BE628" t="s">
        <v>12150</v>
      </c>
      <c r="BF628" t="str">
        <f>HYPERLINK("http://dx.doi.org/10.1002/2015SW001198","http://dx.doi.org/10.1002/2015SW001198")</f>
        <v>http://dx.doi.org/10.1002/2015SW001198</v>
      </c>
      <c r="BG628" t="s">
        <v>74</v>
      </c>
      <c r="BH628" t="s">
        <v>74</v>
      </c>
      <c r="BI628">
        <v>4</v>
      </c>
      <c r="BJ628" t="s">
        <v>12151</v>
      </c>
      <c r="BK628" t="s">
        <v>101</v>
      </c>
      <c r="BL628" t="s">
        <v>12151</v>
      </c>
      <c r="BM628" t="s">
        <v>12152</v>
      </c>
      <c r="BN628" t="s">
        <v>74</v>
      </c>
      <c r="BO628" t="s">
        <v>455</v>
      </c>
      <c r="BP628" t="s">
        <v>74</v>
      </c>
      <c r="BQ628" t="s">
        <v>74</v>
      </c>
      <c r="BR628" t="s">
        <v>103</v>
      </c>
      <c r="BS628" t="s">
        <v>12153</v>
      </c>
      <c r="BT628" t="str">
        <f>HYPERLINK("https%3A%2F%2Fwww.webofscience.com%2Fwos%2Fwoscc%2Ffull-record%2FWOS:000362204800002","View Full Record in Web of Science")</f>
        <v>View Full Record in Web of Science</v>
      </c>
    </row>
    <row r="629" spans="1:72" x14ac:dyDescent="0.15">
      <c r="A629" t="s">
        <v>72</v>
      </c>
      <c r="B629" t="s">
        <v>12154</v>
      </c>
      <c r="C629" t="s">
        <v>74</v>
      </c>
      <c r="D629" t="s">
        <v>74</v>
      </c>
      <c r="E629" t="s">
        <v>74</v>
      </c>
      <c r="F629" t="s">
        <v>12155</v>
      </c>
      <c r="G629" t="s">
        <v>74</v>
      </c>
      <c r="H629" t="s">
        <v>74</v>
      </c>
      <c r="I629" t="s">
        <v>12156</v>
      </c>
      <c r="J629" t="s">
        <v>12157</v>
      </c>
      <c r="K629" t="s">
        <v>74</v>
      </c>
      <c r="L629" t="s">
        <v>74</v>
      </c>
      <c r="M629" t="s">
        <v>78</v>
      </c>
      <c r="N629" t="s">
        <v>79</v>
      </c>
      <c r="O629" t="s">
        <v>74</v>
      </c>
      <c r="P629" t="s">
        <v>74</v>
      </c>
      <c r="Q629" t="s">
        <v>74</v>
      </c>
      <c r="R629" t="s">
        <v>74</v>
      </c>
      <c r="S629" t="s">
        <v>74</v>
      </c>
      <c r="T629" t="s">
        <v>74</v>
      </c>
      <c r="U629" t="s">
        <v>12158</v>
      </c>
      <c r="V629" t="s">
        <v>12159</v>
      </c>
      <c r="W629" t="s">
        <v>12160</v>
      </c>
      <c r="X629" t="s">
        <v>12161</v>
      </c>
      <c r="Y629" t="s">
        <v>12162</v>
      </c>
      <c r="Z629" t="s">
        <v>12163</v>
      </c>
      <c r="AA629" t="s">
        <v>12164</v>
      </c>
      <c r="AB629" t="s">
        <v>12165</v>
      </c>
      <c r="AC629" t="s">
        <v>12166</v>
      </c>
      <c r="AD629" t="s">
        <v>12167</v>
      </c>
      <c r="AE629" t="s">
        <v>12168</v>
      </c>
      <c r="AF629" t="s">
        <v>74</v>
      </c>
      <c r="AG629">
        <v>84</v>
      </c>
      <c r="AH629">
        <v>22</v>
      </c>
      <c r="AI629">
        <v>23</v>
      </c>
      <c r="AJ629">
        <v>0</v>
      </c>
      <c r="AK629">
        <v>22</v>
      </c>
      <c r="AL629" t="s">
        <v>92</v>
      </c>
      <c r="AM629" t="s">
        <v>550</v>
      </c>
      <c r="AN629" t="s">
        <v>1398</v>
      </c>
      <c r="AO629" t="s">
        <v>12169</v>
      </c>
      <c r="AP629" t="s">
        <v>12170</v>
      </c>
      <c r="AQ629" t="s">
        <v>74</v>
      </c>
      <c r="AR629" t="s">
        <v>12171</v>
      </c>
      <c r="AS629" t="s">
        <v>12172</v>
      </c>
      <c r="AT629" t="s">
        <v>9714</v>
      </c>
      <c r="AU629">
        <v>2015</v>
      </c>
      <c r="AV629">
        <v>35</v>
      </c>
      <c r="AW629">
        <v>4</v>
      </c>
      <c r="AX629" t="s">
        <v>74</v>
      </c>
      <c r="AY629" t="s">
        <v>74</v>
      </c>
      <c r="AZ629" t="s">
        <v>74</v>
      </c>
      <c r="BA629" t="s">
        <v>74</v>
      </c>
      <c r="BB629">
        <v>271</v>
      </c>
      <c r="BC629">
        <v>288</v>
      </c>
      <c r="BD629" t="s">
        <v>74</v>
      </c>
      <c r="BE629" t="s">
        <v>12173</v>
      </c>
      <c r="BF629" t="str">
        <f>HYPERLINK("http://dx.doi.org/10.1007/s00367-015-0406-6","http://dx.doi.org/10.1007/s00367-015-0406-6")</f>
        <v>http://dx.doi.org/10.1007/s00367-015-0406-6</v>
      </c>
      <c r="BG629" t="s">
        <v>74</v>
      </c>
      <c r="BH629" t="s">
        <v>74</v>
      </c>
      <c r="BI629">
        <v>18</v>
      </c>
      <c r="BJ629" t="s">
        <v>12174</v>
      </c>
      <c r="BK629" t="s">
        <v>101</v>
      </c>
      <c r="BL629" t="s">
        <v>12175</v>
      </c>
      <c r="BM629" t="s">
        <v>12176</v>
      </c>
      <c r="BN629" t="s">
        <v>74</v>
      </c>
      <c r="BO629" t="s">
        <v>8159</v>
      </c>
      <c r="BP629" t="s">
        <v>74</v>
      </c>
      <c r="BQ629" t="s">
        <v>74</v>
      </c>
      <c r="BR629" t="s">
        <v>103</v>
      </c>
      <c r="BS629" t="s">
        <v>12177</v>
      </c>
      <c r="BT629" t="str">
        <f>HYPERLINK("https%3A%2F%2Fwww.webofscience.com%2Fwos%2Fwoscc%2Ffull-record%2FWOS:000357662500003","View Full Record in Web of Science")</f>
        <v>View Full Record in Web of Science</v>
      </c>
    </row>
    <row r="630" spans="1:72" x14ac:dyDescent="0.15">
      <c r="A630" t="s">
        <v>72</v>
      </c>
      <c r="B630" t="s">
        <v>12178</v>
      </c>
      <c r="C630" t="s">
        <v>74</v>
      </c>
      <c r="D630" t="s">
        <v>74</v>
      </c>
      <c r="E630" t="s">
        <v>74</v>
      </c>
      <c r="F630" t="s">
        <v>12179</v>
      </c>
      <c r="G630" t="s">
        <v>74</v>
      </c>
      <c r="H630" t="s">
        <v>74</v>
      </c>
      <c r="I630" t="s">
        <v>12180</v>
      </c>
      <c r="J630" t="s">
        <v>12181</v>
      </c>
      <c r="K630" t="s">
        <v>74</v>
      </c>
      <c r="L630" t="s">
        <v>74</v>
      </c>
      <c r="M630" t="s">
        <v>78</v>
      </c>
      <c r="N630" t="s">
        <v>79</v>
      </c>
      <c r="O630" t="s">
        <v>74</v>
      </c>
      <c r="P630" t="s">
        <v>74</v>
      </c>
      <c r="Q630" t="s">
        <v>74</v>
      </c>
      <c r="R630" t="s">
        <v>74</v>
      </c>
      <c r="S630" t="s">
        <v>74</v>
      </c>
      <c r="T630" t="s">
        <v>12182</v>
      </c>
      <c r="U630" t="s">
        <v>12183</v>
      </c>
      <c r="V630" t="s">
        <v>12184</v>
      </c>
      <c r="W630" t="s">
        <v>12185</v>
      </c>
      <c r="X630" t="s">
        <v>12186</v>
      </c>
      <c r="Y630" t="s">
        <v>12187</v>
      </c>
      <c r="Z630" t="s">
        <v>12188</v>
      </c>
      <c r="AA630" t="s">
        <v>12189</v>
      </c>
      <c r="AB630" t="s">
        <v>74</v>
      </c>
      <c r="AC630" t="s">
        <v>12190</v>
      </c>
      <c r="AD630" t="s">
        <v>2432</v>
      </c>
      <c r="AE630" t="s">
        <v>12191</v>
      </c>
      <c r="AF630" t="s">
        <v>74</v>
      </c>
      <c r="AG630">
        <v>31</v>
      </c>
      <c r="AH630">
        <v>7</v>
      </c>
      <c r="AI630">
        <v>7</v>
      </c>
      <c r="AJ630">
        <v>0</v>
      </c>
      <c r="AK630">
        <v>11</v>
      </c>
      <c r="AL630" t="s">
        <v>397</v>
      </c>
      <c r="AM630" t="s">
        <v>398</v>
      </c>
      <c r="AN630" t="s">
        <v>399</v>
      </c>
      <c r="AO630" t="s">
        <v>12192</v>
      </c>
      <c r="AP630" t="s">
        <v>12193</v>
      </c>
      <c r="AQ630" t="s">
        <v>74</v>
      </c>
      <c r="AR630" t="s">
        <v>12194</v>
      </c>
      <c r="AS630" t="s">
        <v>12195</v>
      </c>
      <c r="AT630" t="s">
        <v>9714</v>
      </c>
      <c r="AU630">
        <v>2015</v>
      </c>
      <c r="AV630">
        <v>130</v>
      </c>
      <c r="AW630" t="s">
        <v>74</v>
      </c>
      <c r="AX630" t="s">
        <v>74</v>
      </c>
      <c r="AY630" t="s">
        <v>74</v>
      </c>
      <c r="AZ630" t="s">
        <v>74</v>
      </c>
      <c r="BA630" t="s">
        <v>74</v>
      </c>
      <c r="BB630">
        <v>159</v>
      </c>
      <c r="BC630">
        <v>171</v>
      </c>
      <c r="BD630" t="s">
        <v>74</v>
      </c>
      <c r="BE630" t="s">
        <v>12196</v>
      </c>
      <c r="BF630" t="str">
        <f>HYPERLINK("http://dx.doi.org/10.1016/j.jastp.2015.05.016","http://dx.doi.org/10.1016/j.jastp.2015.05.016")</f>
        <v>http://dx.doi.org/10.1016/j.jastp.2015.05.016</v>
      </c>
      <c r="BG630" t="s">
        <v>74</v>
      </c>
      <c r="BH630" t="s">
        <v>74</v>
      </c>
      <c r="BI630">
        <v>13</v>
      </c>
      <c r="BJ630" t="s">
        <v>3719</v>
      </c>
      <c r="BK630" t="s">
        <v>101</v>
      </c>
      <c r="BL630" t="s">
        <v>3719</v>
      </c>
      <c r="BM630" t="s">
        <v>12197</v>
      </c>
      <c r="BN630" t="s">
        <v>74</v>
      </c>
      <c r="BO630" t="s">
        <v>74</v>
      </c>
      <c r="BP630" t="s">
        <v>74</v>
      </c>
      <c r="BQ630" t="s">
        <v>74</v>
      </c>
      <c r="BR630" t="s">
        <v>103</v>
      </c>
      <c r="BS630" t="s">
        <v>12198</v>
      </c>
      <c r="BT630" t="str">
        <f>HYPERLINK("https%3A%2F%2Fwww.webofscience.com%2Fwos%2Fwoscc%2Ffull-record%2FWOS:000357754000016","View Full Record in Web of Science")</f>
        <v>View Full Record in Web of Science</v>
      </c>
    </row>
    <row r="631" spans="1:72" x14ac:dyDescent="0.15">
      <c r="A631" t="s">
        <v>72</v>
      </c>
      <c r="B631" t="s">
        <v>12199</v>
      </c>
      <c r="C631" t="s">
        <v>74</v>
      </c>
      <c r="D631" t="s">
        <v>74</v>
      </c>
      <c r="E631" t="s">
        <v>74</v>
      </c>
      <c r="F631" t="s">
        <v>12200</v>
      </c>
      <c r="G631" t="s">
        <v>74</v>
      </c>
      <c r="H631" t="s">
        <v>74</v>
      </c>
      <c r="I631" t="s">
        <v>12201</v>
      </c>
      <c r="J631" t="s">
        <v>12004</v>
      </c>
      <c r="K631" t="s">
        <v>74</v>
      </c>
      <c r="L631" t="s">
        <v>74</v>
      </c>
      <c r="M631" t="s">
        <v>78</v>
      </c>
      <c r="N631" t="s">
        <v>79</v>
      </c>
      <c r="O631" t="s">
        <v>74</v>
      </c>
      <c r="P631" t="s">
        <v>74</v>
      </c>
      <c r="Q631" t="s">
        <v>74</v>
      </c>
      <c r="R631" t="s">
        <v>74</v>
      </c>
      <c r="S631" t="s">
        <v>74</v>
      </c>
      <c r="T631" t="s">
        <v>12202</v>
      </c>
      <c r="U631" t="s">
        <v>12203</v>
      </c>
      <c r="V631" t="s">
        <v>12204</v>
      </c>
      <c r="W631" t="s">
        <v>12205</v>
      </c>
      <c r="X631" t="s">
        <v>12206</v>
      </c>
      <c r="Y631" t="s">
        <v>12207</v>
      </c>
      <c r="Z631" t="s">
        <v>12208</v>
      </c>
      <c r="AA631" t="s">
        <v>74</v>
      </c>
      <c r="AB631" t="s">
        <v>12209</v>
      </c>
      <c r="AC631" t="s">
        <v>74</v>
      </c>
      <c r="AD631" t="s">
        <v>74</v>
      </c>
      <c r="AE631" t="s">
        <v>74</v>
      </c>
      <c r="AF631" t="s">
        <v>74</v>
      </c>
      <c r="AG631">
        <v>41</v>
      </c>
      <c r="AH631">
        <v>9</v>
      </c>
      <c r="AI631">
        <v>9</v>
      </c>
      <c r="AJ631">
        <v>0</v>
      </c>
      <c r="AK631">
        <v>27</v>
      </c>
      <c r="AL631" t="s">
        <v>92</v>
      </c>
      <c r="AM631" t="s">
        <v>550</v>
      </c>
      <c r="AN631" t="s">
        <v>1398</v>
      </c>
      <c r="AO631" t="s">
        <v>12017</v>
      </c>
      <c r="AP631" t="s">
        <v>12018</v>
      </c>
      <c r="AQ631" t="s">
        <v>74</v>
      </c>
      <c r="AR631" t="s">
        <v>12019</v>
      </c>
      <c r="AS631" t="s">
        <v>12020</v>
      </c>
      <c r="AT631" t="s">
        <v>9714</v>
      </c>
      <c r="AU631">
        <v>2015</v>
      </c>
      <c r="AV631">
        <v>70</v>
      </c>
      <c r="AW631">
        <v>2</v>
      </c>
      <c r="AX631" t="s">
        <v>74</v>
      </c>
      <c r="AY631" t="s">
        <v>74</v>
      </c>
      <c r="AZ631" t="s">
        <v>74</v>
      </c>
      <c r="BA631" t="s">
        <v>74</v>
      </c>
      <c r="BB631">
        <v>372</v>
      </c>
      <c r="BC631">
        <v>379</v>
      </c>
      <c r="BD631" t="s">
        <v>74</v>
      </c>
      <c r="BE631" t="s">
        <v>12210</v>
      </c>
      <c r="BF631" t="str">
        <f>HYPERLINK("http://dx.doi.org/10.1007/s00248-015-0566-y","http://dx.doi.org/10.1007/s00248-015-0566-y")</f>
        <v>http://dx.doi.org/10.1007/s00248-015-0566-y</v>
      </c>
      <c r="BG631" t="s">
        <v>74</v>
      </c>
      <c r="BH631" t="s">
        <v>74</v>
      </c>
      <c r="BI631">
        <v>8</v>
      </c>
      <c r="BJ631" t="s">
        <v>12022</v>
      </c>
      <c r="BK631" t="s">
        <v>101</v>
      </c>
      <c r="BL631" t="s">
        <v>12023</v>
      </c>
      <c r="BM631" t="s">
        <v>12024</v>
      </c>
      <c r="BN631">
        <v>25666535</v>
      </c>
      <c r="BO631" t="s">
        <v>559</v>
      </c>
      <c r="BP631" t="s">
        <v>74</v>
      </c>
      <c r="BQ631" t="s">
        <v>74</v>
      </c>
      <c r="BR631" t="s">
        <v>103</v>
      </c>
      <c r="BS631" t="s">
        <v>12211</v>
      </c>
      <c r="BT631" t="str">
        <f>HYPERLINK("https%3A%2F%2Fwww.webofscience.com%2Fwos%2Fwoscc%2Ffull-record%2FWOS:000357680900007","View Full Record in Web of Science")</f>
        <v>View Full Record in Web of Science</v>
      </c>
    </row>
    <row r="632" spans="1:72" x14ac:dyDescent="0.15">
      <c r="A632" t="s">
        <v>72</v>
      </c>
      <c r="B632" t="s">
        <v>12212</v>
      </c>
      <c r="C632" t="s">
        <v>74</v>
      </c>
      <c r="D632" t="s">
        <v>74</v>
      </c>
      <c r="E632" t="s">
        <v>74</v>
      </c>
      <c r="F632" t="s">
        <v>12213</v>
      </c>
      <c r="G632" t="s">
        <v>74</v>
      </c>
      <c r="H632" t="s">
        <v>74</v>
      </c>
      <c r="I632" t="s">
        <v>12214</v>
      </c>
      <c r="J632" t="s">
        <v>12215</v>
      </c>
      <c r="K632" t="s">
        <v>74</v>
      </c>
      <c r="L632" t="s">
        <v>74</v>
      </c>
      <c r="M632" t="s">
        <v>78</v>
      </c>
      <c r="N632" t="s">
        <v>79</v>
      </c>
      <c r="O632" t="s">
        <v>74</v>
      </c>
      <c r="P632" t="s">
        <v>74</v>
      </c>
      <c r="Q632" t="s">
        <v>74</v>
      </c>
      <c r="R632" t="s">
        <v>74</v>
      </c>
      <c r="S632" t="s">
        <v>74</v>
      </c>
      <c r="T632" t="s">
        <v>12216</v>
      </c>
      <c r="U632" t="s">
        <v>12217</v>
      </c>
      <c r="V632" t="s">
        <v>12218</v>
      </c>
      <c r="W632" t="s">
        <v>12219</v>
      </c>
      <c r="X632" t="s">
        <v>12220</v>
      </c>
      <c r="Y632" t="s">
        <v>12221</v>
      </c>
      <c r="Z632" t="s">
        <v>12222</v>
      </c>
      <c r="AA632" t="s">
        <v>74</v>
      </c>
      <c r="AB632" t="s">
        <v>74</v>
      </c>
      <c r="AC632" t="s">
        <v>12223</v>
      </c>
      <c r="AD632" t="s">
        <v>12224</v>
      </c>
      <c r="AE632" t="s">
        <v>12225</v>
      </c>
      <c r="AF632" t="s">
        <v>74</v>
      </c>
      <c r="AG632">
        <v>31</v>
      </c>
      <c r="AH632">
        <v>15</v>
      </c>
      <c r="AI632">
        <v>16</v>
      </c>
      <c r="AJ632">
        <v>1</v>
      </c>
      <c r="AK632">
        <v>30</v>
      </c>
      <c r="AL632" t="s">
        <v>883</v>
      </c>
      <c r="AM632" t="s">
        <v>884</v>
      </c>
      <c r="AN632" t="s">
        <v>885</v>
      </c>
      <c r="AO632" t="s">
        <v>12226</v>
      </c>
      <c r="AP632" t="s">
        <v>12227</v>
      </c>
      <c r="AQ632" t="s">
        <v>74</v>
      </c>
      <c r="AR632" t="s">
        <v>12215</v>
      </c>
      <c r="AS632" t="s">
        <v>12228</v>
      </c>
      <c r="AT632" t="s">
        <v>10526</v>
      </c>
      <c r="AU632">
        <v>2015</v>
      </c>
      <c r="AV632">
        <v>140</v>
      </c>
      <c r="AW632" t="s">
        <v>74</v>
      </c>
      <c r="AX632" t="s">
        <v>74</v>
      </c>
      <c r="AY632" t="s">
        <v>74</v>
      </c>
      <c r="AZ632" t="s">
        <v>74</v>
      </c>
      <c r="BA632" t="s">
        <v>74</v>
      </c>
      <c r="BB632">
        <v>20</v>
      </c>
      <c r="BC632">
        <v>28</v>
      </c>
      <c r="BD632" t="s">
        <v>74</v>
      </c>
      <c r="BE632" t="s">
        <v>12229</v>
      </c>
      <c r="BF632" t="str">
        <f>HYPERLINK("http://dx.doi.org/10.1016/j.talanta.2015.03.007","http://dx.doi.org/10.1016/j.talanta.2015.03.007")</f>
        <v>http://dx.doi.org/10.1016/j.talanta.2015.03.007</v>
      </c>
      <c r="BG632" t="s">
        <v>74</v>
      </c>
      <c r="BH632" t="s">
        <v>74</v>
      </c>
      <c r="BI632">
        <v>9</v>
      </c>
      <c r="BJ632" t="s">
        <v>8227</v>
      </c>
      <c r="BK632" t="s">
        <v>101</v>
      </c>
      <c r="BL632" t="s">
        <v>2442</v>
      </c>
      <c r="BM632" t="s">
        <v>12230</v>
      </c>
      <c r="BN632">
        <v>26048818</v>
      </c>
      <c r="BO632" t="s">
        <v>74</v>
      </c>
      <c r="BP632" t="s">
        <v>74</v>
      </c>
      <c r="BQ632" t="s">
        <v>74</v>
      </c>
      <c r="BR632" t="s">
        <v>103</v>
      </c>
      <c r="BS632" t="s">
        <v>12231</v>
      </c>
      <c r="BT632" t="str">
        <f>HYPERLINK("https%3A%2F%2Fwww.webofscience.com%2Fwos%2Fwoscc%2Ffull-record%2FWOS:000356987400004","View Full Record in Web of Science")</f>
        <v>View Full Record in Web of Science</v>
      </c>
    </row>
    <row r="633" spans="1:72" x14ac:dyDescent="0.15">
      <c r="A633" t="s">
        <v>72</v>
      </c>
      <c r="B633" t="s">
        <v>12232</v>
      </c>
      <c r="C633" t="s">
        <v>74</v>
      </c>
      <c r="D633" t="s">
        <v>74</v>
      </c>
      <c r="E633" t="s">
        <v>74</v>
      </c>
      <c r="F633" t="s">
        <v>12233</v>
      </c>
      <c r="G633" t="s">
        <v>74</v>
      </c>
      <c r="H633" t="s">
        <v>74</v>
      </c>
      <c r="I633" t="s">
        <v>12234</v>
      </c>
      <c r="J633" t="s">
        <v>7699</v>
      </c>
      <c r="K633" t="s">
        <v>74</v>
      </c>
      <c r="L633" t="s">
        <v>74</v>
      </c>
      <c r="M633" t="s">
        <v>78</v>
      </c>
      <c r="N633" t="s">
        <v>79</v>
      </c>
      <c r="O633" t="s">
        <v>74</v>
      </c>
      <c r="P633" t="s">
        <v>74</v>
      </c>
      <c r="Q633" t="s">
        <v>74</v>
      </c>
      <c r="R633" t="s">
        <v>74</v>
      </c>
      <c r="S633" t="s">
        <v>74</v>
      </c>
      <c r="T633" t="s">
        <v>12235</v>
      </c>
      <c r="U633" t="s">
        <v>12236</v>
      </c>
      <c r="V633" t="s">
        <v>12237</v>
      </c>
      <c r="W633" t="s">
        <v>12238</v>
      </c>
      <c r="X633" t="s">
        <v>12239</v>
      </c>
      <c r="Y633" t="s">
        <v>12240</v>
      </c>
      <c r="Z633" t="s">
        <v>12241</v>
      </c>
      <c r="AA633" t="s">
        <v>12242</v>
      </c>
      <c r="AB633" t="s">
        <v>12243</v>
      </c>
      <c r="AC633" t="s">
        <v>74</v>
      </c>
      <c r="AD633" t="s">
        <v>74</v>
      </c>
      <c r="AE633" t="s">
        <v>74</v>
      </c>
      <c r="AF633" t="s">
        <v>74</v>
      </c>
      <c r="AG633">
        <v>47</v>
      </c>
      <c r="AH633">
        <v>8</v>
      </c>
      <c r="AI633">
        <v>9</v>
      </c>
      <c r="AJ633">
        <v>3</v>
      </c>
      <c r="AK633">
        <v>25</v>
      </c>
      <c r="AL633" t="s">
        <v>92</v>
      </c>
      <c r="AM633" t="s">
        <v>550</v>
      </c>
      <c r="AN633" t="s">
        <v>1398</v>
      </c>
      <c r="AO633" t="s">
        <v>7712</v>
      </c>
      <c r="AP633" t="s">
        <v>7713</v>
      </c>
      <c r="AQ633" t="s">
        <v>74</v>
      </c>
      <c r="AR633" t="s">
        <v>7714</v>
      </c>
      <c r="AS633" t="s">
        <v>7715</v>
      </c>
      <c r="AT633" t="s">
        <v>9714</v>
      </c>
      <c r="AU633">
        <v>2015</v>
      </c>
      <c r="AV633">
        <v>45</v>
      </c>
      <c r="AW633" t="s">
        <v>10873</v>
      </c>
      <c r="AX633" t="s">
        <v>74</v>
      </c>
      <c r="AY633" t="s">
        <v>74</v>
      </c>
      <c r="AZ633" t="s">
        <v>74</v>
      </c>
      <c r="BA633" t="s">
        <v>74</v>
      </c>
      <c r="BB633">
        <v>837</v>
      </c>
      <c r="BC633">
        <v>851</v>
      </c>
      <c r="BD633" t="s">
        <v>74</v>
      </c>
      <c r="BE633" t="s">
        <v>12244</v>
      </c>
      <c r="BF633" t="str">
        <f>HYPERLINK("http://dx.doi.org/10.1007/s00382-014-2317-z","http://dx.doi.org/10.1007/s00382-014-2317-z")</f>
        <v>http://dx.doi.org/10.1007/s00382-014-2317-z</v>
      </c>
      <c r="BG633" t="s">
        <v>74</v>
      </c>
      <c r="BH633" t="s">
        <v>74</v>
      </c>
      <c r="BI633">
        <v>15</v>
      </c>
      <c r="BJ633" t="s">
        <v>271</v>
      </c>
      <c r="BK633" t="s">
        <v>101</v>
      </c>
      <c r="BL633" t="s">
        <v>271</v>
      </c>
      <c r="BM633" t="s">
        <v>11480</v>
      </c>
      <c r="BN633" t="s">
        <v>74</v>
      </c>
      <c r="BO633" t="s">
        <v>74</v>
      </c>
      <c r="BP633" t="s">
        <v>74</v>
      </c>
      <c r="BQ633" t="s">
        <v>74</v>
      </c>
      <c r="BR633" t="s">
        <v>103</v>
      </c>
      <c r="BS633" t="s">
        <v>12245</v>
      </c>
      <c r="BT633" t="str">
        <f>HYPERLINK("https%3A%2F%2Fwww.webofscience.com%2Fwos%2Fwoscc%2Ffull-record%2FWOS:000356807800019","View Full Record in Web of Science")</f>
        <v>View Full Record in Web of Science</v>
      </c>
    </row>
    <row r="634" spans="1:72" x14ac:dyDescent="0.15">
      <c r="A634" t="s">
        <v>72</v>
      </c>
      <c r="B634" t="s">
        <v>12246</v>
      </c>
      <c r="C634" t="s">
        <v>74</v>
      </c>
      <c r="D634" t="s">
        <v>74</v>
      </c>
      <c r="E634" t="s">
        <v>74</v>
      </c>
      <c r="F634" t="s">
        <v>12247</v>
      </c>
      <c r="G634" t="s">
        <v>74</v>
      </c>
      <c r="H634" t="s">
        <v>74</v>
      </c>
      <c r="I634" t="s">
        <v>12248</v>
      </c>
      <c r="J634" t="s">
        <v>4097</v>
      </c>
      <c r="K634" t="s">
        <v>74</v>
      </c>
      <c r="L634" t="s">
        <v>74</v>
      </c>
      <c r="M634" t="s">
        <v>78</v>
      </c>
      <c r="N634" t="s">
        <v>79</v>
      </c>
      <c r="O634" t="s">
        <v>74</v>
      </c>
      <c r="P634" t="s">
        <v>74</v>
      </c>
      <c r="Q634" t="s">
        <v>74</v>
      </c>
      <c r="R634" t="s">
        <v>74</v>
      </c>
      <c r="S634" t="s">
        <v>74</v>
      </c>
      <c r="T634" t="s">
        <v>12249</v>
      </c>
      <c r="U634" t="s">
        <v>12250</v>
      </c>
      <c r="V634" t="s">
        <v>12251</v>
      </c>
      <c r="W634" t="s">
        <v>12252</v>
      </c>
      <c r="X634" t="s">
        <v>12253</v>
      </c>
      <c r="Y634" t="s">
        <v>12254</v>
      </c>
      <c r="Z634" t="s">
        <v>12255</v>
      </c>
      <c r="AA634" t="s">
        <v>12256</v>
      </c>
      <c r="AB634" t="s">
        <v>12257</v>
      </c>
      <c r="AC634" t="s">
        <v>12258</v>
      </c>
      <c r="AD634" t="s">
        <v>12259</v>
      </c>
      <c r="AE634" t="s">
        <v>12260</v>
      </c>
      <c r="AF634" t="s">
        <v>74</v>
      </c>
      <c r="AG634">
        <v>73</v>
      </c>
      <c r="AH634">
        <v>45</v>
      </c>
      <c r="AI634">
        <v>48</v>
      </c>
      <c r="AJ634">
        <v>0</v>
      </c>
      <c r="AK634">
        <v>23</v>
      </c>
      <c r="AL634" t="s">
        <v>883</v>
      </c>
      <c r="AM634" t="s">
        <v>884</v>
      </c>
      <c r="AN634" t="s">
        <v>885</v>
      </c>
      <c r="AO634" t="s">
        <v>4107</v>
      </c>
      <c r="AP634" t="s">
        <v>4108</v>
      </c>
      <c r="AQ634" t="s">
        <v>74</v>
      </c>
      <c r="AR634" t="s">
        <v>4109</v>
      </c>
      <c r="AS634" t="s">
        <v>4110</v>
      </c>
      <c r="AT634" t="s">
        <v>9714</v>
      </c>
      <c r="AU634">
        <v>2015</v>
      </c>
      <c r="AV634">
        <v>28</v>
      </c>
      <c r="AW634">
        <v>1</v>
      </c>
      <c r="AX634" t="s">
        <v>74</v>
      </c>
      <c r="AY634" t="s">
        <v>74</v>
      </c>
      <c r="AZ634" t="s">
        <v>74</v>
      </c>
      <c r="BA634" t="s">
        <v>74</v>
      </c>
      <c r="BB634">
        <v>152</v>
      </c>
      <c r="BC634">
        <v>164</v>
      </c>
      <c r="BD634" t="s">
        <v>74</v>
      </c>
      <c r="BE634" t="s">
        <v>12261</v>
      </c>
      <c r="BF634" t="str">
        <f>HYPERLINK("http://dx.doi.org/10.1016/j.gr.2014.03.013","http://dx.doi.org/10.1016/j.gr.2014.03.013")</f>
        <v>http://dx.doi.org/10.1016/j.gr.2014.03.013</v>
      </c>
      <c r="BG634" t="s">
        <v>74</v>
      </c>
      <c r="BH634" t="s">
        <v>74</v>
      </c>
      <c r="BI634">
        <v>13</v>
      </c>
      <c r="BJ634" t="s">
        <v>314</v>
      </c>
      <c r="BK634" t="s">
        <v>101</v>
      </c>
      <c r="BL634" t="s">
        <v>315</v>
      </c>
      <c r="BM634" t="s">
        <v>12262</v>
      </c>
      <c r="BN634" t="s">
        <v>74</v>
      </c>
      <c r="BO634" t="s">
        <v>74</v>
      </c>
      <c r="BP634" t="s">
        <v>74</v>
      </c>
      <c r="BQ634" t="s">
        <v>74</v>
      </c>
      <c r="BR634" t="s">
        <v>103</v>
      </c>
      <c r="BS634" t="s">
        <v>12263</v>
      </c>
      <c r="BT634" t="str">
        <f>HYPERLINK("https%3A%2F%2Fwww.webofscience.com%2Fwos%2Fwoscc%2Ffull-record%2FWOS:000356743000009","View Full Record in Web of Science")</f>
        <v>View Full Record in Web of Science</v>
      </c>
    </row>
    <row r="635" spans="1:72" x14ac:dyDescent="0.15">
      <c r="A635" t="s">
        <v>72</v>
      </c>
      <c r="B635" t="s">
        <v>12264</v>
      </c>
      <c r="C635" t="s">
        <v>74</v>
      </c>
      <c r="D635" t="s">
        <v>74</v>
      </c>
      <c r="E635" t="s">
        <v>74</v>
      </c>
      <c r="F635" t="s">
        <v>12265</v>
      </c>
      <c r="G635" t="s">
        <v>74</v>
      </c>
      <c r="H635" t="s">
        <v>74</v>
      </c>
      <c r="I635" t="s">
        <v>12266</v>
      </c>
      <c r="J635" t="s">
        <v>12267</v>
      </c>
      <c r="K635" t="s">
        <v>74</v>
      </c>
      <c r="L635" t="s">
        <v>74</v>
      </c>
      <c r="M635" t="s">
        <v>78</v>
      </c>
      <c r="N635" t="s">
        <v>79</v>
      </c>
      <c r="O635" t="s">
        <v>74</v>
      </c>
      <c r="P635" t="s">
        <v>74</v>
      </c>
      <c r="Q635" t="s">
        <v>74</v>
      </c>
      <c r="R635" t="s">
        <v>74</v>
      </c>
      <c r="S635" t="s">
        <v>74</v>
      </c>
      <c r="T635" t="s">
        <v>12268</v>
      </c>
      <c r="U635" t="s">
        <v>12269</v>
      </c>
      <c r="V635" t="s">
        <v>12270</v>
      </c>
      <c r="W635" t="s">
        <v>12271</v>
      </c>
      <c r="X635" t="s">
        <v>12272</v>
      </c>
      <c r="Y635" t="s">
        <v>12273</v>
      </c>
      <c r="Z635" t="s">
        <v>12274</v>
      </c>
      <c r="AA635" t="s">
        <v>12275</v>
      </c>
      <c r="AB635" t="s">
        <v>74</v>
      </c>
      <c r="AC635" t="s">
        <v>12276</v>
      </c>
      <c r="AD635" t="s">
        <v>12277</v>
      </c>
      <c r="AE635" t="s">
        <v>12278</v>
      </c>
      <c r="AF635" t="s">
        <v>74</v>
      </c>
      <c r="AG635">
        <v>78</v>
      </c>
      <c r="AH635">
        <v>9</v>
      </c>
      <c r="AI635">
        <v>10</v>
      </c>
      <c r="AJ635">
        <v>0</v>
      </c>
      <c r="AK635">
        <v>25</v>
      </c>
      <c r="AL635" t="s">
        <v>397</v>
      </c>
      <c r="AM635" t="s">
        <v>398</v>
      </c>
      <c r="AN635" t="s">
        <v>399</v>
      </c>
      <c r="AO635" t="s">
        <v>12279</v>
      </c>
      <c r="AP635" t="s">
        <v>74</v>
      </c>
      <c r="AQ635" t="s">
        <v>74</v>
      </c>
      <c r="AR635" t="s">
        <v>12280</v>
      </c>
      <c r="AS635" t="s">
        <v>12281</v>
      </c>
      <c r="AT635" t="s">
        <v>9714</v>
      </c>
      <c r="AU635">
        <v>2015</v>
      </c>
      <c r="AV635">
        <v>66</v>
      </c>
      <c r="AW635">
        <v>2</v>
      </c>
      <c r="AX635" t="s">
        <v>74</v>
      </c>
      <c r="AY635" t="s">
        <v>74</v>
      </c>
      <c r="AZ635" t="s">
        <v>74</v>
      </c>
      <c r="BA635" t="s">
        <v>74</v>
      </c>
      <c r="BB635">
        <v>299</v>
      </c>
      <c r="BC635">
        <v>309</v>
      </c>
      <c r="BD635" t="s">
        <v>74</v>
      </c>
      <c r="BE635" t="s">
        <v>12282</v>
      </c>
      <c r="BF635" t="str">
        <f>HYPERLINK("http://dx.doi.org/10.1016/j.molimm.2015.03.247","http://dx.doi.org/10.1016/j.molimm.2015.03.247")</f>
        <v>http://dx.doi.org/10.1016/j.molimm.2015.03.247</v>
      </c>
      <c r="BG635" t="s">
        <v>74</v>
      </c>
      <c r="BH635" t="s">
        <v>74</v>
      </c>
      <c r="BI635">
        <v>11</v>
      </c>
      <c r="BJ635" t="s">
        <v>12283</v>
      </c>
      <c r="BK635" t="s">
        <v>101</v>
      </c>
      <c r="BL635" t="s">
        <v>12283</v>
      </c>
      <c r="BM635" t="s">
        <v>12284</v>
      </c>
      <c r="BN635">
        <v>25909494</v>
      </c>
      <c r="BO635" t="s">
        <v>74</v>
      </c>
      <c r="BP635" t="s">
        <v>74</v>
      </c>
      <c r="BQ635" t="s">
        <v>74</v>
      </c>
      <c r="BR635" t="s">
        <v>103</v>
      </c>
      <c r="BS635" t="s">
        <v>12285</v>
      </c>
      <c r="BT635" t="str">
        <f>HYPERLINK("https%3A%2F%2Fwww.webofscience.com%2Fwos%2Fwoscc%2Ffull-record%2FWOS:000356995900022","View Full Record in Web of Science")</f>
        <v>View Full Record in Web of Science</v>
      </c>
    </row>
    <row r="636" spans="1:72" x14ac:dyDescent="0.15">
      <c r="A636" t="s">
        <v>72</v>
      </c>
      <c r="B636" t="s">
        <v>12286</v>
      </c>
      <c r="C636" t="s">
        <v>74</v>
      </c>
      <c r="D636" t="s">
        <v>74</v>
      </c>
      <c r="E636" t="s">
        <v>74</v>
      </c>
      <c r="F636" t="s">
        <v>12287</v>
      </c>
      <c r="G636" t="s">
        <v>74</v>
      </c>
      <c r="H636" t="s">
        <v>74</v>
      </c>
      <c r="I636" t="s">
        <v>12288</v>
      </c>
      <c r="J636" t="s">
        <v>12289</v>
      </c>
      <c r="K636" t="s">
        <v>74</v>
      </c>
      <c r="L636" t="s">
        <v>74</v>
      </c>
      <c r="M636" t="s">
        <v>78</v>
      </c>
      <c r="N636" t="s">
        <v>79</v>
      </c>
      <c r="O636" t="s">
        <v>74</v>
      </c>
      <c r="P636" t="s">
        <v>74</v>
      </c>
      <c r="Q636" t="s">
        <v>74</v>
      </c>
      <c r="R636" t="s">
        <v>74</v>
      </c>
      <c r="S636" t="s">
        <v>74</v>
      </c>
      <c r="T636" t="s">
        <v>12290</v>
      </c>
      <c r="U636" t="s">
        <v>12291</v>
      </c>
      <c r="V636" t="s">
        <v>12292</v>
      </c>
      <c r="W636" t="s">
        <v>12293</v>
      </c>
      <c r="X636" t="s">
        <v>12294</v>
      </c>
      <c r="Y636" t="s">
        <v>12295</v>
      </c>
      <c r="Z636" t="s">
        <v>12296</v>
      </c>
      <c r="AA636" t="s">
        <v>12297</v>
      </c>
      <c r="AB636" t="s">
        <v>12298</v>
      </c>
      <c r="AC636" t="s">
        <v>74</v>
      </c>
      <c r="AD636" t="s">
        <v>74</v>
      </c>
      <c r="AE636" t="s">
        <v>74</v>
      </c>
      <c r="AF636" t="s">
        <v>74</v>
      </c>
      <c r="AG636">
        <v>65</v>
      </c>
      <c r="AH636">
        <v>10</v>
      </c>
      <c r="AI636">
        <v>10</v>
      </c>
      <c r="AJ636">
        <v>2</v>
      </c>
      <c r="AK636">
        <v>23</v>
      </c>
      <c r="AL636" t="s">
        <v>496</v>
      </c>
      <c r="AM636" t="s">
        <v>398</v>
      </c>
      <c r="AN636" t="s">
        <v>497</v>
      </c>
      <c r="AO636" t="s">
        <v>12299</v>
      </c>
      <c r="AP636" t="s">
        <v>12300</v>
      </c>
      <c r="AQ636" t="s">
        <v>74</v>
      </c>
      <c r="AR636" t="s">
        <v>12301</v>
      </c>
      <c r="AS636" t="s">
        <v>12302</v>
      </c>
      <c r="AT636" t="s">
        <v>9714</v>
      </c>
      <c r="AU636">
        <v>2015</v>
      </c>
      <c r="AV636">
        <v>70</v>
      </c>
      <c r="AW636" t="s">
        <v>74</v>
      </c>
      <c r="AX636" t="s">
        <v>74</v>
      </c>
      <c r="AY636" t="s">
        <v>74</v>
      </c>
      <c r="AZ636" t="s">
        <v>74</v>
      </c>
      <c r="BA636" t="s">
        <v>74</v>
      </c>
      <c r="BB636">
        <v>86</v>
      </c>
      <c r="BC636">
        <v>96</v>
      </c>
      <c r="BD636" t="s">
        <v>74</v>
      </c>
      <c r="BE636" t="s">
        <v>12303</v>
      </c>
      <c r="BF636" t="str">
        <f>HYPERLINK("http://dx.doi.org/10.1016/j.envsoft.2015.04.006","http://dx.doi.org/10.1016/j.envsoft.2015.04.006")</f>
        <v>http://dx.doi.org/10.1016/j.envsoft.2015.04.006</v>
      </c>
      <c r="BG636" t="s">
        <v>74</v>
      </c>
      <c r="BH636" t="s">
        <v>74</v>
      </c>
      <c r="BI636">
        <v>11</v>
      </c>
      <c r="BJ636" t="s">
        <v>12304</v>
      </c>
      <c r="BK636" t="s">
        <v>1482</v>
      </c>
      <c r="BL636" t="s">
        <v>12305</v>
      </c>
      <c r="BM636" t="s">
        <v>12306</v>
      </c>
      <c r="BN636" t="s">
        <v>74</v>
      </c>
      <c r="BO636" t="s">
        <v>74</v>
      </c>
      <c r="BP636" t="s">
        <v>74</v>
      </c>
      <c r="BQ636" t="s">
        <v>74</v>
      </c>
      <c r="BR636" t="s">
        <v>103</v>
      </c>
      <c r="BS636" t="s">
        <v>12307</v>
      </c>
      <c r="BT636" t="str">
        <f>HYPERLINK("https%3A%2F%2Fwww.webofscience.com%2Fwos%2Fwoscc%2Ffull-record%2FWOS:000356741300008","View Full Record in Web of Science")</f>
        <v>View Full Record in Web of Science</v>
      </c>
    </row>
    <row r="637" spans="1:72" x14ac:dyDescent="0.15">
      <c r="A637" t="s">
        <v>72</v>
      </c>
      <c r="B637" t="s">
        <v>12308</v>
      </c>
      <c r="C637" t="s">
        <v>74</v>
      </c>
      <c r="D637" t="s">
        <v>74</v>
      </c>
      <c r="E637" t="s">
        <v>74</v>
      </c>
      <c r="F637" t="s">
        <v>12309</v>
      </c>
      <c r="G637" t="s">
        <v>74</v>
      </c>
      <c r="H637" t="s">
        <v>74</v>
      </c>
      <c r="I637" t="s">
        <v>12310</v>
      </c>
      <c r="J637" t="s">
        <v>12311</v>
      </c>
      <c r="K637" t="s">
        <v>74</v>
      </c>
      <c r="L637" t="s">
        <v>74</v>
      </c>
      <c r="M637" t="s">
        <v>78</v>
      </c>
      <c r="N637" t="s">
        <v>79</v>
      </c>
      <c r="O637" t="s">
        <v>74</v>
      </c>
      <c r="P637" t="s">
        <v>74</v>
      </c>
      <c r="Q637" t="s">
        <v>74</v>
      </c>
      <c r="R637" t="s">
        <v>74</v>
      </c>
      <c r="S637" t="s">
        <v>74</v>
      </c>
      <c r="T637" t="s">
        <v>12312</v>
      </c>
      <c r="U637" t="s">
        <v>12313</v>
      </c>
      <c r="V637" t="s">
        <v>12314</v>
      </c>
      <c r="W637" t="s">
        <v>12315</v>
      </c>
      <c r="X637" t="s">
        <v>12316</v>
      </c>
      <c r="Y637" t="s">
        <v>12317</v>
      </c>
      <c r="Z637" t="s">
        <v>12318</v>
      </c>
      <c r="AA637" t="s">
        <v>12319</v>
      </c>
      <c r="AB637" t="s">
        <v>12320</v>
      </c>
      <c r="AC637" t="s">
        <v>12321</v>
      </c>
      <c r="AD637" t="s">
        <v>12322</v>
      </c>
      <c r="AE637" t="s">
        <v>12323</v>
      </c>
      <c r="AF637" t="s">
        <v>74</v>
      </c>
      <c r="AG637">
        <v>55</v>
      </c>
      <c r="AH637">
        <v>14</v>
      </c>
      <c r="AI637">
        <v>14</v>
      </c>
      <c r="AJ637">
        <v>0</v>
      </c>
      <c r="AK637">
        <v>26</v>
      </c>
      <c r="AL637" t="s">
        <v>883</v>
      </c>
      <c r="AM637" t="s">
        <v>884</v>
      </c>
      <c r="AN637" t="s">
        <v>885</v>
      </c>
      <c r="AO637" t="s">
        <v>12324</v>
      </c>
      <c r="AP637" t="s">
        <v>12325</v>
      </c>
      <c r="AQ637" t="s">
        <v>74</v>
      </c>
      <c r="AR637" t="s">
        <v>12326</v>
      </c>
      <c r="AS637" t="s">
        <v>12327</v>
      </c>
      <c r="AT637" t="s">
        <v>9714</v>
      </c>
      <c r="AU637">
        <v>2015</v>
      </c>
      <c r="AV637">
        <v>148</v>
      </c>
      <c r="AW637" t="s">
        <v>74</v>
      </c>
      <c r="AX637" t="s">
        <v>74</v>
      </c>
      <c r="AY637" t="s">
        <v>74</v>
      </c>
      <c r="AZ637" t="s">
        <v>74</v>
      </c>
      <c r="BA637" t="s">
        <v>74</v>
      </c>
      <c r="BB637">
        <v>26</v>
      </c>
      <c r="BC637">
        <v>38</v>
      </c>
      <c r="BD637" t="s">
        <v>74</v>
      </c>
      <c r="BE637" t="s">
        <v>12328</v>
      </c>
      <c r="BF637" t="str">
        <f>HYPERLINK("http://dx.doi.org/10.1016/j.jmarsys.2015.02.002","http://dx.doi.org/10.1016/j.jmarsys.2015.02.002")</f>
        <v>http://dx.doi.org/10.1016/j.jmarsys.2015.02.002</v>
      </c>
      <c r="BG637" t="s">
        <v>74</v>
      </c>
      <c r="BH637" t="s">
        <v>74</v>
      </c>
      <c r="BI637">
        <v>13</v>
      </c>
      <c r="BJ637" t="s">
        <v>12329</v>
      </c>
      <c r="BK637" t="s">
        <v>101</v>
      </c>
      <c r="BL637" t="s">
        <v>12330</v>
      </c>
      <c r="BM637" t="s">
        <v>12331</v>
      </c>
      <c r="BN637" t="s">
        <v>74</v>
      </c>
      <c r="BO637" t="s">
        <v>74</v>
      </c>
      <c r="BP637" t="s">
        <v>74</v>
      </c>
      <c r="BQ637" t="s">
        <v>74</v>
      </c>
      <c r="BR637" t="s">
        <v>103</v>
      </c>
      <c r="BS637" t="s">
        <v>12332</v>
      </c>
      <c r="BT637" t="str">
        <f>HYPERLINK("https%3A%2F%2Fwww.webofscience.com%2Fwos%2Fwoscc%2Ffull-record%2FWOS:000356546400003","View Full Record in Web of Science")</f>
        <v>View Full Record in Web of Science</v>
      </c>
    </row>
    <row r="638" spans="1:72" x14ac:dyDescent="0.15">
      <c r="A638" t="s">
        <v>72</v>
      </c>
      <c r="B638" t="s">
        <v>12333</v>
      </c>
      <c r="C638" t="s">
        <v>74</v>
      </c>
      <c r="D638" t="s">
        <v>74</v>
      </c>
      <c r="E638" t="s">
        <v>74</v>
      </c>
      <c r="F638" t="s">
        <v>12334</v>
      </c>
      <c r="G638" t="s">
        <v>74</v>
      </c>
      <c r="H638" t="s">
        <v>74</v>
      </c>
      <c r="I638" t="s">
        <v>12335</v>
      </c>
      <c r="J638" t="s">
        <v>12336</v>
      </c>
      <c r="K638" t="s">
        <v>74</v>
      </c>
      <c r="L638" t="s">
        <v>74</v>
      </c>
      <c r="M638" t="s">
        <v>78</v>
      </c>
      <c r="N638" t="s">
        <v>79</v>
      </c>
      <c r="O638" t="s">
        <v>74</v>
      </c>
      <c r="P638" t="s">
        <v>74</v>
      </c>
      <c r="Q638" t="s">
        <v>74</v>
      </c>
      <c r="R638" t="s">
        <v>74</v>
      </c>
      <c r="S638" t="s">
        <v>74</v>
      </c>
      <c r="T638" t="s">
        <v>12337</v>
      </c>
      <c r="U638" t="s">
        <v>12338</v>
      </c>
      <c r="V638" t="s">
        <v>12339</v>
      </c>
      <c r="W638" t="s">
        <v>12340</v>
      </c>
      <c r="X638" t="s">
        <v>12341</v>
      </c>
      <c r="Y638" t="s">
        <v>12342</v>
      </c>
      <c r="Z638" t="s">
        <v>12343</v>
      </c>
      <c r="AA638" t="s">
        <v>74</v>
      </c>
      <c r="AB638" t="s">
        <v>74</v>
      </c>
      <c r="AC638" t="s">
        <v>12344</v>
      </c>
      <c r="AD638" t="s">
        <v>12345</v>
      </c>
      <c r="AE638" t="s">
        <v>12346</v>
      </c>
      <c r="AF638" t="s">
        <v>74</v>
      </c>
      <c r="AG638">
        <v>47</v>
      </c>
      <c r="AH638">
        <v>17</v>
      </c>
      <c r="AI638">
        <v>20</v>
      </c>
      <c r="AJ638">
        <v>2</v>
      </c>
      <c r="AK638">
        <v>38</v>
      </c>
      <c r="AL638" t="s">
        <v>3040</v>
      </c>
      <c r="AM638" t="s">
        <v>3041</v>
      </c>
      <c r="AN638" t="s">
        <v>3042</v>
      </c>
      <c r="AO638" t="s">
        <v>12347</v>
      </c>
      <c r="AP638" t="s">
        <v>12348</v>
      </c>
      <c r="AQ638" t="s">
        <v>74</v>
      </c>
      <c r="AR638" t="s">
        <v>12349</v>
      </c>
      <c r="AS638" t="s">
        <v>12350</v>
      </c>
      <c r="AT638" t="s">
        <v>9714</v>
      </c>
      <c r="AU638">
        <v>2015</v>
      </c>
      <c r="AV638">
        <v>62</v>
      </c>
      <c r="AW638">
        <v>3</v>
      </c>
      <c r="AX638" t="s">
        <v>74</v>
      </c>
      <c r="AY638" t="s">
        <v>74</v>
      </c>
      <c r="AZ638" t="s">
        <v>74</v>
      </c>
      <c r="BA638" t="s">
        <v>74</v>
      </c>
      <c r="BB638">
        <v>265</v>
      </c>
      <c r="BC638">
        <v>280</v>
      </c>
      <c r="BD638" t="s">
        <v>74</v>
      </c>
      <c r="BE638" t="s">
        <v>12351</v>
      </c>
      <c r="BF638" t="str">
        <f>HYPERLINK("http://dx.doi.org/10.1007/s00040-015-0403-9","http://dx.doi.org/10.1007/s00040-015-0403-9")</f>
        <v>http://dx.doi.org/10.1007/s00040-015-0403-9</v>
      </c>
      <c r="BG638" t="s">
        <v>74</v>
      </c>
      <c r="BH638" t="s">
        <v>74</v>
      </c>
      <c r="BI638">
        <v>16</v>
      </c>
      <c r="BJ638" t="s">
        <v>2065</v>
      </c>
      <c r="BK638" t="s">
        <v>101</v>
      </c>
      <c r="BL638" t="s">
        <v>2065</v>
      </c>
      <c r="BM638" t="s">
        <v>12352</v>
      </c>
      <c r="BN638" t="s">
        <v>74</v>
      </c>
      <c r="BO638" t="s">
        <v>74</v>
      </c>
      <c r="BP638" t="s">
        <v>74</v>
      </c>
      <c r="BQ638" t="s">
        <v>74</v>
      </c>
      <c r="BR638" t="s">
        <v>103</v>
      </c>
      <c r="BS638" t="s">
        <v>12353</v>
      </c>
      <c r="BT638" t="str">
        <f>HYPERLINK("https%3A%2F%2Fwww.webofscience.com%2Fwos%2Fwoscc%2Ffull-record%2FWOS:000356271800004","View Full Record in Web of Science")</f>
        <v>View Full Record in Web of Science</v>
      </c>
    </row>
    <row r="639" spans="1:72" x14ac:dyDescent="0.15">
      <c r="A639" t="s">
        <v>72</v>
      </c>
      <c r="B639" t="s">
        <v>12354</v>
      </c>
      <c r="C639" t="s">
        <v>74</v>
      </c>
      <c r="D639" t="s">
        <v>74</v>
      </c>
      <c r="E639" t="s">
        <v>74</v>
      </c>
      <c r="F639" t="s">
        <v>12355</v>
      </c>
      <c r="G639" t="s">
        <v>74</v>
      </c>
      <c r="H639" t="s">
        <v>74</v>
      </c>
      <c r="I639" t="s">
        <v>12356</v>
      </c>
      <c r="J639" t="s">
        <v>12357</v>
      </c>
      <c r="K639" t="s">
        <v>74</v>
      </c>
      <c r="L639" t="s">
        <v>74</v>
      </c>
      <c r="M639" t="s">
        <v>78</v>
      </c>
      <c r="N639" t="s">
        <v>79</v>
      </c>
      <c r="O639" t="s">
        <v>74</v>
      </c>
      <c r="P639" t="s">
        <v>74</v>
      </c>
      <c r="Q639" t="s">
        <v>74</v>
      </c>
      <c r="R639" t="s">
        <v>74</v>
      </c>
      <c r="S639" t="s">
        <v>74</v>
      </c>
      <c r="T639" t="s">
        <v>12358</v>
      </c>
      <c r="U639" t="s">
        <v>12359</v>
      </c>
      <c r="V639" t="s">
        <v>12360</v>
      </c>
      <c r="W639" t="s">
        <v>12361</v>
      </c>
      <c r="X639" t="s">
        <v>8036</v>
      </c>
      <c r="Y639" t="s">
        <v>12362</v>
      </c>
      <c r="Z639" t="s">
        <v>12363</v>
      </c>
      <c r="AA639" t="s">
        <v>74</v>
      </c>
      <c r="AB639" t="s">
        <v>74</v>
      </c>
      <c r="AC639" t="s">
        <v>12364</v>
      </c>
      <c r="AD639" t="s">
        <v>12365</v>
      </c>
      <c r="AE639" t="s">
        <v>12366</v>
      </c>
      <c r="AF639" t="s">
        <v>74</v>
      </c>
      <c r="AG639">
        <v>30</v>
      </c>
      <c r="AH639">
        <v>4</v>
      </c>
      <c r="AI639">
        <v>4</v>
      </c>
      <c r="AJ639">
        <v>0</v>
      </c>
      <c r="AK639">
        <v>15</v>
      </c>
      <c r="AL639" t="s">
        <v>397</v>
      </c>
      <c r="AM639" t="s">
        <v>398</v>
      </c>
      <c r="AN639" t="s">
        <v>399</v>
      </c>
      <c r="AO639" t="s">
        <v>12367</v>
      </c>
      <c r="AP639" t="s">
        <v>12368</v>
      </c>
      <c r="AQ639" t="s">
        <v>74</v>
      </c>
      <c r="AR639" t="s">
        <v>12369</v>
      </c>
      <c r="AS639" t="s">
        <v>12370</v>
      </c>
      <c r="AT639" t="s">
        <v>9714</v>
      </c>
      <c r="AU639">
        <v>2015</v>
      </c>
      <c r="AV639">
        <v>161</v>
      </c>
      <c r="AW639" t="s">
        <v>74</v>
      </c>
      <c r="AX639" t="s">
        <v>74</v>
      </c>
      <c r="AY639" t="s">
        <v>74</v>
      </c>
      <c r="AZ639" t="s">
        <v>74</v>
      </c>
      <c r="BA639" t="s">
        <v>74</v>
      </c>
      <c r="BB639">
        <v>50</v>
      </c>
      <c r="BC639">
        <v>59</v>
      </c>
      <c r="BD639" t="s">
        <v>74</v>
      </c>
      <c r="BE639" t="s">
        <v>12371</v>
      </c>
      <c r="BF639" t="str">
        <f>HYPERLINK("http://dx.doi.org/10.1016/j.jqsrt.2015.03.012","http://dx.doi.org/10.1016/j.jqsrt.2015.03.012")</f>
        <v>http://dx.doi.org/10.1016/j.jqsrt.2015.03.012</v>
      </c>
      <c r="BG639" t="s">
        <v>74</v>
      </c>
      <c r="BH639" t="s">
        <v>74</v>
      </c>
      <c r="BI639">
        <v>10</v>
      </c>
      <c r="BJ639" t="s">
        <v>12372</v>
      </c>
      <c r="BK639" t="s">
        <v>101</v>
      </c>
      <c r="BL639" t="s">
        <v>12372</v>
      </c>
      <c r="BM639" t="s">
        <v>12373</v>
      </c>
      <c r="BN639" t="s">
        <v>74</v>
      </c>
      <c r="BO639" t="s">
        <v>74</v>
      </c>
      <c r="BP639" t="s">
        <v>74</v>
      </c>
      <c r="BQ639" t="s">
        <v>74</v>
      </c>
      <c r="BR639" t="s">
        <v>103</v>
      </c>
      <c r="BS639" t="s">
        <v>12374</v>
      </c>
      <c r="BT639" t="str">
        <f>HYPERLINK("https%3A%2F%2Fwww.webofscience.com%2Fwos%2Fwoscc%2Ffull-record%2FWOS:000356196300006","View Full Record in Web of Science")</f>
        <v>View Full Record in Web of Science</v>
      </c>
    </row>
    <row r="640" spans="1:72" x14ac:dyDescent="0.15">
      <c r="A640" t="s">
        <v>72</v>
      </c>
      <c r="B640" t="s">
        <v>12375</v>
      </c>
      <c r="C640" t="s">
        <v>74</v>
      </c>
      <c r="D640" t="s">
        <v>74</v>
      </c>
      <c r="E640" t="s">
        <v>74</v>
      </c>
      <c r="F640" t="s">
        <v>12376</v>
      </c>
      <c r="G640" t="s">
        <v>74</v>
      </c>
      <c r="H640" t="s">
        <v>74</v>
      </c>
      <c r="I640" t="s">
        <v>12377</v>
      </c>
      <c r="J640" t="s">
        <v>12378</v>
      </c>
      <c r="K640" t="s">
        <v>74</v>
      </c>
      <c r="L640" t="s">
        <v>74</v>
      </c>
      <c r="M640" t="s">
        <v>78</v>
      </c>
      <c r="N640" t="s">
        <v>79</v>
      </c>
      <c r="O640" t="s">
        <v>74</v>
      </c>
      <c r="P640" t="s">
        <v>74</v>
      </c>
      <c r="Q640" t="s">
        <v>74</v>
      </c>
      <c r="R640" t="s">
        <v>74</v>
      </c>
      <c r="S640" t="s">
        <v>74</v>
      </c>
      <c r="T640" t="s">
        <v>12379</v>
      </c>
      <c r="U640" t="s">
        <v>12380</v>
      </c>
      <c r="V640" t="s">
        <v>12381</v>
      </c>
      <c r="W640" t="s">
        <v>12382</v>
      </c>
      <c r="X640" t="s">
        <v>12383</v>
      </c>
      <c r="Y640" t="s">
        <v>12384</v>
      </c>
      <c r="Z640" t="s">
        <v>12385</v>
      </c>
      <c r="AA640" t="s">
        <v>12386</v>
      </c>
      <c r="AB640" t="s">
        <v>12387</v>
      </c>
      <c r="AC640" t="s">
        <v>12388</v>
      </c>
      <c r="AD640" t="s">
        <v>12389</v>
      </c>
      <c r="AE640" t="s">
        <v>12390</v>
      </c>
      <c r="AF640" t="s">
        <v>74</v>
      </c>
      <c r="AG640">
        <v>48</v>
      </c>
      <c r="AH640">
        <v>23</v>
      </c>
      <c r="AI640">
        <v>27</v>
      </c>
      <c r="AJ640">
        <v>2</v>
      </c>
      <c r="AK640">
        <v>83</v>
      </c>
      <c r="AL640" t="s">
        <v>3146</v>
      </c>
      <c r="AM640" t="s">
        <v>3147</v>
      </c>
      <c r="AN640" t="s">
        <v>3148</v>
      </c>
      <c r="AO640" t="s">
        <v>12391</v>
      </c>
      <c r="AP640" t="s">
        <v>12392</v>
      </c>
      <c r="AQ640" t="s">
        <v>74</v>
      </c>
      <c r="AR640" t="s">
        <v>12393</v>
      </c>
      <c r="AS640" t="s">
        <v>12394</v>
      </c>
      <c r="AT640" t="s">
        <v>9714</v>
      </c>
      <c r="AU640">
        <v>2015</v>
      </c>
      <c r="AV640">
        <v>7</v>
      </c>
      <c r="AW640">
        <v>4</v>
      </c>
      <c r="AX640" t="s">
        <v>74</v>
      </c>
      <c r="AY640" t="s">
        <v>74</v>
      </c>
      <c r="AZ640" t="s">
        <v>74</v>
      </c>
      <c r="BA640" t="s">
        <v>74</v>
      </c>
      <c r="BB640">
        <v>527</v>
      </c>
      <c r="BC640">
        <v>543</v>
      </c>
      <c r="BD640" t="s">
        <v>74</v>
      </c>
      <c r="BE640" t="s">
        <v>12395</v>
      </c>
      <c r="BF640" t="str">
        <f>HYPERLINK("http://dx.doi.org/10.1007/s40333-015-0125-x","http://dx.doi.org/10.1007/s40333-015-0125-x")</f>
        <v>http://dx.doi.org/10.1007/s40333-015-0125-x</v>
      </c>
      <c r="BG640" t="s">
        <v>74</v>
      </c>
      <c r="BH640" t="s">
        <v>74</v>
      </c>
      <c r="BI640">
        <v>17</v>
      </c>
      <c r="BJ640" t="s">
        <v>3267</v>
      </c>
      <c r="BK640" t="s">
        <v>101</v>
      </c>
      <c r="BL640" t="s">
        <v>644</v>
      </c>
      <c r="BM640" t="s">
        <v>12396</v>
      </c>
      <c r="BN640" t="s">
        <v>74</v>
      </c>
      <c r="BO640" t="s">
        <v>162</v>
      </c>
      <c r="BP640" t="s">
        <v>74</v>
      </c>
      <c r="BQ640" t="s">
        <v>74</v>
      </c>
      <c r="BR640" t="s">
        <v>103</v>
      </c>
      <c r="BS640" t="s">
        <v>12397</v>
      </c>
      <c r="BT640" t="str">
        <f>HYPERLINK("https%3A%2F%2Fwww.webofscience.com%2Fwos%2Fwoscc%2Ffull-record%2FWOS:000353213300011","View Full Record in Web of Science")</f>
        <v>View Full Record in Web of Science</v>
      </c>
    </row>
    <row r="641" spans="1:72" x14ac:dyDescent="0.15">
      <c r="A641" t="s">
        <v>72</v>
      </c>
      <c r="B641" t="s">
        <v>12398</v>
      </c>
      <c r="C641" t="s">
        <v>74</v>
      </c>
      <c r="D641" t="s">
        <v>74</v>
      </c>
      <c r="E641" t="s">
        <v>74</v>
      </c>
      <c r="F641" t="s">
        <v>12399</v>
      </c>
      <c r="G641" t="s">
        <v>74</v>
      </c>
      <c r="H641" t="s">
        <v>74</v>
      </c>
      <c r="I641" t="s">
        <v>12400</v>
      </c>
      <c r="J641" t="s">
        <v>12401</v>
      </c>
      <c r="K641" t="s">
        <v>74</v>
      </c>
      <c r="L641" t="s">
        <v>74</v>
      </c>
      <c r="M641" t="s">
        <v>78</v>
      </c>
      <c r="N641" t="s">
        <v>79</v>
      </c>
      <c r="O641" t="s">
        <v>74</v>
      </c>
      <c r="P641" t="s">
        <v>74</v>
      </c>
      <c r="Q641" t="s">
        <v>74</v>
      </c>
      <c r="R641" t="s">
        <v>74</v>
      </c>
      <c r="S641" t="s">
        <v>74</v>
      </c>
      <c r="T641" t="s">
        <v>12402</v>
      </c>
      <c r="U641" t="s">
        <v>12403</v>
      </c>
      <c r="V641" t="s">
        <v>12404</v>
      </c>
      <c r="W641" t="s">
        <v>12405</v>
      </c>
      <c r="X641" t="s">
        <v>12406</v>
      </c>
      <c r="Y641" t="s">
        <v>12407</v>
      </c>
      <c r="Z641" t="s">
        <v>12408</v>
      </c>
      <c r="AA641" t="s">
        <v>12409</v>
      </c>
      <c r="AB641" t="s">
        <v>74</v>
      </c>
      <c r="AC641" t="s">
        <v>12410</v>
      </c>
      <c r="AD641" t="s">
        <v>12411</v>
      </c>
      <c r="AE641" t="s">
        <v>12412</v>
      </c>
      <c r="AF641" t="s">
        <v>74</v>
      </c>
      <c r="AG641">
        <v>28</v>
      </c>
      <c r="AH641">
        <v>13</v>
      </c>
      <c r="AI641">
        <v>14</v>
      </c>
      <c r="AJ641">
        <v>1</v>
      </c>
      <c r="AK641">
        <v>32</v>
      </c>
      <c r="AL641" t="s">
        <v>4118</v>
      </c>
      <c r="AM641" t="s">
        <v>4119</v>
      </c>
      <c r="AN641" t="s">
        <v>4120</v>
      </c>
      <c r="AO641" t="s">
        <v>12413</v>
      </c>
      <c r="AP641" t="s">
        <v>12414</v>
      </c>
      <c r="AQ641" t="s">
        <v>74</v>
      </c>
      <c r="AR641" t="s">
        <v>12415</v>
      </c>
      <c r="AS641" t="s">
        <v>12416</v>
      </c>
      <c r="AT641" t="s">
        <v>9714</v>
      </c>
      <c r="AU641">
        <v>2015</v>
      </c>
      <c r="AV641">
        <v>53</v>
      </c>
      <c r="AW641">
        <v>8</v>
      </c>
      <c r="AX641" t="s">
        <v>74</v>
      </c>
      <c r="AY641" t="s">
        <v>74</v>
      </c>
      <c r="AZ641" t="s">
        <v>74</v>
      </c>
      <c r="BA641" t="s">
        <v>74</v>
      </c>
      <c r="BB641">
        <v>4496</v>
      </c>
      <c r="BC641">
        <v>4509</v>
      </c>
      <c r="BD641" t="s">
        <v>74</v>
      </c>
      <c r="BE641" t="s">
        <v>12417</v>
      </c>
      <c r="BF641" t="str">
        <f>HYPERLINK("http://dx.doi.org/10.1109/TGRS.2015.2400473","http://dx.doi.org/10.1109/TGRS.2015.2400473")</f>
        <v>http://dx.doi.org/10.1109/TGRS.2015.2400473</v>
      </c>
      <c r="BG641" t="s">
        <v>74</v>
      </c>
      <c r="BH641" t="s">
        <v>74</v>
      </c>
      <c r="BI641">
        <v>14</v>
      </c>
      <c r="BJ641" t="s">
        <v>12418</v>
      </c>
      <c r="BK641" t="s">
        <v>101</v>
      </c>
      <c r="BL641" t="s">
        <v>12419</v>
      </c>
      <c r="BM641" t="s">
        <v>12420</v>
      </c>
      <c r="BN641" t="s">
        <v>74</v>
      </c>
      <c r="BO641" t="s">
        <v>74</v>
      </c>
      <c r="BP641" t="s">
        <v>74</v>
      </c>
      <c r="BQ641" t="s">
        <v>74</v>
      </c>
      <c r="BR641" t="s">
        <v>103</v>
      </c>
      <c r="BS641" t="s">
        <v>12421</v>
      </c>
      <c r="BT641" t="str">
        <f>HYPERLINK("https%3A%2F%2Fwww.webofscience.com%2Fwos%2Fwoscc%2Ffull-record%2FWOS:000351763800028","View Full Record in Web of Science")</f>
        <v>View Full Record in Web of Science</v>
      </c>
    </row>
    <row r="642" spans="1:72" x14ac:dyDescent="0.15">
      <c r="A642" t="s">
        <v>72</v>
      </c>
      <c r="B642" t="s">
        <v>12422</v>
      </c>
      <c r="C642" t="s">
        <v>74</v>
      </c>
      <c r="D642" t="s">
        <v>74</v>
      </c>
      <c r="E642" t="s">
        <v>74</v>
      </c>
      <c r="F642" t="s">
        <v>12423</v>
      </c>
      <c r="G642" t="s">
        <v>74</v>
      </c>
      <c r="H642" t="s">
        <v>74</v>
      </c>
      <c r="I642" t="s">
        <v>12424</v>
      </c>
      <c r="J642" t="s">
        <v>1336</v>
      </c>
      <c r="K642" t="s">
        <v>74</v>
      </c>
      <c r="L642" t="s">
        <v>74</v>
      </c>
      <c r="M642" t="s">
        <v>78</v>
      </c>
      <c r="N642" t="s">
        <v>79</v>
      </c>
      <c r="O642" t="s">
        <v>74</v>
      </c>
      <c r="P642" t="s">
        <v>74</v>
      </c>
      <c r="Q642" t="s">
        <v>74</v>
      </c>
      <c r="R642" t="s">
        <v>74</v>
      </c>
      <c r="S642" t="s">
        <v>74</v>
      </c>
      <c r="T642" t="s">
        <v>74</v>
      </c>
      <c r="U642" t="s">
        <v>12425</v>
      </c>
      <c r="V642" t="s">
        <v>12426</v>
      </c>
      <c r="W642" t="s">
        <v>12427</v>
      </c>
      <c r="X642" t="s">
        <v>12428</v>
      </c>
      <c r="Y642" t="s">
        <v>12429</v>
      </c>
      <c r="Z642" t="s">
        <v>12430</v>
      </c>
      <c r="AA642" t="s">
        <v>12431</v>
      </c>
      <c r="AB642" t="s">
        <v>12432</v>
      </c>
      <c r="AC642" t="s">
        <v>12433</v>
      </c>
      <c r="AD642" t="s">
        <v>12434</v>
      </c>
      <c r="AE642" t="s">
        <v>12435</v>
      </c>
      <c r="AF642" t="s">
        <v>74</v>
      </c>
      <c r="AG642">
        <v>55</v>
      </c>
      <c r="AH642">
        <v>124</v>
      </c>
      <c r="AI642">
        <v>142</v>
      </c>
      <c r="AJ642">
        <v>2</v>
      </c>
      <c r="AK642">
        <v>90</v>
      </c>
      <c r="AL642" t="s">
        <v>179</v>
      </c>
      <c r="AM642" t="s">
        <v>180</v>
      </c>
      <c r="AN642" t="s">
        <v>181</v>
      </c>
      <c r="AO642" t="s">
        <v>1345</v>
      </c>
      <c r="AP642" t="s">
        <v>1346</v>
      </c>
      <c r="AQ642" t="s">
        <v>74</v>
      </c>
      <c r="AR642" t="s">
        <v>1336</v>
      </c>
      <c r="AS642" t="s">
        <v>1347</v>
      </c>
      <c r="AT642" t="s">
        <v>12436</v>
      </c>
      <c r="AU642">
        <v>2015</v>
      </c>
      <c r="AV642">
        <v>523</v>
      </c>
      <c r="AW642">
        <v>7562</v>
      </c>
      <c r="AX642" t="s">
        <v>74</v>
      </c>
      <c r="AY642" t="s">
        <v>74</v>
      </c>
      <c r="AZ642" t="s">
        <v>74</v>
      </c>
      <c r="BA642" t="s">
        <v>74</v>
      </c>
      <c r="BB642">
        <v>580</v>
      </c>
      <c r="BC642" t="s">
        <v>556</v>
      </c>
      <c r="BD642" t="s">
        <v>74</v>
      </c>
      <c r="BE642" t="s">
        <v>12437</v>
      </c>
      <c r="BF642" t="str">
        <f>HYPERLINK("http://dx.doi.org/10.1038/nature14598","http://dx.doi.org/10.1038/nature14598")</f>
        <v>http://dx.doi.org/10.1038/nature14598</v>
      </c>
      <c r="BG642" t="s">
        <v>74</v>
      </c>
      <c r="BH642" t="s">
        <v>74</v>
      </c>
      <c r="BI642">
        <v>14</v>
      </c>
      <c r="BJ642" t="s">
        <v>530</v>
      </c>
      <c r="BK642" t="s">
        <v>101</v>
      </c>
      <c r="BL642" t="s">
        <v>531</v>
      </c>
      <c r="BM642" t="s">
        <v>12438</v>
      </c>
      <c r="BN642">
        <v>26223626</v>
      </c>
      <c r="BO642" t="s">
        <v>74</v>
      </c>
      <c r="BP642" t="s">
        <v>74</v>
      </c>
      <c r="BQ642" t="s">
        <v>74</v>
      </c>
      <c r="BR642" t="s">
        <v>103</v>
      </c>
      <c r="BS642" t="s">
        <v>12439</v>
      </c>
      <c r="BT642" t="str">
        <f>HYPERLINK("https%3A%2F%2Fwww.webofscience.com%2Fwos%2Fwoscc%2Ffull-record%2FWOS:000358655200042","View Full Record in Web of Science")</f>
        <v>View Full Record in Web of Science</v>
      </c>
    </row>
    <row r="643" spans="1:72" x14ac:dyDescent="0.15">
      <c r="A643" t="s">
        <v>72</v>
      </c>
      <c r="B643" t="s">
        <v>12440</v>
      </c>
      <c r="C643" t="s">
        <v>74</v>
      </c>
      <c r="D643" t="s">
        <v>74</v>
      </c>
      <c r="E643" t="s">
        <v>74</v>
      </c>
      <c r="F643" t="s">
        <v>12441</v>
      </c>
      <c r="G643" t="s">
        <v>74</v>
      </c>
      <c r="H643" t="s">
        <v>74</v>
      </c>
      <c r="I643" t="s">
        <v>12442</v>
      </c>
      <c r="J643" t="s">
        <v>5175</v>
      </c>
      <c r="K643" t="s">
        <v>74</v>
      </c>
      <c r="L643" t="s">
        <v>74</v>
      </c>
      <c r="M643" t="s">
        <v>78</v>
      </c>
      <c r="N643" t="s">
        <v>79</v>
      </c>
      <c r="O643" t="s">
        <v>74</v>
      </c>
      <c r="P643" t="s">
        <v>74</v>
      </c>
      <c r="Q643" t="s">
        <v>74</v>
      </c>
      <c r="R643" t="s">
        <v>74</v>
      </c>
      <c r="S643" t="s">
        <v>74</v>
      </c>
      <c r="T643" t="s">
        <v>12443</v>
      </c>
      <c r="U643" t="s">
        <v>12444</v>
      </c>
      <c r="V643" t="s">
        <v>12445</v>
      </c>
      <c r="W643" t="s">
        <v>12446</v>
      </c>
      <c r="X643" t="s">
        <v>12447</v>
      </c>
      <c r="Y643" t="s">
        <v>12448</v>
      </c>
      <c r="Z643" t="s">
        <v>12449</v>
      </c>
      <c r="AA643" t="s">
        <v>5263</v>
      </c>
      <c r="AB643" t="s">
        <v>12450</v>
      </c>
      <c r="AC643" t="s">
        <v>12451</v>
      </c>
      <c r="AD643" t="s">
        <v>12452</v>
      </c>
      <c r="AE643" t="s">
        <v>12453</v>
      </c>
      <c r="AF643" t="s">
        <v>74</v>
      </c>
      <c r="AG643">
        <v>110</v>
      </c>
      <c r="AH643">
        <v>60</v>
      </c>
      <c r="AI643">
        <v>68</v>
      </c>
      <c r="AJ643">
        <v>4</v>
      </c>
      <c r="AK643">
        <v>70</v>
      </c>
      <c r="AL643" t="s">
        <v>2279</v>
      </c>
      <c r="AM643" t="s">
        <v>398</v>
      </c>
      <c r="AN643" t="s">
        <v>2280</v>
      </c>
      <c r="AO643" t="s">
        <v>5188</v>
      </c>
      <c r="AP643" t="s">
        <v>74</v>
      </c>
      <c r="AQ643" t="s">
        <v>74</v>
      </c>
      <c r="AR643" t="s">
        <v>5189</v>
      </c>
      <c r="AS643" t="s">
        <v>5190</v>
      </c>
      <c r="AT643" t="s">
        <v>12436</v>
      </c>
      <c r="AU643">
        <v>2015</v>
      </c>
      <c r="AV643">
        <v>3</v>
      </c>
      <c r="AW643" t="s">
        <v>74</v>
      </c>
      <c r="AX643" t="s">
        <v>74</v>
      </c>
      <c r="AY643" t="s">
        <v>74</v>
      </c>
      <c r="AZ643" t="s">
        <v>74</v>
      </c>
      <c r="BA643" t="s">
        <v>74</v>
      </c>
      <c r="BB643" t="s">
        <v>74</v>
      </c>
      <c r="BC643" t="s">
        <v>74</v>
      </c>
      <c r="BD643" t="s">
        <v>12454</v>
      </c>
      <c r="BE643" t="s">
        <v>12455</v>
      </c>
      <c r="BF643" t="str">
        <f>HYPERLINK("http://dx.doi.org/10.1093/conphys/cov033","http://dx.doi.org/10.1093/conphys/cov033")</f>
        <v>http://dx.doi.org/10.1093/conphys/cov033</v>
      </c>
      <c r="BG643" t="s">
        <v>74</v>
      </c>
      <c r="BH643" t="s">
        <v>74</v>
      </c>
      <c r="BI643">
        <v>16</v>
      </c>
      <c r="BJ643" t="s">
        <v>5194</v>
      </c>
      <c r="BK643" t="s">
        <v>101</v>
      </c>
      <c r="BL643" t="s">
        <v>5195</v>
      </c>
      <c r="BM643" t="s">
        <v>12456</v>
      </c>
      <c r="BN643">
        <v>27293718</v>
      </c>
      <c r="BO643" t="s">
        <v>533</v>
      </c>
      <c r="BP643" t="s">
        <v>74</v>
      </c>
      <c r="BQ643" t="s">
        <v>74</v>
      </c>
      <c r="BR643" t="s">
        <v>103</v>
      </c>
      <c r="BS643" t="s">
        <v>12457</v>
      </c>
      <c r="BT643" t="str">
        <f>HYPERLINK("https%3A%2F%2Fwww.webofscience.com%2Fwos%2Fwoscc%2Ffull-record%2FWOS:000375198900001","View Full Record in Web of Science")</f>
        <v>View Full Record in Web of Science</v>
      </c>
    </row>
    <row r="644" spans="1:72" x14ac:dyDescent="0.15">
      <c r="A644" t="s">
        <v>72</v>
      </c>
      <c r="B644" t="s">
        <v>12458</v>
      </c>
      <c r="C644" t="s">
        <v>74</v>
      </c>
      <c r="D644" t="s">
        <v>74</v>
      </c>
      <c r="E644" t="s">
        <v>74</v>
      </c>
      <c r="F644" t="s">
        <v>12459</v>
      </c>
      <c r="G644" t="s">
        <v>74</v>
      </c>
      <c r="H644" t="s">
        <v>74</v>
      </c>
      <c r="I644" t="s">
        <v>12460</v>
      </c>
      <c r="J644" t="s">
        <v>1336</v>
      </c>
      <c r="K644" t="s">
        <v>74</v>
      </c>
      <c r="L644" t="s">
        <v>74</v>
      </c>
      <c r="M644" t="s">
        <v>78</v>
      </c>
      <c r="N644" t="s">
        <v>79</v>
      </c>
      <c r="O644" t="s">
        <v>74</v>
      </c>
      <c r="P644" t="s">
        <v>74</v>
      </c>
      <c r="Q644" t="s">
        <v>74</v>
      </c>
      <c r="R644" t="s">
        <v>74</v>
      </c>
      <c r="S644" t="s">
        <v>74</v>
      </c>
      <c r="T644" t="s">
        <v>74</v>
      </c>
      <c r="U644" t="s">
        <v>12461</v>
      </c>
      <c r="V644" t="s">
        <v>12462</v>
      </c>
      <c r="W644" t="s">
        <v>12463</v>
      </c>
      <c r="X644" t="s">
        <v>12464</v>
      </c>
      <c r="Y644" t="s">
        <v>12465</v>
      </c>
      <c r="Z644" t="s">
        <v>12466</v>
      </c>
      <c r="AA644" t="s">
        <v>12467</v>
      </c>
      <c r="AB644" t="s">
        <v>12468</v>
      </c>
      <c r="AC644" t="s">
        <v>12469</v>
      </c>
      <c r="AD644" t="s">
        <v>12470</v>
      </c>
      <c r="AE644" t="s">
        <v>12471</v>
      </c>
      <c r="AF644" t="s">
        <v>74</v>
      </c>
      <c r="AG644">
        <v>93</v>
      </c>
      <c r="AH644">
        <v>724</v>
      </c>
      <c r="AI644">
        <v>792</v>
      </c>
      <c r="AJ644">
        <v>17</v>
      </c>
      <c r="AK644">
        <v>423</v>
      </c>
      <c r="AL644" t="s">
        <v>4641</v>
      </c>
      <c r="AM644" t="s">
        <v>524</v>
      </c>
      <c r="AN644" t="s">
        <v>525</v>
      </c>
      <c r="AO644" t="s">
        <v>1345</v>
      </c>
      <c r="AP644" t="s">
        <v>1346</v>
      </c>
      <c r="AQ644" t="s">
        <v>74</v>
      </c>
      <c r="AR644" t="s">
        <v>1336</v>
      </c>
      <c r="AS644" t="s">
        <v>1347</v>
      </c>
      <c r="AT644" t="s">
        <v>12436</v>
      </c>
      <c r="AU644">
        <v>2015</v>
      </c>
      <c r="AV644">
        <v>523</v>
      </c>
      <c r="AW644">
        <v>7562</v>
      </c>
      <c r="AX644" t="s">
        <v>74</v>
      </c>
      <c r="AY644" t="s">
        <v>74</v>
      </c>
      <c r="AZ644" t="s">
        <v>74</v>
      </c>
      <c r="BA644" t="s">
        <v>74</v>
      </c>
      <c r="BB644">
        <v>543</v>
      </c>
      <c r="BC644" t="s">
        <v>556</v>
      </c>
      <c r="BD644" t="s">
        <v>74</v>
      </c>
      <c r="BE644" t="s">
        <v>12472</v>
      </c>
      <c r="BF644" t="str">
        <f>HYPERLINK("http://dx.doi.org/10.1038/nature14565","http://dx.doi.org/10.1038/nature14565")</f>
        <v>http://dx.doi.org/10.1038/nature14565</v>
      </c>
      <c r="BG644" t="s">
        <v>74</v>
      </c>
      <c r="BH644" t="s">
        <v>74</v>
      </c>
      <c r="BI644">
        <v>20</v>
      </c>
      <c r="BJ644" t="s">
        <v>530</v>
      </c>
      <c r="BK644" t="s">
        <v>101</v>
      </c>
      <c r="BL644" t="s">
        <v>531</v>
      </c>
      <c r="BM644" t="s">
        <v>12438</v>
      </c>
      <c r="BN644">
        <v>26153860</v>
      </c>
      <c r="BO644" t="s">
        <v>290</v>
      </c>
      <c r="BP644" t="s">
        <v>1736</v>
      </c>
      <c r="BQ644" t="s">
        <v>1737</v>
      </c>
      <c r="BR644" t="s">
        <v>103</v>
      </c>
      <c r="BS644" t="s">
        <v>12473</v>
      </c>
      <c r="BT644" t="str">
        <f>HYPERLINK("https%3A%2F%2Fwww.webofscience.com%2Fwos%2Fwoscc%2Ffull-record%2FWOS:000358655200035","View Full Record in Web of Science")</f>
        <v>View Full Record in Web of Science</v>
      </c>
    </row>
    <row r="645" spans="1:72" x14ac:dyDescent="0.15">
      <c r="A645" t="s">
        <v>72</v>
      </c>
      <c r="B645" t="s">
        <v>12474</v>
      </c>
      <c r="C645" t="s">
        <v>74</v>
      </c>
      <c r="D645" t="s">
        <v>74</v>
      </c>
      <c r="E645" t="s">
        <v>74</v>
      </c>
      <c r="F645" t="s">
        <v>12475</v>
      </c>
      <c r="G645" t="s">
        <v>74</v>
      </c>
      <c r="H645" t="s">
        <v>74</v>
      </c>
      <c r="I645" t="s">
        <v>12476</v>
      </c>
      <c r="J645" t="s">
        <v>1389</v>
      </c>
      <c r="K645" t="s">
        <v>74</v>
      </c>
      <c r="L645" t="s">
        <v>74</v>
      </c>
      <c r="M645" t="s">
        <v>78</v>
      </c>
      <c r="N645" t="s">
        <v>79</v>
      </c>
      <c r="O645" t="s">
        <v>74</v>
      </c>
      <c r="P645" t="s">
        <v>74</v>
      </c>
      <c r="Q645" t="s">
        <v>74</v>
      </c>
      <c r="R645" t="s">
        <v>74</v>
      </c>
      <c r="S645" t="s">
        <v>74</v>
      </c>
      <c r="T645" t="s">
        <v>12477</v>
      </c>
      <c r="U645" t="s">
        <v>12478</v>
      </c>
      <c r="V645" t="s">
        <v>12479</v>
      </c>
      <c r="W645" t="s">
        <v>12480</v>
      </c>
      <c r="X645" t="s">
        <v>12481</v>
      </c>
      <c r="Y645" t="s">
        <v>12482</v>
      </c>
      <c r="Z645" t="s">
        <v>12483</v>
      </c>
      <c r="AA645" t="s">
        <v>12484</v>
      </c>
      <c r="AB645" t="s">
        <v>12485</v>
      </c>
      <c r="AC645" t="s">
        <v>12486</v>
      </c>
      <c r="AD645" t="s">
        <v>12487</v>
      </c>
      <c r="AE645" t="s">
        <v>12488</v>
      </c>
      <c r="AF645" t="s">
        <v>74</v>
      </c>
      <c r="AG645">
        <v>61</v>
      </c>
      <c r="AH645">
        <v>8</v>
      </c>
      <c r="AI645">
        <v>9</v>
      </c>
      <c r="AJ645">
        <v>0</v>
      </c>
      <c r="AK645">
        <v>22</v>
      </c>
      <c r="AL645" t="s">
        <v>92</v>
      </c>
      <c r="AM645" t="s">
        <v>550</v>
      </c>
      <c r="AN645" t="s">
        <v>1398</v>
      </c>
      <c r="AO645" t="s">
        <v>74</v>
      </c>
      <c r="AP645" t="s">
        <v>1399</v>
      </c>
      <c r="AQ645" t="s">
        <v>74</v>
      </c>
      <c r="AR645" t="s">
        <v>1400</v>
      </c>
      <c r="AS645" t="s">
        <v>1401</v>
      </c>
      <c r="AT645" t="s">
        <v>12489</v>
      </c>
      <c r="AU645">
        <v>2015</v>
      </c>
      <c r="AV645">
        <v>67</v>
      </c>
      <c r="AW645" t="s">
        <v>74</v>
      </c>
      <c r="AX645" t="s">
        <v>74</v>
      </c>
      <c r="AY645" t="s">
        <v>74</v>
      </c>
      <c r="AZ645" t="s">
        <v>74</v>
      </c>
      <c r="BA645" t="s">
        <v>74</v>
      </c>
      <c r="BB645" t="s">
        <v>74</v>
      </c>
      <c r="BC645" t="s">
        <v>74</v>
      </c>
      <c r="BD645">
        <v>120</v>
      </c>
      <c r="BE645" t="s">
        <v>12490</v>
      </c>
      <c r="BF645" t="str">
        <f>HYPERLINK("http://dx.doi.org/10.1186/s40623-015-0291-2","http://dx.doi.org/10.1186/s40623-015-0291-2")</f>
        <v>http://dx.doi.org/10.1186/s40623-015-0291-2</v>
      </c>
      <c r="BG645" t="s">
        <v>74</v>
      </c>
      <c r="BH645" t="s">
        <v>74</v>
      </c>
      <c r="BI645">
        <v>18</v>
      </c>
      <c r="BJ645" t="s">
        <v>314</v>
      </c>
      <c r="BK645" t="s">
        <v>101</v>
      </c>
      <c r="BL645" t="s">
        <v>315</v>
      </c>
      <c r="BM645" t="s">
        <v>12491</v>
      </c>
      <c r="BN645" t="s">
        <v>74</v>
      </c>
      <c r="BO645" t="s">
        <v>1304</v>
      </c>
      <c r="BP645" t="s">
        <v>74</v>
      </c>
      <c r="BQ645" t="s">
        <v>74</v>
      </c>
      <c r="BR645" t="s">
        <v>103</v>
      </c>
      <c r="BS645" t="s">
        <v>12492</v>
      </c>
      <c r="BT645" t="str">
        <f>HYPERLINK("https%3A%2F%2Fwww.webofscience.com%2Fwos%2Fwoscc%2Ffull-record%2FWOS:000358565300001","View Full Record in Web of Science")</f>
        <v>View Full Record in Web of Science</v>
      </c>
    </row>
    <row r="646" spans="1:72" x14ac:dyDescent="0.15">
      <c r="A646" t="s">
        <v>72</v>
      </c>
      <c r="B646" t="s">
        <v>12493</v>
      </c>
      <c r="C646" t="s">
        <v>74</v>
      </c>
      <c r="D646" t="s">
        <v>74</v>
      </c>
      <c r="E646" t="s">
        <v>74</v>
      </c>
      <c r="F646" t="s">
        <v>12494</v>
      </c>
      <c r="G646" t="s">
        <v>74</v>
      </c>
      <c r="H646" t="s">
        <v>74</v>
      </c>
      <c r="I646" t="s">
        <v>12495</v>
      </c>
      <c r="J646" t="s">
        <v>12496</v>
      </c>
      <c r="K646" t="s">
        <v>74</v>
      </c>
      <c r="L646" t="s">
        <v>74</v>
      </c>
      <c r="M646" t="s">
        <v>78</v>
      </c>
      <c r="N646" t="s">
        <v>79</v>
      </c>
      <c r="O646" t="s">
        <v>74</v>
      </c>
      <c r="P646" t="s">
        <v>74</v>
      </c>
      <c r="Q646" t="s">
        <v>74</v>
      </c>
      <c r="R646" t="s">
        <v>74</v>
      </c>
      <c r="S646" t="s">
        <v>74</v>
      </c>
      <c r="T646" t="s">
        <v>12497</v>
      </c>
      <c r="U646" t="s">
        <v>12498</v>
      </c>
      <c r="V646" t="s">
        <v>12499</v>
      </c>
      <c r="W646" t="s">
        <v>12500</v>
      </c>
      <c r="X646" t="s">
        <v>12501</v>
      </c>
      <c r="Y646" t="s">
        <v>12502</v>
      </c>
      <c r="Z646" t="s">
        <v>12503</v>
      </c>
      <c r="AA646" t="s">
        <v>12504</v>
      </c>
      <c r="AB646" t="s">
        <v>12505</v>
      </c>
      <c r="AC646" t="s">
        <v>12506</v>
      </c>
      <c r="AD646" t="s">
        <v>12507</v>
      </c>
      <c r="AE646" t="s">
        <v>12508</v>
      </c>
      <c r="AF646" t="s">
        <v>74</v>
      </c>
      <c r="AG646">
        <v>159</v>
      </c>
      <c r="AH646">
        <v>62</v>
      </c>
      <c r="AI646">
        <v>70</v>
      </c>
      <c r="AJ646">
        <v>0</v>
      </c>
      <c r="AK646">
        <v>66</v>
      </c>
      <c r="AL646" t="s">
        <v>1253</v>
      </c>
      <c r="AM646" t="s">
        <v>1254</v>
      </c>
      <c r="AN646" t="s">
        <v>1255</v>
      </c>
      <c r="AO646" t="s">
        <v>12509</v>
      </c>
      <c r="AP646" t="s">
        <v>74</v>
      </c>
      <c r="AQ646" t="s">
        <v>74</v>
      </c>
      <c r="AR646" t="s">
        <v>12510</v>
      </c>
      <c r="AS646" t="s">
        <v>12511</v>
      </c>
      <c r="AT646" t="s">
        <v>12489</v>
      </c>
      <c r="AU646">
        <v>2015</v>
      </c>
      <c r="AV646">
        <v>9</v>
      </c>
      <c r="AW646" t="s">
        <v>74</v>
      </c>
      <c r="AX646" t="s">
        <v>74</v>
      </c>
      <c r="AY646" t="s">
        <v>74</v>
      </c>
      <c r="AZ646" t="s">
        <v>74</v>
      </c>
      <c r="BA646" t="s">
        <v>74</v>
      </c>
      <c r="BB646" t="s">
        <v>74</v>
      </c>
      <c r="BC646" t="s">
        <v>74</v>
      </c>
      <c r="BD646">
        <v>102</v>
      </c>
      <c r="BE646" t="s">
        <v>12512</v>
      </c>
      <c r="BF646" t="str">
        <f>HYPERLINK("http://dx.doi.org/10.3389/fnana.2015.00102","http://dx.doi.org/10.3389/fnana.2015.00102")</f>
        <v>http://dx.doi.org/10.3389/fnana.2015.00102</v>
      </c>
      <c r="BG646" t="s">
        <v>74</v>
      </c>
      <c r="BH646" t="s">
        <v>74</v>
      </c>
      <c r="BI646">
        <v>16</v>
      </c>
      <c r="BJ646" t="s">
        <v>12513</v>
      </c>
      <c r="BK646" t="s">
        <v>101</v>
      </c>
      <c r="BL646" t="s">
        <v>12514</v>
      </c>
      <c r="BM646" t="s">
        <v>12515</v>
      </c>
      <c r="BN646">
        <v>26283931</v>
      </c>
      <c r="BO646" t="s">
        <v>2600</v>
      </c>
      <c r="BP646" t="s">
        <v>74</v>
      </c>
      <c r="BQ646" t="s">
        <v>74</v>
      </c>
      <c r="BR646" t="s">
        <v>103</v>
      </c>
      <c r="BS646" t="s">
        <v>12516</v>
      </c>
      <c r="BT646" t="str">
        <f>HYPERLINK("https%3A%2F%2Fwww.webofscience.com%2Fwos%2Fwoscc%2Ffull-record%2FWOS:000360432000001","View Full Record in Web of Science")</f>
        <v>View Full Record in Web of Science</v>
      </c>
    </row>
    <row r="647" spans="1:72" x14ac:dyDescent="0.15">
      <c r="A647" t="s">
        <v>72</v>
      </c>
      <c r="B647" t="s">
        <v>12517</v>
      </c>
      <c r="C647" t="s">
        <v>74</v>
      </c>
      <c r="D647" t="s">
        <v>74</v>
      </c>
      <c r="E647" t="s">
        <v>74</v>
      </c>
      <c r="F647" t="s">
        <v>12518</v>
      </c>
      <c r="G647" t="s">
        <v>74</v>
      </c>
      <c r="H647" t="s">
        <v>74</v>
      </c>
      <c r="I647" t="s">
        <v>12519</v>
      </c>
      <c r="J647" t="s">
        <v>12520</v>
      </c>
      <c r="K647" t="s">
        <v>74</v>
      </c>
      <c r="L647" t="s">
        <v>74</v>
      </c>
      <c r="M647" t="s">
        <v>78</v>
      </c>
      <c r="N647" t="s">
        <v>581</v>
      </c>
      <c r="O647" t="s">
        <v>74</v>
      </c>
      <c r="P647" t="s">
        <v>74</v>
      </c>
      <c r="Q647" t="s">
        <v>74</v>
      </c>
      <c r="R647" t="s">
        <v>74</v>
      </c>
      <c r="S647" t="s">
        <v>74</v>
      </c>
      <c r="T647" t="s">
        <v>12521</v>
      </c>
      <c r="U647" t="s">
        <v>12522</v>
      </c>
      <c r="V647" t="s">
        <v>12523</v>
      </c>
      <c r="W647" t="s">
        <v>12524</v>
      </c>
      <c r="X647" t="s">
        <v>12525</v>
      </c>
      <c r="Y647" t="s">
        <v>12526</v>
      </c>
      <c r="Z647" t="s">
        <v>12527</v>
      </c>
      <c r="AA647" t="s">
        <v>12528</v>
      </c>
      <c r="AB647" t="s">
        <v>12529</v>
      </c>
      <c r="AC647" t="s">
        <v>12530</v>
      </c>
      <c r="AD647" t="s">
        <v>12531</v>
      </c>
      <c r="AE647" t="s">
        <v>12532</v>
      </c>
      <c r="AF647" t="s">
        <v>74</v>
      </c>
      <c r="AG647">
        <v>430</v>
      </c>
      <c r="AH647">
        <v>60</v>
      </c>
      <c r="AI647">
        <v>64</v>
      </c>
      <c r="AJ647">
        <v>0</v>
      </c>
      <c r="AK647">
        <v>27</v>
      </c>
      <c r="AL647" t="s">
        <v>92</v>
      </c>
      <c r="AM647" t="s">
        <v>550</v>
      </c>
      <c r="AN647" t="s">
        <v>1398</v>
      </c>
      <c r="AO647" t="s">
        <v>12533</v>
      </c>
      <c r="AP647" t="s">
        <v>74</v>
      </c>
      <c r="AQ647" t="s">
        <v>74</v>
      </c>
      <c r="AR647" t="s">
        <v>12534</v>
      </c>
      <c r="AS647" t="s">
        <v>12535</v>
      </c>
      <c r="AT647" t="s">
        <v>12489</v>
      </c>
      <c r="AU647">
        <v>2015</v>
      </c>
      <c r="AV647">
        <v>2</v>
      </c>
      <c r="AW647" t="s">
        <v>74</v>
      </c>
      <c r="AX647" t="s">
        <v>74</v>
      </c>
      <c r="AY647" t="s">
        <v>74</v>
      </c>
      <c r="AZ647" t="s">
        <v>74</v>
      </c>
      <c r="BA647" t="s">
        <v>74</v>
      </c>
      <c r="BB647" t="s">
        <v>74</v>
      </c>
      <c r="BC647" t="s">
        <v>74</v>
      </c>
      <c r="BD647">
        <v>21</v>
      </c>
      <c r="BE647" t="s">
        <v>12536</v>
      </c>
      <c r="BF647" t="str">
        <f>HYPERLINK("http://dx.doi.org/10.1186/s40645-015-0051-8","http://dx.doi.org/10.1186/s40645-015-0051-8")</f>
        <v>http://dx.doi.org/10.1186/s40645-015-0051-8</v>
      </c>
      <c r="BG647" t="s">
        <v>74</v>
      </c>
      <c r="BH647" t="s">
        <v>74</v>
      </c>
      <c r="BI647">
        <v>63</v>
      </c>
      <c r="BJ647" t="s">
        <v>314</v>
      </c>
      <c r="BK647" t="s">
        <v>101</v>
      </c>
      <c r="BL647" t="s">
        <v>315</v>
      </c>
      <c r="BM647" t="s">
        <v>12537</v>
      </c>
      <c r="BN647" t="s">
        <v>74</v>
      </c>
      <c r="BO647" t="s">
        <v>1150</v>
      </c>
      <c r="BP647" t="s">
        <v>74</v>
      </c>
      <c r="BQ647" t="s">
        <v>74</v>
      </c>
      <c r="BR647" t="s">
        <v>103</v>
      </c>
      <c r="BS647" t="s">
        <v>12538</v>
      </c>
      <c r="BT647" t="str">
        <f>HYPERLINK("https%3A%2F%2Fwww.webofscience.com%2Fwos%2Fwoscc%2Ffull-record%2FWOS:000363945400001","View Full Record in Web of Science")</f>
        <v>View Full Record in Web of Science</v>
      </c>
    </row>
    <row r="648" spans="1:72" x14ac:dyDescent="0.15">
      <c r="A648" t="s">
        <v>72</v>
      </c>
      <c r="B648" t="s">
        <v>12539</v>
      </c>
      <c r="C648" t="s">
        <v>74</v>
      </c>
      <c r="D648" t="s">
        <v>74</v>
      </c>
      <c r="E648" t="s">
        <v>74</v>
      </c>
      <c r="F648" t="s">
        <v>12540</v>
      </c>
      <c r="G648" t="s">
        <v>74</v>
      </c>
      <c r="H648" t="s">
        <v>74</v>
      </c>
      <c r="I648" t="s">
        <v>12541</v>
      </c>
      <c r="J648" t="s">
        <v>1008</v>
      </c>
      <c r="K648" t="s">
        <v>74</v>
      </c>
      <c r="L648" t="s">
        <v>74</v>
      </c>
      <c r="M648" t="s">
        <v>78</v>
      </c>
      <c r="N648" t="s">
        <v>79</v>
      </c>
      <c r="O648" t="s">
        <v>74</v>
      </c>
      <c r="P648" t="s">
        <v>74</v>
      </c>
      <c r="Q648" t="s">
        <v>74</v>
      </c>
      <c r="R648" t="s">
        <v>74</v>
      </c>
      <c r="S648" t="s">
        <v>74</v>
      </c>
      <c r="T648" t="s">
        <v>12542</v>
      </c>
      <c r="U648" t="s">
        <v>12543</v>
      </c>
      <c r="V648" t="s">
        <v>12544</v>
      </c>
      <c r="W648" t="s">
        <v>12545</v>
      </c>
      <c r="X648" t="s">
        <v>12546</v>
      </c>
      <c r="Y648" t="s">
        <v>12547</v>
      </c>
      <c r="Z648" t="s">
        <v>12548</v>
      </c>
      <c r="AA648" t="s">
        <v>12549</v>
      </c>
      <c r="AB648" t="s">
        <v>12550</v>
      </c>
      <c r="AC648" t="s">
        <v>12551</v>
      </c>
      <c r="AD648" t="s">
        <v>12552</v>
      </c>
      <c r="AE648" t="s">
        <v>12553</v>
      </c>
      <c r="AF648" t="s">
        <v>74</v>
      </c>
      <c r="AG648">
        <v>16</v>
      </c>
      <c r="AH648">
        <v>21</v>
      </c>
      <c r="AI648">
        <v>22</v>
      </c>
      <c r="AJ648">
        <v>2</v>
      </c>
      <c r="AK648">
        <v>12</v>
      </c>
      <c r="AL648" t="s">
        <v>306</v>
      </c>
      <c r="AM648" t="s">
        <v>307</v>
      </c>
      <c r="AN648" t="s">
        <v>308</v>
      </c>
      <c r="AO648" t="s">
        <v>1021</v>
      </c>
      <c r="AP648" t="s">
        <v>1022</v>
      </c>
      <c r="AQ648" t="s">
        <v>74</v>
      </c>
      <c r="AR648" t="s">
        <v>1023</v>
      </c>
      <c r="AS648" t="s">
        <v>1024</v>
      </c>
      <c r="AT648" t="s">
        <v>12554</v>
      </c>
      <c r="AU648">
        <v>2015</v>
      </c>
      <c r="AV648">
        <v>42</v>
      </c>
      <c r="AW648">
        <v>14</v>
      </c>
      <c r="AX648" t="s">
        <v>74</v>
      </c>
      <c r="AY648" t="s">
        <v>74</v>
      </c>
      <c r="AZ648" t="s">
        <v>74</v>
      </c>
      <c r="BA648" t="s">
        <v>74</v>
      </c>
      <c r="BB648">
        <v>6106</v>
      </c>
      <c r="BC648">
        <v>6111</v>
      </c>
      <c r="BD648" t="s">
        <v>74</v>
      </c>
      <c r="BE648" t="s">
        <v>12555</v>
      </c>
      <c r="BF648" t="str">
        <f>HYPERLINK("http://dx.doi.org/10.1002/2015GL065066","http://dx.doi.org/10.1002/2015GL065066")</f>
        <v>http://dx.doi.org/10.1002/2015GL065066</v>
      </c>
      <c r="BG648" t="s">
        <v>74</v>
      </c>
      <c r="BH648" t="s">
        <v>74</v>
      </c>
      <c r="BI648">
        <v>6</v>
      </c>
      <c r="BJ648" t="s">
        <v>314</v>
      </c>
      <c r="BK648" t="s">
        <v>101</v>
      </c>
      <c r="BL648" t="s">
        <v>315</v>
      </c>
      <c r="BM648" t="s">
        <v>12556</v>
      </c>
      <c r="BN648" t="s">
        <v>74</v>
      </c>
      <c r="BO648" t="s">
        <v>162</v>
      </c>
      <c r="BP648" t="s">
        <v>74</v>
      </c>
      <c r="BQ648" t="s">
        <v>74</v>
      </c>
      <c r="BR648" t="s">
        <v>103</v>
      </c>
      <c r="BS648" t="s">
        <v>12557</v>
      </c>
      <c r="BT648" t="str">
        <f>HYPERLINK("https%3A%2F%2Fwww.webofscience.com%2Fwos%2Fwoscc%2Ffull-record%2FWOS:000359316100053","View Full Record in Web of Science")</f>
        <v>View Full Record in Web of Science</v>
      </c>
    </row>
    <row r="649" spans="1:72" x14ac:dyDescent="0.15">
      <c r="A649" t="s">
        <v>72</v>
      </c>
      <c r="B649" t="s">
        <v>12558</v>
      </c>
      <c r="C649" t="s">
        <v>74</v>
      </c>
      <c r="D649" t="s">
        <v>74</v>
      </c>
      <c r="E649" t="s">
        <v>74</v>
      </c>
      <c r="F649" t="s">
        <v>12559</v>
      </c>
      <c r="G649" t="s">
        <v>74</v>
      </c>
      <c r="H649" t="s">
        <v>74</v>
      </c>
      <c r="I649" t="s">
        <v>12560</v>
      </c>
      <c r="J649" t="s">
        <v>1008</v>
      </c>
      <c r="K649" t="s">
        <v>74</v>
      </c>
      <c r="L649" t="s">
        <v>74</v>
      </c>
      <c r="M649" t="s">
        <v>78</v>
      </c>
      <c r="N649" t="s">
        <v>79</v>
      </c>
      <c r="O649" t="s">
        <v>74</v>
      </c>
      <c r="P649" t="s">
        <v>74</v>
      </c>
      <c r="Q649" t="s">
        <v>74</v>
      </c>
      <c r="R649" t="s">
        <v>74</v>
      </c>
      <c r="S649" t="s">
        <v>74</v>
      </c>
      <c r="T649" t="s">
        <v>12561</v>
      </c>
      <c r="U649" t="s">
        <v>12562</v>
      </c>
      <c r="V649" t="s">
        <v>12563</v>
      </c>
      <c r="W649" t="s">
        <v>12564</v>
      </c>
      <c r="X649" t="s">
        <v>12565</v>
      </c>
      <c r="Y649" t="s">
        <v>12566</v>
      </c>
      <c r="Z649" t="s">
        <v>12567</v>
      </c>
      <c r="AA649" t="s">
        <v>12568</v>
      </c>
      <c r="AB649" t="s">
        <v>12569</v>
      </c>
      <c r="AC649" t="s">
        <v>12570</v>
      </c>
      <c r="AD649" t="s">
        <v>12571</v>
      </c>
      <c r="AE649" t="s">
        <v>12572</v>
      </c>
      <c r="AF649" t="s">
        <v>74</v>
      </c>
      <c r="AG649">
        <v>50</v>
      </c>
      <c r="AH649">
        <v>101</v>
      </c>
      <c r="AI649">
        <v>114</v>
      </c>
      <c r="AJ649">
        <v>0</v>
      </c>
      <c r="AK649">
        <v>8</v>
      </c>
      <c r="AL649" t="s">
        <v>306</v>
      </c>
      <c r="AM649" t="s">
        <v>307</v>
      </c>
      <c r="AN649" t="s">
        <v>308</v>
      </c>
      <c r="AO649" t="s">
        <v>1021</v>
      </c>
      <c r="AP649" t="s">
        <v>1022</v>
      </c>
      <c r="AQ649" t="s">
        <v>74</v>
      </c>
      <c r="AR649" t="s">
        <v>1023</v>
      </c>
      <c r="AS649" t="s">
        <v>1024</v>
      </c>
      <c r="AT649" t="s">
        <v>12554</v>
      </c>
      <c r="AU649">
        <v>2015</v>
      </c>
      <c r="AV649">
        <v>42</v>
      </c>
      <c r="AW649">
        <v>14</v>
      </c>
      <c r="AX649" t="s">
        <v>74</v>
      </c>
      <c r="AY649" t="s">
        <v>74</v>
      </c>
      <c r="AZ649" t="s">
        <v>74</v>
      </c>
      <c r="BA649" t="s">
        <v>74</v>
      </c>
      <c r="BB649">
        <v>5727</v>
      </c>
      <c r="BC649">
        <v>5735</v>
      </c>
      <c r="BD649" t="s">
        <v>74</v>
      </c>
      <c r="BE649" t="s">
        <v>12573</v>
      </c>
      <c r="BF649" t="str">
        <f>HYPERLINK("http://dx.doi.org/10.1002/2015GL065245","http://dx.doi.org/10.1002/2015GL065245")</f>
        <v>http://dx.doi.org/10.1002/2015GL065245</v>
      </c>
      <c r="BG649" t="s">
        <v>74</v>
      </c>
      <c r="BH649" t="s">
        <v>74</v>
      </c>
      <c r="BI649">
        <v>9</v>
      </c>
      <c r="BJ649" t="s">
        <v>314</v>
      </c>
      <c r="BK649" t="s">
        <v>101</v>
      </c>
      <c r="BL649" t="s">
        <v>315</v>
      </c>
      <c r="BM649" t="s">
        <v>12556</v>
      </c>
      <c r="BN649" t="s">
        <v>74</v>
      </c>
      <c r="BO649" t="s">
        <v>1528</v>
      </c>
      <c r="BP649" t="s">
        <v>74</v>
      </c>
      <c r="BQ649" t="s">
        <v>74</v>
      </c>
      <c r="BR649" t="s">
        <v>103</v>
      </c>
      <c r="BS649" t="s">
        <v>12574</v>
      </c>
      <c r="BT649" t="str">
        <f>HYPERLINK("https%3A%2F%2Fwww.webofscience.com%2Fwos%2Fwoscc%2Ffull-record%2FWOS:000359316100007","View Full Record in Web of Science")</f>
        <v>View Full Record in Web of Science</v>
      </c>
    </row>
    <row r="650" spans="1:72" x14ac:dyDescent="0.15">
      <c r="A650" t="s">
        <v>72</v>
      </c>
      <c r="B650" t="s">
        <v>12575</v>
      </c>
      <c r="C650" t="s">
        <v>74</v>
      </c>
      <c r="D650" t="s">
        <v>74</v>
      </c>
      <c r="E650" t="s">
        <v>74</v>
      </c>
      <c r="F650" t="s">
        <v>12576</v>
      </c>
      <c r="G650" t="s">
        <v>74</v>
      </c>
      <c r="H650" t="s">
        <v>74</v>
      </c>
      <c r="I650" t="s">
        <v>12577</v>
      </c>
      <c r="J650" t="s">
        <v>1218</v>
      </c>
      <c r="K650" t="s">
        <v>74</v>
      </c>
      <c r="L650" t="s">
        <v>74</v>
      </c>
      <c r="M650" t="s">
        <v>78</v>
      </c>
      <c r="N650" t="s">
        <v>79</v>
      </c>
      <c r="O650" t="s">
        <v>74</v>
      </c>
      <c r="P650" t="s">
        <v>74</v>
      </c>
      <c r="Q650" t="s">
        <v>74</v>
      </c>
      <c r="R650" t="s">
        <v>74</v>
      </c>
      <c r="S650" t="s">
        <v>74</v>
      </c>
      <c r="T650" t="s">
        <v>12578</v>
      </c>
      <c r="U650" t="s">
        <v>12579</v>
      </c>
      <c r="V650" t="s">
        <v>12580</v>
      </c>
      <c r="W650" t="s">
        <v>12581</v>
      </c>
      <c r="X650" t="s">
        <v>12582</v>
      </c>
      <c r="Y650" t="s">
        <v>12583</v>
      </c>
      <c r="Z650" t="s">
        <v>12584</v>
      </c>
      <c r="AA650" t="s">
        <v>74</v>
      </c>
      <c r="AB650" t="s">
        <v>74</v>
      </c>
      <c r="AC650" t="s">
        <v>12585</v>
      </c>
      <c r="AD650" t="s">
        <v>12586</v>
      </c>
      <c r="AE650" t="s">
        <v>12587</v>
      </c>
      <c r="AF650" t="s">
        <v>74</v>
      </c>
      <c r="AG650">
        <v>49</v>
      </c>
      <c r="AH650">
        <v>19</v>
      </c>
      <c r="AI650">
        <v>19</v>
      </c>
      <c r="AJ650">
        <v>0</v>
      </c>
      <c r="AK650">
        <v>17</v>
      </c>
      <c r="AL650" t="s">
        <v>306</v>
      </c>
      <c r="AM650" t="s">
        <v>307</v>
      </c>
      <c r="AN650" t="s">
        <v>308</v>
      </c>
      <c r="AO650" t="s">
        <v>1229</v>
      </c>
      <c r="AP650" t="s">
        <v>1230</v>
      </c>
      <c r="AQ650" t="s">
        <v>74</v>
      </c>
      <c r="AR650" t="s">
        <v>1231</v>
      </c>
      <c r="AS650" t="s">
        <v>1232</v>
      </c>
      <c r="AT650" t="s">
        <v>12588</v>
      </c>
      <c r="AU650">
        <v>2015</v>
      </c>
      <c r="AV650">
        <v>120</v>
      </c>
      <c r="AW650">
        <v>14</v>
      </c>
      <c r="AX650" t="s">
        <v>74</v>
      </c>
      <c r="AY650" t="s">
        <v>74</v>
      </c>
      <c r="AZ650" t="s">
        <v>74</v>
      </c>
      <c r="BA650" t="s">
        <v>74</v>
      </c>
      <c r="BB650">
        <v>6742</v>
      </c>
      <c r="BC650">
        <v>6757</v>
      </c>
      <c r="BD650" t="s">
        <v>74</v>
      </c>
      <c r="BE650" t="s">
        <v>12589</v>
      </c>
      <c r="BF650" t="str">
        <f>HYPERLINK("http://dx.doi.org/10.1002/2014JD022843","http://dx.doi.org/10.1002/2014JD022843")</f>
        <v>http://dx.doi.org/10.1002/2014JD022843</v>
      </c>
      <c r="BG650" t="s">
        <v>74</v>
      </c>
      <c r="BH650" t="s">
        <v>74</v>
      </c>
      <c r="BI650">
        <v>16</v>
      </c>
      <c r="BJ650" t="s">
        <v>271</v>
      </c>
      <c r="BK650" t="s">
        <v>101</v>
      </c>
      <c r="BL650" t="s">
        <v>271</v>
      </c>
      <c r="BM650" t="s">
        <v>12590</v>
      </c>
      <c r="BN650" t="s">
        <v>74</v>
      </c>
      <c r="BO650" t="s">
        <v>162</v>
      </c>
      <c r="BP650" t="s">
        <v>74</v>
      </c>
      <c r="BQ650" t="s">
        <v>74</v>
      </c>
      <c r="BR650" t="s">
        <v>103</v>
      </c>
      <c r="BS650" t="s">
        <v>12591</v>
      </c>
      <c r="BT650" t="str">
        <f>HYPERLINK("https%3A%2F%2Fwww.webofscience.com%2Fwos%2Fwoscc%2Ffull-record%2FWOS:000359804900002","View Full Record in Web of Science")</f>
        <v>View Full Record in Web of Science</v>
      </c>
    </row>
    <row r="651" spans="1:72" x14ac:dyDescent="0.15">
      <c r="A651" t="s">
        <v>72</v>
      </c>
      <c r="B651" t="s">
        <v>12592</v>
      </c>
      <c r="C651" t="s">
        <v>74</v>
      </c>
      <c r="D651" t="s">
        <v>74</v>
      </c>
      <c r="E651" t="s">
        <v>74</v>
      </c>
      <c r="F651" t="s">
        <v>12593</v>
      </c>
      <c r="G651" t="s">
        <v>74</v>
      </c>
      <c r="H651" t="s">
        <v>74</v>
      </c>
      <c r="I651" t="s">
        <v>12594</v>
      </c>
      <c r="J651" t="s">
        <v>1218</v>
      </c>
      <c r="K651" t="s">
        <v>74</v>
      </c>
      <c r="L651" t="s">
        <v>74</v>
      </c>
      <c r="M651" t="s">
        <v>78</v>
      </c>
      <c r="N651" t="s">
        <v>79</v>
      </c>
      <c r="O651" t="s">
        <v>74</v>
      </c>
      <c r="P651" t="s">
        <v>74</v>
      </c>
      <c r="Q651" t="s">
        <v>74</v>
      </c>
      <c r="R651" t="s">
        <v>74</v>
      </c>
      <c r="S651" t="s">
        <v>74</v>
      </c>
      <c r="T651" t="s">
        <v>12595</v>
      </c>
      <c r="U651" t="s">
        <v>12596</v>
      </c>
      <c r="V651" t="s">
        <v>12597</v>
      </c>
      <c r="W651" t="s">
        <v>12598</v>
      </c>
      <c r="X651" t="s">
        <v>12599</v>
      </c>
      <c r="Y651" t="s">
        <v>12600</v>
      </c>
      <c r="Z651" t="s">
        <v>12601</v>
      </c>
      <c r="AA651" t="s">
        <v>12602</v>
      </c>
      <c r="AB651" t="s">
        <v>12603</v>
      </c>
      <c r="AC651" t="s">
        <v>12604</v>
      </c>
      <c r="AD651" t="s">
        <v>5526</v>
      </c>
      <c r="AE651" t="s">
        <v>74</v>
      </c>
      <c r="AF651" t="s">
        <v>74</v>
      </c>
      <c r="AG651">
        <v>21</v>
      </c>
      <c r="AH651">
        <v>29</v>
      </c>
      <c r="AI651">
        <v>30</v>
      </c>
      <c r="AJ651">
        <v>3</v>
      </c>
      <c r="AK651">
        <v>35</v>
      </c>
      <c r="AL651" t="s">
        <v>306</v>
      </c>
      <c r="AM651" t="s">
        <v>307</v>
      </c>
      <c r="AN651" t="s">
        <v>308</v>
      </c>
      <c r="AO651" t="s">
        <v>1229</v>
      </c>
      <c r="AP651" t="s">
        <v>1230</v>
      </c>
      <c r="AQ651" t="s">
        <v>74</v>
      </c>
      <c r="AR651" t="s">
        <v>1231</v>
      </c>
      <c r="AS651" t="s">
        <v>1232</v>
      </c>
      <c r="AT651" t="s">
        <v>12588</v>
      </c>
      <c r="AU651">
        <v>2015</v>
      </c>
      <c r="AV651">
        <v>120</v>
      </c>
      <c r="AW651">
        <v>14</v>
      </c>
      <c r="AX651" t="s">
        <v>74</v>
      </c>
      <c r="AY651" t="s">
        <v>74</v>
      </c>
      <c r="AZ651" t="s">
        <v>74</v>
      </c>
      <c r="BA651" t="s">
        <v>74</v>
      </c>
      <c r="BB651">
        <v>7144</v>
      </c>
      <c r="BC651">
        <v>7156</v>
      </c>
      <c r="BD651" t="s">
        <v>74</v>
      </c>
      <c r="BE651" t="s">
        <v>12605</v>
      </c>
      <c r="BF651" t="str">
        <f>HYPERLINK("http://dx.doi.org/10.1002/2015JD023301","http://dx.doi.org/10.1002/2015JD023301")</f>
        <v>http://dx.doi.org/10.1002/2015JD023301</v>
      </c>
      <c r="BG651" t="s">
        <v>74</v>
      </c>
      <c r="BH651" t="s">
        <v>74</v>
      </c>
      <c r="BI651">
        <v>13</v>
      </c>
      <c r="BJ651" t="s">
        <v>271</v>
      </c>
      <c r="BK651" t="s">
        <v>101</v>
      </c>
      <c r="BL651" t="s">
        <v>271</v>
      </c>
      <c r="BM651" t="s">
        <v>12590</v>
      </c>
      <c r="BN651" t="s">
        <v>74</v>
      </c>
      <c r="BO651" t="s">
        <v>1546</v>
      </c>
      <c r="BP651" t="s">
        <v>74</v>
      </c>
      <c r="BQ651" t="s">
        <v>74</v>
      </c>
      <c r="BR651" t="s">
        <v>103</v>
      </c>
      <c r="BS651" t="s">
        <v>12606</v>
      </c>
      <c r="BT651" t="str">
        <f>HYPERLINK("https%3A%2F%2Fwww.webofscience.com%2Fwos%2Fwoscc%2Ffull-record%2FWOS:000359804900027","View Full Record in Web of Science")</f>
        <v>View Full Record in Web of Science</v>
      </c>
    </row>
    <row r="652" spans="1:72" x14ac:dyDescent="0.15">
      <c r="A652" t="s">
        <v>72</v>
      </c>
      <c r="B652" t="s">
        <v>12607</v>
      </c>
      <c r="C652" t="s">
        <v>74</v>
      </c>
      <c r="D652" t="s">
        <v>74</v>
      </c>
      <c r="E652" t="s">
        <v>74</v>
      </c>
      <c r="F652" t="s">
        <v>12608</v>
      </c>
      <c r="G652" t="s">
        <v>74</v>
      </c>
      <c r="H652" t="s">
        <v>74</v>
      </c>
      <c r="I652" t="s">
        <v>12609</v>
      </c>
      <c r="J652" t="s">
        <v>1033</v>
      </c>
      <c r="K652" t="s">
        <v>74</v>
      </c>
      <c r="L652" t="s">
        <v>74</v>
      </c>
      <c r="M652" t="s">
        <v>78</v>
      </c>
      <c r="N652" t="s">
        <v>79</v>
      </c>
      <c r="O652" t="s">
        <v>74</v>
      </c>
      <c r="P652" t="s">
        <v>74</v>
      </c>
      <c r="Q652" t="s">
        <v>74</v>
      </c>
      <c r="R652" t="s">
        <v>74</v>
      </c>
      <c r="S652" t="s">
        <v>74</v>
      </c>
      <c r="T652" t="s">
        <v>12610</v>
      </c>
      <c r="U652" t="s">
        <v>12611</v>
      </c>
      <c r="V652" t="s">
        <v>12612</v>
      </c>
      <c r="W652" t="s">
        <v>12613</v>
      </c>
      <c r="X652" t="s">
        <v>12614</v>
      </c>
      <c r="Y652" t="s">
        <v>12615</v>
      </c>
      <c r="Z652" t="s">
        <v>12616</v>
      </c>
      <c r="AA652" t="s">
        <v>12617</v>
      </c>
      <c r="AB652" t="s">
        <v>12618</v>
      </c>
      <c r="AC652" t="s">
        <v>12619</v>
      </c>
      <c r="AD652" t="s">
        <v>12620</v>
      </c>
      <c r="AE652" t="s">
        <v>12621</v>
      </c>
      <c r="AF652" t="s">
        <v>74</v>
      </c>
      <c r="AG652">
        <v>92</v>
      </c>
      <c r="AH652">
        <v>31</v>
      </c>
      <c r="AI652">
        <v>37</v>
      </c>
      <c r="AJ652">
        <v>0</v>
      </c>
      <c r="AK652">
        <v>119</v>
      </c>
      <c r="AL652" t="s">
        <v>1046</v>
      </c>
      <c r="AM652" t="s">
        <v>1047</v>
      </c>
      <c r="AN652" t="s">
        <v>1048</v>
      </c>
      <c r="AO652" t="s">
        <v>1049</v>
      </c>
      <c r="AP652" t="s">
        <v>1050</v>
      </c>
      <c r="AQ652" t="s">
        <v>74</v>
      </c>
      <c r="AR652" t="s">
        <v>1051</v>
      </c>
      <c r="AS652" t="s">
        <v>1052</v>
      </c>
      <c r="AT652" t="s">
        <v>12622</v>
      </c>
      <c r="AU652">
        <v>2015</v>
      </c>
      <c r="AV652">
        <v>532</v>
      </c>
      <c r="AW652" t="s">
        <v>74</v>
      </c>
      <c r="AX652" t="s">
        <v>74</v>
      </c>
      <c r="AY652" t="s">
        <v>74</v>
      </c>
      <c r="AZ652" t="s">
        <v>74</v>
      </c>
      <c r="BA652" t="s">
        <v>74</v>
      </c>
      <c r="BB652">
        <v>197</v>
      </c>
      <c r="BC652">
        <v>211</v>
      </c>
      <c r="BD652" t="s">
        <v>74</v>
      </c>
      <c r="BE652" t="s">
        <v>12623</v>
      </c>
      <c r="BF652" t="str">
        <f>HYPERLINK("http://dx.doi.org/10.3354/meps11330","http://dx.doi.org/10.3354/meps11330")</f>
        <v>http://dx.doi.org/10.3354/meps11330</v>
      </c>
      <c r="BG652" t="s">
        <v>74</v>
      </c>
      <c r="BH652" t="s">
        <v>74</v>
      </c>
      <c r="BI652">
        <v>15</v>
      </c>
      <c r="BJ652" t="s">
        <v>1054</v>
      </c>
      <c r="BK652" t="s">
        <v>101</v>
      </c>
      <c r="BL652" t="s">
        <v>1055</v>
      </c>
      <c r="BM652" t="s">
        <v>12624</v>
      </c>
      <c r="BN652" t="s">
        <v>74</v>
      </c>
      <c r="BO652" t="s">
        <v>74</v>
      </c>
      <c r="BP652" t="s">
        <v>74</v>
      </c>
      <c r="BQ652" t="s">
        <v>74</v>
      </c>
      <c r="BR652" t="s">
        <v>103</v>
      </c>
      <c r="BS652" t="s">
        <v>12625</v>
      </c>
      <c r="BT652" t="str">
        <f>HYPERLINK("https%3A%2F%2Fwww.webofscience.com%2Fwos%2Fwoscc%2Ffull-record%2FWOS:000358445600016","View Full Record in Web of Science")</f>
        <v>View Full Record in Web of Science</v>
      </c>
    </row>
    <row r="653" spans="1:72" x14ac:dyDescent="0.15">
      <c r="A653" t="s">
        <v>72</v>
      </c>
      <c r="B653" t="s">
        <v>12626</v>
      </c>
      <c r="C653" t="s">
        <v>74</v>
      </c>
      <c r="D653" t="s">
        <v>74</v>
      </c>
      <c r="E653" t="s">
        <v>74</v>
      </c>
      <c r="F653" t="s">
        <v>12627</v>
      </c>
      <c r="G653" t="s">
        <v>74</v>
      </c>
      <c r="H653" t="s">
        <v>74</v>
      </c>
      <c r="I653" t="s">
        <v>12628</v>
      </c>
      <c r="J653" t="s">
        <v>1033</v>
      </c>
      <c r="K653" t="s">
        <v>74</v>
      </c>
      <c r="L653" t="s">
        <v>74</v>
      </c>
      <c r="M653" t="s">
        <v>78</v>
      </c>
      <c r="N653" t="s">
        <v>79</v>
      </c>
      <c r="O653" t="s">
        <v>74</v>
      </c>
      <c r="P653" t="s">
        <v>74</v>
      </c>
      <c r="Q653" t="s">
        <v>74</v>
      </c>
      <c r="R653" t="s">
        <v>74</v>
      </c>
      <c r="S653" t="s">
        <v>74</v>
      </c>
      <c r="T653" t="s">
        <v>12629</v>
      </c>
      <c r="U653" t="s">
        <v>12630</v>
      </c>
      <c r="V653" t="s">
        <v>12631</v>
      </c>
      <c r="W653" t="s">
        <v>12632</v>
      </c>
      <c r="X653" t="s">
        <v>12633</v>
      </c>
      <c r="Y653" t="s">
        <v>12634</v>
      </c>
      <c r="Z653" t="s">
        <v>12635</v>
      </c>
      <c r="AA653" t="s">
        <v>12636</v>
      </c>
      <c r="AB653" t="s">
        <v>12637</v>
      </c>
      <c r="AC653" t="s">
        <v>12638</v>
      </c>
      <c r="AD653" t="s">
        <v>12639</v>
      </c>
      <c r="AE653" t="s">
        <v>12640</v>
      </c>
      <c r="AF653" t="s">
        <v>74</v>
      </c>
      <c r="AG653">
        <v>67</v>
      </c>
      <c r="AH653">
        <v>49</v>
      </c>
      <c r="AI653">
        <v>57</v>
      </c>
      <c r="AJ653">
        <v>6</v>
      </c>
      <c r="AK653">
        <v>97</v>
      </c>
      <c r="AL653" t="s">
        <v>1046</v>
      </c>
      <c r="AM653" t="s">
        <v>1047</v>
      </c>
      <c r="AN653" t="s">
        <v>1048</v>
      </c>
      <c r="AO653" t="s">
        <v>1049</v>
      </c>
      <c r="AP653" t="s">
        <v>1050</v>
      </c>
      <c r="AQ653" t="s">
        <v>74</v>
      </c>
      <c r="AR653" t="s">
        <v>1051</v>
      </c>
      <c r="AS653" t="s">
        <v>1052</v>
      </c>
      <c r="AT653" t="s">
        <v>12622</v>
      </c>
      <c r="AU653">
        <v>2015</v>
      </c>
      <c r="AV653">
        <v>532</v>
      </c>
      <c r="AW653" t="s">
        <v>74</v>
      </c>
      <c r="AX653" t="s">
        <v>74</v>
      </c>
      <c r="AY653" t="s">
        <v>74</v>
      </c>
      <c r="AZ653" t="s">
        <v>74</v>
      </c>
      <c r="BA653" t="s">
        <v>74</v>
      </c>
      <c r="BB653">
        <v>13</v>
      </c>
      <c r="BC653">
        <v>28</v>
      </c>
      <c r="BD653" t="s">
        <v>74</v>
      </c>
      <c r="BE653" t="s">
        <v>12641</v>
      </c>
      <c r="BF653" t="str">
        <f>HYPERLINK("http://dx.doi.org/10.3354/meps11336","http://dx.doi.org/10.3354/meps11336")</f>
        <v>http://dx.doi.org/10.3354/meps11336</v>
      </c>
      <c r="BG653" t="s">
        <v>74</v>
      </c>
      <c r="BH653" t="s">
        <v>74</v>
      </c>
      <c r="BI653">
        <v>16</v>
      </c>
      <c r="BJ653" t="s">
        <v>1054</v>
      </c>
      <c r="BK653" t="s">
        <v>101</v>
      </c>
      <c r="BL653" t="s">
        <v>1055</v>
      </c>
      <c r="BM653" t="s">
        <v>12624</v>
      </c>
      <c r="BN653" t="s">
        <v>74</v>
      </c>
      <c r="BO653" t="s">
        <v>162</v>
      </c>
      <c r="BP653" t="s">
        <v>74</v>
      </c>
      <c r="BQ653" t="s">
        <v>74</v>
      </c>
      <c r="BR653" t="s">
        <v>103</v>
      </c>
      <c r="BS653" t="s">
        <v>12642</v>
      </c>
      <c r="BT653" t="str">
        <f>HYPERLINK("https%3A%2F%2Fwww.webofscience.com%2Fwos%2Fwoscc%2Ffull-record%2FWOS:000358445600002","View Full Record in Web of Science")</f>
        <v>View Full Record in Web of Science</v>
      </c>
    </row>
    <row r="654" spans="1:72" x14ac:dyDescent="0.15">
      <c r="A654" t="s">
        <v>72</v>
      </c>
      <c r="B654" t="s">
        <v>12643</v>
      </c>
      <c r="C654" t="s">
        <v>74</v>
      </c>
      <c r="D654" t="s">
        <v>74</v>
      </c>
      <c r="E654" t="s">
        <v>74</v>
      </c>
      <c r="F654" t="s">
        <v>12644</v>
      </c>
      <c r="G654" t="s">
        <v>74</v>
      </c>
      <c r="H654" t="s">
        <v>74</v>
      </c>
      <c r="I654" t="s">
        <v>12645</v>
      </c>
      <c r="J654" t="s">
        <v>9184</v>
      </c>
      <c r="K654" t="s">
        <v>74</v>
      </c>
      <c r="L654" t="s">
        <v>74</v>
      </c>
      <c r="M654" t="s">
        <v>78</v>
      </c>
      <c r="N654" t="s">
        <v>79</v>
      </c>
      <c r="O654" t="s">
        <v>74</v>
      </c>
      <c r="P654" t="s">
        <v>74</v>
      </c>
      <c r="Q654" t="s">
        <v>74</v>
      </c>
      <c r="R654" t="s">
        <v>74</v>
      </c>
      <c r="S654" t="s">
        <v>74</v>
      </c>
      <c r="T654" t="s">
        <v>12646</v>
      </c>
      <c r="U654" t="s">
        <v>12647</v>
      </c>
      <c r="V654" t="s">
        <v>12648</v>
      </c>
      <c r="W654" t="s">
        <v>12649</v>
      </c>
      <c r="X654" t="s">
        <v>12650</v>
      </c>
      <c r="Y654" t="s">
        <v>12651</v>
      </c>
      <c r="Z654" t="s">
        <v>12652</v>
      </c>
      <c r="AA654" t="s">
        <v>12653</v>
      </c>
      <c r="AB654" t="s">
        <v>12654</v>
      </c>
      <c r="AC654" t="s">
        <v>12655</v>
      </c>
      <c r="AD654" t="s">
        <v>12656</v>
      </c>
      <c r="AE654" t="s">
        <v>12657</v>
      </c>
      <c r="AF654" t="s">
        <v>74</v>
      </c>
      <c r="AG654">
        <v>79</v>
      </c>
      <c r="AH654">
        <v>51</v>
      </c>
      <c r="AI654">
        <v>56</v>
      </c>
      <c r="AJ654">
        <v>3</v>
      </c>
      <c r="AK654">
        <v>90</v>
      </c>
      <c r="AL654" t="s">
        <v>883</v>
      </c>
      <c r="AM654" t="s">
        <v>884</v>
      </c>
      <c r="AN654" t="s">
        <v>885</v>
      </c>
      <c r="AO654" t="s">
        <v>9197</v>
      </c>
      <c r="AP654" t="s">
        <v>9198</v>
      </c>
      <c r="AQ654" t="s">
        <v>74</v>
      </c>
      <c r="AR654" t="s">
        <v>9199</v>
      </c>
      <c r="AS654" t="s">
        <v>9200</v>
      </c>
      <c r="AT654" t="s">
        <v>12658</v>
      </c>
      <c r="AU654">
        <v>2015</v>
      </c>
      <c r="AV654">
        <v>173</v>
      </c>
      <c r="AW654" t="s">
        <v>74</v>
      </c>
      <c r="AX654" t="s">
        <v>74</v>
      </c>
      <c r="AY654" t="s">
        <v>74</v>
      </c>
      <c r="AZ654" t="s">
        <v>931</v>
      </c>
      <c r="BA654" t="s">
        <v>74</v>
      </c>
      <c r="BB654">
        <v>136</v>
      </c>
      <c r="BC654">
        <v>147</v>
      </c>
      <c r="BD654" t="s">
        <v>74</v>
      </c>
      <c r="BE654" t="s">
        <v>12659</v>
      </c>
      <c r="BF654" t="str">
        <f>HYPERLINK("http://dx.doi.org/10.1016/j.marchem.2014.10.002","http://dx.doi.org/10.1016/j.marchem.2014.10.002")</f>
        <v>http://dx.doi.org/10.1016/j.marchem.2014.10.002</v>
      </c>
      <c r="BG654" t="s">
        <v>74</v>
      </c>
      <c r="BH654" t="s">
        <v>74</v>
      </c>
      <c r="BI654">
        <v>12</v>
      </c>
      <c r="BJ654" t="s">
        <v>9203</v>
      </c>
      <c r="BK654" t="s">
        <v>101</v>
      </c>
      <c r="BL654" t="s">
        <v>9204</v>
      </c>
      <c r="BM654" t="s">
        <v>12660</v>
      </c>
      <c r="BN654" t="s">
        <v>74</v>
      </c>
      <c r="BO654" t="s">
        <v>74</v>
      </c>
      <c r="BP654" t="s">
        <v>74</v>
      </c>
      <c r="BQ654" t="s">
        <v>74</v>
      </c>
      <c r="BR654" t="s">
        <v>103</v>
      </c>
      <c r="BS654" t="s">
        <v>12661</v>
      </c>
      <c r="BT654" t="str">
        <f>HYPERLINK("https%3A%2F%2Fwww.webofscience.com%2Fwos%2Fwoscc%2Ffull-record%2FWOS:000355044800012","View Full Record in Web of Science")</f>
        <v>View Full Record in Web of Science</v>
      </c>
    </row>
    <row r="655" spans="1:72" x14ac:dyDescent="0.15">
      <c r="A655" t="s">
        <v>72</v>
      </c>
      <c r="B655" t="s">
        <v>12662</v>
      </c>
      <c r="C655" t="s">
        <v>74</v>
      </c>
      <c r="D655" t="s">
        <v>74</v>
      </c>
      <c r="E655" t="s">
        <v>74</v>
      </c>
      <c r="F655" t="s">
        <v>12663</v>
      </c>
      <c r="G655" t="s">
        <v>74</v>
      </c>
      <c r="H655" t="s">
        <v>74</v>
      </c>
      <c r="I655" t="s">
        <v>12664</v>
      </c>
      <c r="J655" t="s">
        <v>9184</v>
      </c>
      <c r="K655" t="s">
        <v>74</v>
      </c>
      <c r="L655" t="s">
        <v>74</v>
      </c>
      <c r="M655" t="s">
        <v>78</v>
      </c>
      <c r="N655" t="s">
        <v>79</v>
      </c>
      <c r="O655" t="s">
        <v>74</v>
      </c>
      <c r="P655" t="s">
        <v>74</v>
      </c>
      <c r="Q655" t="s">
        <v>74</v>
      </c>
      <c r="R655" t="s">
        <v>74</v>
      </c>
      <c r="S655" t="s">
        <v>74</v>
      </c>
      <c r="T655" t="s">
        <v>12665</v>
      </c>
      <c r="U655" t="s">
        <v>12666</v>
      </c>
      <c r="V655" t="s">
        <v>12667</v>
      </c>
      <c r="W655" t="s">
        <v>12668</v>
      </c>
      <c r="X655" t="s">
        <v>12669</v>
      </c>
      <c r="Y655" t="s">
        <v>12670</v>
      </c>
      <c r="Z655" t="s">
        <v>12671</v>
      </c>
      <c r="AA655" t="s">
        <v>12672</v>
      </c>
      <c r="AB655" t="s">
        <v>12673</v>
      </c>
      <c r="AC655" t="s">
        <v>12674</v>
      </c>
      <c r="AD655" t="s">
        <v>12675</v>
      </c>
      <c r="AE655" t="s">
        <v>12676</v>
      </c>
      <c r="AF655" t="s">
        <v>74</v>
      </c>
      <c r="AG655">
        <v>106</v>
      </c>
      <c r="AH655">
        <v>36</v>
      </c>
      <c r="AI655">
        <v>39</v>
      </c>
      <c r="AJ655">
        <v>8</v>
      </c>
      <c r="AK655">
        <v>100</v>
      </c>
      <c r="AL655" t="s">
        <v>883</v>
      </c>
      <c r="AM655" t="s">
        <v>884</v>
      </c>
      <c r="AN655" t="s">
        <v>885</v>
      </c>
      <c r="AO655" t="s">
        <v>9197</v>
      </c>
      <c r="AP655" t="s">
        <v>9198</v>
      </c>
      <c r="AQ655" t="s">
        <v>74</v>
      </c>
      <c r="AR655" t="s">
        <v>9199</v>
      </c>
      <c r="AS655" t="s">
        <v>9200</v>
      </c>
      <c r="AT655" t="s">
        <v>12658</v>
      </c>
      <c r="AU655">
        <v>2015</v>
      </c>
      <c r="AV655">
        <v>173</v>
      </c>
      <c r="AW655" t="s">
        <v>74</v>
      </c>
      <c r="AX655" t="s">
        <v>74</v>
      </c>
      <c r="AY655" t="s">
        <v>74</v>
      </c>
      <c r="AZ655" t="s">
        <v>931</v>
      </c>
      <c r="BA655" t="s">
        <v>74</v>
      </c>
      <c r="BB655">
        <v>148</v>
      </c>
      <c r="BC655">
        <v>161</v>
      </c>
      <c r="BD655" t="s">
        <v>74</v>
      </c>
      <c r="BE655" t="s">
        <v>12677</v>
      </c>
      <c r="BF655" t="str">
        <f>HYPERLINK("http://dx.doi.org/10.1016/j.marchem.2015.03.015","http://dx.doi.org/10.1016/j.marchem.2015.03.015")</f>
        <v>http://dx.doi.org/10.1016/j.marchem.2015.03.015</v>
      </c>
      <c r="BG655" t="s">
        <v>74</v>
      </c>
      <c r="BH655" t="s">
        <v>74</v>
      </c>
      <c r="BI655">
        <v>14</v>
      </c>
      <c r="BJ655" t="s">
        <v>9203</v>
      </c>
      <c r="BK655" t="s">
        <v>101</v>
      </c>
      <c r="BL655" t="s">
        <v>9204</v>
      </c>
      <c r="BM655" t="s">
        <v>12660</v>
      </c>
      <c r="BN655" t="s">
        <v>74</v>
      </c>
      <c r="BO655" t="s">
        <v>559</v>
      </c>
      <c r="BP655" t="s">
        <v>74</v>
      </c>
      <c r="BQ655" t="s">
        <v>74</v>
      </c>
      <c r="BR655" t="s">
        <v>103</v>
      </c>
      <c r="BS655" t="s">
        <v>12678</v>
      </c>
      <c r="BT655" t="str">
        <f>HYPERLINK("https%3A%2F%2Fwww.webofscience.com%2Fwos%2Fwoscc%2Ffull-record%2FWOS:000355044800013","View Full Record in Web of Science")</f>
        <v>View Full Record in Web of Science</v>
      </c>
    </row>
    <row r="656" spans="1:72" x14ac:dyDescent="0.15">
      <c r="A656" t="s">
        <v>72</v>
      </c>
      <c r="B656" t="s">
        <v>12679</v>
      </c>
      <c r="C656" t="s">
        <v>74</v>
      </c>
      <c r="D656" t="s">
        <v>74</v>
      </c>
      <c r="E656" t="s">
        <v>74</v>
      </c>
      <c r="F656" t="s">
        <v>12680</v>
      </c>
      <c r="G656" t="s">
        <v>74</v>
      </c>
      <c r="H656" t="s">
        <v>74</v>
      </c>
      <c r="I656" t="s">
        <v>12681</v>
      </c>
      <c r="J656" t="s">
        <v>9184</v>
      </c>
      <c r="K656" t="s">
        <v>74</v>
      </c>
      <c r="L656" t="s">
        <v>74</v>
      </c>
      <c r="M656" t="s">
        <v>78</v>
      </c>
      <c r="N656" t="s">
        <v>79</v>
      </c>
      <c r="O656" t="s">
        <v>74</v>
      </c>
      <c r="P656" t="s">
        <v>74</v>
      </c>
      <c r="Q656" t="s">
        <v>74</v>
      </c>
      <c r="R656" t="s">
        <v>74</v>
      </c>
      <c r="S656" t="s">
        <v>74</v>
      </c>
      <c r="T656" t="s">
        <v>12682</v>
      </c>
      <c r="U656" t="s">
        <v>12683</v>
      </c>
      <c r="V656" t="s">
        <v>12684</v>
      </c>
      <c r="W656" t="s">
        <v>12685</v>
      </c>
      <c r="X656" t="s">
        <v>12686</v>
      </c>
      <c r="Y656" t="s">
        <v>12687</v>
      </c>
      <c r="Z656" t="s">
        <v>12688</v>
      </c>
      <c r="AA656" t="s">
        <v>12689</v>
      </c>
      <c r="AB656" t="s">
        <v>12690</v>
      </c>
      <c r="AC656" t="s">
        <v>12691</v>
      </c>
      <c r="AD656" t="s">
        <v>12692</v>
      </c>
      <c r="AE656" t="s">
        <v>12693</v>
      </c>
      <c r="AF656" t="s">
        <v>74</v>
      </c>
      <c r="AG656">
        <v>215</v>
      </c>
      <c r="AH656">
        <v>48</v>
      </c>
      <c r="AI656">
        <v>55</v>
      </c>
      <c r="AJ656">
        <v>3</v>
      </c>
      <c r="AK656">
        <v>94</v>
      </c>
      <c r="AL656" t="s">
        <v>925</v>
      </c>
      <c r="AM656" t="s">
        <v>884</v>
      </c>
      <c r="AN656" t="s">
        <v>926</v>
      </c>
      <c r="AO656" t="s">
        <v>9197</v>
      </c>
      <c r="AP656" t="s">
        <v>9198</v>
      </c>
      <c r="AQ656" t="s">
        <v>74</v>
      </c>
      <c r="AR656" t="s">
        <v>9199</v>
      </c>
      <c r="AS656" t="s">
        <v>9200</v>
      </c>
      <c r="AT656" t="s">
        <v>12658</v>
      </c>
      <c r="AU656">
        <v>2015</v>
      </c>
      <c r="AV656">
        <v>173</v>
      </c>
      <c r="AW656" t="s">
        <v>74</v>
      </c>
      <c r="AX656" t="s">
        <v>74</v>
      </c>
      <c r="AY656" t="s">
        <v>74</v>
      </c>
      <c r="AZ656" t="s">
        <v>931</v>
      </c>
      <c r="BA656" t="s">
        <v>74</v>
      </c>
      <c r="BB656">
        <v>253</v>
      </c>
      <c r="BC656">
        <v>268</v>
      </c>
      <c r="BD656" t="s">
        <v>74</v>
      </c>
      <c r="BE656" t="s">
        <v>12694</v>
      </c>
      <c r="BF656" t="str">
        <f>HYPERLINK("http://dx.doi.org/10.1016/j.marchem.2014.09.017","http://dx.doi.org/10.1016/j.marchem.2014.09.017")</f>
        <v>http://dx.doi.org/10.1016/j.marchem.2014.09.017</v>
      </c>
      <c r="BG656" t="s">
        <v>74</v>
      </c>
      <c r="BH656" t="s">
        <v>74</v>
      </c>
      <c r="BI656">
        <v>16</v>
      </c>
      <c r="BJ656" t="s">
        <v>9203</v>
      </c>
      <c r="BK656" t="s">
        <v>101</v>
      </c>
      <c r="BL656" t="s">
        <v>9204</v>
      </c>
      <c r="BM656" t="s">
        <v>12660</v>
      </c>
      <c r="BN656" t="s">
        <v>74</v>
      </c>
      <c r="BO656" t="s">
        <v>74</v>
      </c>
      <c r="BP656" t="s">
        <v>74</v>
      </c>
      <c r="BQ656" t="s">
        <v>74</v>
      </c>
      <c r="BR656" t="s">
        <v>103</v>
      </c>
      <c r="BS656" t="s">
        <v>12695</v>
      </c>
      <c r="BT656" t="str">
        <f>HYPERLINK("https%3A%2F%2Fwww.webofscience.com%2Fwos%2Fwoscc%2Ffull-record%2FWOS:000355044800022","View Full Record in Web of Science")</f>
        <v>View Full Record in Web of Science</v>
      </c>
    </row>
    <row r="657" spans="1:72" x14ac:dyDescent="0.15">
      <c r="A657" t="s">
        <v>72</v>
      </c>
      <c r="B657" t="s">
        <v>12696</v>
      </c>
      <c r="C657" t="s">
        <v>74</v>
      </c>
      <c r="D657" t="s">
        <v>74</v>
      </c>
      <c r="E657" t="s">
        <v>74</v>
      </c>
      <c r="F657" t="s">
        <v>12697</v>
      </c>
      <c r="G657" t="s">
        <v>74</v>
      </c>
      <c r="H657" t="s">
        <v>74</v>
      </c>
      <c r="I657" t="s">
        <v>12698</v>
      </c>
      <c r="J657" t="s">
        <v>9184</v>
      </c>
      <c r="K657" t="s">
        <v>74</v>
      </c>
      <c r="L657" t="s">
        <v>74</v>
      </c>
      <c r="M657" t="s">
        <v>78</v>
      </c>
      <c r="N657" t="s">
        <v>79</v>
      </c>
      <c r="O657" t="s">
        <v>74</v>
      </c>
      <c r="P657" t="s">
        <v>74</v>
      </c>
      <c r="Q657" t="s">
        <v>74</v>
      </c>
      <c r="R657" t="s">
        <v>74</v>
      </c>
      <c r="S657" t="s">
        <v>74</v>
      </c>
      <c r="T657" t="s">
        <v>12699</v>
      </c>
      <c r="U657" t="s">
        <v>12700</v>
      </c>
      <c r="V657" t="s">
        <v>12701</v>
      </c>
      <c r="W657" t="s">
        <v>12702</v>
      </c>
      <c r="X657" t="s">
        <v>12703</v>
      </c>
      <c r="Y657" t="s">
        <v>12704</v>
      </c>
      <c r="Z657" t="s">
        <v>12705</v>
      </c>
      <c r="AA657" t="s">
        <v>12706</v>
      </c>
      <c r="AB657" t="s">
        <v>12707</v>
      </c>
      <c r="AC657" t="s">
        <v>12708</v>
      </c>
      <c r="AD657" t="s">
        <v>12709</v>
      </c>
      <c r="AE657" t="s">
        <v>12710</v>
      </c>
      <c r="AF657" t="s">
        <v>74</v>
      </c>
      <c r="AG657">
        <v>48</v>
      </c>
      <c r="AH657">
        <v>22</v>
      </c>
      <c r="AI657">
        <v>23</v>
      </c>
      <c r="AJ657">
        <v>0</v>
      </c>
      <c r="AK657">
        <v>37</v>
      </c>
      <c r="AL657" t="s">
        <v>925</v>
      </c>
      <c r="AM657" t="s">
        <v>884</v>
      </c>
      <c r="AN657" t="s">
        <v>926</v>
      </c>
      <c r="AO657" t="s">
        <v>9197</v>
      </c>
      <c r="AP657" t="s">
        <v>9198</v>
      </c>
      <c r="AQ657" t="s">
        <v>74</v>
      </c>
      <c r="AR657" t="s">
        <v>9199</v>
      </c>
      <c r="AS657" t="s">
        <v>9200</v>
      </c>
      <c r="AT657" t="s">
        <v>12658</v>
      </c>
      <c r="AU657">
        <v>2015</v>
      </c>
      <c r="AV657">
        <v>173</v>
      </c>
      <c r="AW657" t="s">
        <v>74</v>
      </c>
      <c r="AX657" t="s">
        <v>74</v>
      </c>
      <c r="AY657" t="s">
        <v>74</v>
      </c>
      <c r="AZ657" t="s">
        <v>931</v>
      </c>
      <c r="BA657" t="s">
        <v>74</v>
      </c>
      <c r="BB657">
        <v>310</v>
      </c>
      <c r="BC657">
        <v>319</v>
      </c>
      <c r="BD657" t="s">
        <v>74</v>
      </c>
      <c r="BE657" t="s">
        <v>12711</v>
      </c>
      <c r="BF657" t="str">
        <f>HYPERLINK("http://dx.doi.org/10.1016/j.marchem.2014.10.006","http://dx.doi.org/10.1016/j.marchem.2014.10.006")</f>
        <v>http://dx.doi.org/10.1016/j.marchem.2014.10.006</v>
      </c>
      <c r="BG657" t="s">
        <v>74</v>
      </c>
      <c r="BH657" t="s">
        <v>74</v>
      </c>
      <c r="BI657">
        <v>10</v>
      </c>
      <c r="BJ657" t="s">
        <v>9203</v>
      </c>
      <c r="BK657" t="s">
        <v>101</v>
      </c>
      <c r="BL657" t="s">
        <v>9204</v>
      </c>
      <c r="BM657" t="s">
        <v>12660</v>
      </c>
      <c r="BN657" t="s">
        <v>74</v>
      </c>
      <c r="BO657" t="s">
        <v>74</v>
      </c>
      <c r="BP657" t="s">
        <v>74</v>
      </c>
      <c r="BQ657" t="s">
        <v>74</v>
      </c>
      <c r="BR657" t="s">
        <v>103</v>
      </c>
      <c r="BS657" t="s">
        <v>12712</v>
      </c>
      <c r="BT657" t="str">
        <f>HYPERLINK("https%3A%2F%2Fwww.webofscience.com%2Fwos%2Fwoscc%2Ffull-record%2FWOS:000355044800027","View Full Record in Web of Science")</f>
        <v>View Full Record in Web of Science</v>
      </c>
    </row>
    <row r="658" spans="1:72" x14ac:dyDescent="0.15">
      <c r="A658" t="s">
        <v>72</v>
      </c>
      <c r="B658" t="s">
        <v>12713</v>
      </c>
      <c r="C658" t="s">
        <v>74</v>
      </c>
      <c r="D658" t="s">
        <v>74</v>
      </c>
      <c r="E658" t="s">
        <v>74</v>
      </c>
      <c r="F658" t="s">
        <v>12714</v>
      </c>
      <c r="G658" t="s">
        <v>74</v>
      </c>
      <c r="H658" t="s">
        <v>74</v>
      </c>
      <c r="I658" t="s">
        <v>12715</v>
      </c>
      <c r="J658" t="s">
        <v>1078</v>
      </c>
      <c r="K658" t="s">
        <v>74</v>
      </c>
      <c r="L658" t="s">
        <v>74</v>
      </c>
      <c r="M658" t="s">
        <v>78</v>
      </c>
      <c r="N658" t="s">
        <v>79</v>
      </c>
      <c r="O658" t="s">
        <v>74</v>
      </c>
      <c r="P658" t="s">
        <v>74</v>
      </c>
      <c r="Q658" t="s">
        <v>74</v>
      </c>
      <c r="R658" t="s">
        <v>74</v>
      </c>
      <c r="S658" t="s">
        <v>74</v>
      </c>
      <c r="T658" t="s">
        <v>74</v>
      </c>
      <c r="U658" t="s">
        <v>12716</v>
      </c>
      <c r="V658" t="s">
        <v>12717</v>
      </c>
      <c r="W658" t="s">
        <v>12718</v>
      </c>
      <c r="X658" t="s">
        <v>12719</v>
      </c>
      <c r="Y658" t="s">
        <v>12720</v>
      </c>
      <c r="Z658" t="s">
        <v>12721</v>
      </c>
      <c r="AA658" t="s">
        <v>74</v>
      </c>
      <c r="AB658" t="s">
        <v>74</v>
      </c>
      <c r="AC658" t="s">
        <v>12722</v>
      </c>
      <c r="AD658" t="s">
        <v>12723</v>
      </c>
      <c r="AE658" t="s">
        <v>12724</v>
      </c>
      <c r="AF658" t="s">
        <v>74</v>
      </c>
      <c r="AG658">
        <v>73</v>
      </c>
      <c r="AH658">
        <v>8</v>
      </c>
      <c r="AI658">
        <v>10</v>
      </c>
      <c r="AJ658">
        <v>0</v>
      </c>
      <c r="AK658">
        <v>12</v>
      </c>
      <c r="AL658" t="s">
        <v>1089</v>
      </c>
      <c r="AM658" t="s">
        <v>1090</v>
      </c>
      <c r="AN658" t="s">
        <v>1091</v>
      </c>
      <c r="AO658" t="s">
        <v>1092</v>
      </c>
      <c r="AP658" t="s">
        <v>74</v>
      </c>
      <c r="AQ658" t="s">
        <v>74</v>
      </c>
      <c r="AR658" t="s">
        <v>1078</v>
      </c>
      <c r="AS658" t="s">
        <v>1093</v>
      </c>
      <c r="AT658" t="s">
        <v>12725</v>
      </c>
      <c r="AU658">
        <v>2015</v>
      </c>
      <c r="AV658">
        <v>10</v>
      </c>
      <c r="AW658">
        <v>7</v>
      </c>
      <c r="AX658" t="s">
        <v>74</v>
      </c>
      <c r="AY658" t="s">
        <v>74</v>
      </c>
      <c r="AZ658" t="s">
        <v>74</v>
      </c>
      <c r="BA658" t="s">
        <v>74</v>
      </c>
      <c r="BB658" t="s">
        <v>74</v>
      </c>
      <c r="BC658" t="s">
        <v>74</v>
      </c>
      <c r="BD658" t="s">
        <v>12726</v>
      </c>
      <c r="BE658" t="s">
        <v>12727</v>
      </c>
      <c r="BF658" t="str">
        <f>HYPERLINK("http://dx.doi.org/10.1371/journal.pone.0132534","http://dx.doi.org/10.1371/journal.pone.0132534")</f>
        <v>http://dx.doi.org/10.1371/journal.pone.0132534</v>
      </c>
      <c r="BG658" t="s">
        <v>74</v>
      </c>
      <c r="BH658" t="s">
        <v>74</v>
      </c>
      <c r="BI658">
        <v>27</v>
      </c>
      <c r="BJ658" t="s">
        <v>530</v>
      </c>
      <c r="BK658" t="s">
        <v>101</v>
      </c>
      <c r="BL658" t="s">
        <v>531</v>
      </c>
      <c r="BM658" t="s">
        <v>12728</v>
      </c>
      <c r="BN658">
        <v>26186724</v>
      </c>
      <c r="BO658" t="s">
        <v>5233</v>
      </c>
      <c r="BP658" t="s">
        <v>74</v>
      </c>
      <c r="BQ658" t="s">
        <v>74</v>
      </c>
      <c r="BR658" t="s">
        <v>103</v>
      </c>
      <c r="BS658" t="s">
        <v>12729</v>
      </c>
      <c r="BT658" t="str">
        <f>HYPERLINK("https%3A%2F%2Fwww.webofscience.com%2Fwos%2Fwoscc%2Ffull-record%2FWOS:000358198700048","View Full Record in Web of Science")</f>
        <v>View Full Record in Web of Science</v>
      </c>
    </row>
    <row r="659" spans="1:72" x14ac:dyDescent="0.15">
      <c r="A659" t="s">
        <v>72</v>
      </c>
      <c r="B659" t="s">
        <v>12730</v>
      </c>
      <c r="C659" t="s">
        <v>74</v>
      </c>
      <c r="D659" t="s">
        <v>74</v>
      </c>
      <c r="E659" t="s">
        <v>74</v>
      </c>
      <c r="F659" t="s">
        <v>12731</v>
      </c>
      <c r="G659" t="s">
        <v>74</v>
      </c>
      <c r="H659" t="s">
        <v>74</v>
      </c>
      <c r="I659" t="s">
        <v>12732</v>
      </c>
      <c r="J659" t="s">
        <v>1008</v>
      </c>
      <c r="K659" t="s">
        <v>74</v>
      </c>
      <c r="L659" t="s">
        <v>74</v>
      </c>
      <c r="M659" t="s">
        <v>78</v>
      </c>
      <c r="N659" t="s">
        <v>79</v>
      </c>
      <c r="O659" t="s">
        <v>74</v>
      </c>
      <c r="P659" t="s">
        <v>74</v>
      </c>
      <c r="Q659" t="s">
        <v>74</v>
      </c>
      <c r="R659" t="s">
        <v>74</v>
      </c>
      <c r="S659" t="s">
        <v>74</v>
      </c>
      <c r="T659" t="s">
        <v>12733</v>
      </c>
      <c r="U659" t="s">
        <v>12734</v>
      </c>
      <c r="V659" t="s">
        <v>12735</v>
      </c>
      <c r="W659" t="s">
        <v>12736</v>
      </c>
      <c r="X659" t="s">
        <v>12737</v>
      </c>
      <c r="Y659" t="s">
        <v>12738</v>
      </c>
      <c r="Z659" t="s">
        <v>12739</v>
      </c>
      <c r="AA659" t="s">
        <v>74</v>
      </c>
      <c r="AB659" t="s">
        <v>12740</v>
      </c>
      <c r="AC659" t="s">
        <v>12741</v>
      </c>
      <c r="AD659" t="s">
        <v>12742</v>
      </c>
      <c r="AE659" t="s">
        <v>12743</v>
      </c>
      <c r="AF659" t="s">
        <v>74</v>
      </c>
      <c r="AG659">
        <v>28</v>
      </c>
      <c r="AH659">
        <v>29</v>
      </c>
      <c r="AI659">
        <v>31</v>
      </c>
      <c r="AJ659">
        <v>2</v>
      </c>
      <c r="AK659">
        <v>23</v>
      </c>
      <c r="AL659" t="s">
        <v>306</v>
      </c>
      <c r="AM659" t="s">
        <v>307</v>
      </c>
      <c r="AN659" t="s">
        <v>308</v>
      </c>
      <c r="AO659" t="s">
        <v>1021</v>
      </c>
      <c r="AP659" t="s">
        <v>1022</v>
      </c>
      <c r="AQ659" t="s">
        <v>74</v>
      </c>
      <c r="AR659" t="s">
        <v>1023</v>
      </c>
      <c r="AS659" t="s">
        <v>1024</v>
      </c>
      <c r="AT659" t="s">
        <v>12744</v>
      </c>
      <c r="AU659">
        <v>2015</v>
      </c>
      <c r="AV659">
        <v>42</v>
      </c>
      <c r="AW659">
        <v>13</v>
      </c>
      <c r="AX659" t="s">
        <v>74</v>
      </c>
      <c r="AY659" t="s">
        <v>74</v>
      </c>
      <c r="AZ659" t="s">
        <v>74</v>
      </c>
      <c r="BA659" t="s">
        <v>74</v>
      </c>
      <c r="BB659">
        <v>5372</v>
      </c>
      <c r="BC659">
        <v>5377</v>
      </c>
      <c r="BD659" t="s">
        <v>74</v>
      </c>
      <c r="BE659" t="s">
        <v>12745</v>
      </c>
      <c r="BF659" t="str">
        <f>HYPERLINK("http://dx.doi.org/10.1002/2015GL064322","http://dx.doi.org/10.1002/2015GL064322")</f>
        <v>http://dx.doi.org/10.1002/2015GL064322</v>
      </c>
      <c r="BG659" t="s">
        <v>74</v>
      </c>
      <c r="BH659" t="s">
        <v>74</v>
      </c>
      <c r="BI659">
        <v>6</v>
      </c>
      <c r="BJ659" t="s">
        <v>314</v>
      </c>
      <c r="BK659" t="s">
        <v>101</v>
      </c>
      <c r="BL659" t="s">
        <v>315</v>
      </c>
      <c r="BM659" t="s">
        <v>12746</v>
      </c>
      <c r="BN659" t="s">
        <v>74</v>
      </c>
      <c r="BO659" t="s">
        <v>4305</v>
      </c>
      <c r="BP659" t="s">
        <v>74</v>
      </c>
      <c r="BQ659" t="s">
        <v>74</v>
      </c>
      <c r="BR659" t="s">
        <v>103</v>
      </c>
      <c r="BS659" t="s">
        <v>12747</v>
      </c>
      <c r="BT659" t="str">
        <f>HYPERLINK("https%3A%2F%2Fwww.webofscience.com%2Fwos%2Fwoscc%2Ffull-record%2FWOS:000358691300036","View Full Record in Web of Science")</f>
        <v>View Full Record in Web of Science</v>
      </c>
    </row>
    <row r="660" spans="1:72" x14ac:dyDescent="0.15">
      <c r="A660" t="s">
        <v>72</v>
      </c>
      <c r="B660" t="s">
        <v>12748</v>
      </c>
      <c r="C660" t="s">
        <v>74</v>
      </c>
      <c r="D660" t="s">
        <v>74</v>
      </c>
      <c r="E660" t="s">
        <v>74</v>
      </c>
      <c r="F660" t="s">
        <v>12749</v>
      </c>
      <c r="G660" t="s">
        <v>74</v>
      </c>
      <c r="H660" t="s">
        <v>74</v>
      </c>
      <c r="I660" t="s">
        <v>12750</v>
      </c>
      <c r="J660" t="s">
        <v>1008</v>
      </c>
      <c r="K660" t="s">
        <v>74</v>
      </c>
      <c r="L660" t="s">
        <v>74</v>
      </c>
      <c r="M660" t="s">
        <v>78</v>
      </c>
      <c r="N660" t="s">
        <v>79</v>
      </c>
      <c r="O660" t="s">
        <v>74</v>
      </c>
      <c r="P660" t="s">
        <v>74</v>
      </c>
      <c r="Q660" t="s">
        <v>74</v>
      </c>
      <c r="R660" t="s">
        <v>74</v>
      </c>
      <c r="S660" t="s">
        <v>74</v>
      </c>
      <c r="T660" t="s">
        <v>74</v>
      </c>
      <c r="U660" t="s">
        <v>12751</v>
      </c>
      <c r="V660" t="s">
        <v>12752</v>
      </c>
      <c r="W660" t="s">
        <v>12753</v>
      </c>
      <c r="X660" t="s">
        <v>12754</v>
      </c>
      <c r="Y660" t="s">
        <v>12755</v>
      </c>
      <c r="Z660" t="s">
        <v>12756</v>
      </c>
      <c r="AA660" t="s">
        <v>12757</v>
      </c>
      <c r="AB660" t="s">
        <v>12758</v>
      </c>
      <c r="AC660" t="s">
        <v>12759</v>
      </c>
      <c r="AD660" t="s">
        <v>12760</v>
      </c>
      <c r="AE660" t="s">
        <v>12761</v>
      </c>
      <c r="AF660" t="s">
        <v>74</v>
      </c>
      <c r="AG660">
        <v>68</v>
      </c>
      <c r="AH660">
        <v>58</v>
      </c>
      <c r="AI660">
        <v>63</v>
      </c>
      <c r="AJ660">
        <v>1</v>
      </c>
      <c r="AK660">
        <v>27</v>
      </c>
      <c r="AL660" t="s">
        <v>306</v>
      </c>
      <c r="AM660" t="s">
        <v>307</v>
      </c>
      <c r="AN660" t="s">
        <v>308</v>
      </c>
      <c r="AO660" t="s">
        <v>1021</v>
      </c>
      <c r="AP660" t="s">
        <v>1022</v>
      </c>
      <c r="AQ660" t="s">
        <v>74</v>
      </c>
      <c r="AR660" t="s">
        <v>1023</v>
      </c>
      <c r="AS660" t="s">
        <v>1024</v>
      </c>
      <c r="AT660" t="s">
        <v>12744</v>
      </c>
      <c r="AU660">
        <v>2015</v>
      </c>
      <c r="AV660">
        <v>42</v>
      </c>
      <c r="AW660">
        <v>13</v>
      </c>
      <c r="AX660" t="s">
        <v>74</v>
      </c>
      <c r="AY660" t="s">
        <v>74</v>
      </c>
      <c r="AZ660" t="s">
        <v>74</v>
      </c>
      <c r="BA660" t="s">
        <v>74</v>
      </c>
      <c r="BB660">
        <v>5442</v>
      </c>
      <c r="BC660">
        <v>5451</v>
      </c>
      <c r="BD660" t="s">
        <v>74</v>
      </c>
      <c r="BE660" t="s">
        <v>12762</v>
      </c>
      <c r="BF660" t="str">
        <f>HYPERLINK("http://dx.doi.org/10.1002/2015GL064508","http://dx.doi.org/10.1002/2015GL064508")</f>
        <v>http://dx.doi.org/10.1002/2015GL064508</v>
      </c>
      <c r="BG660" t="s">
        <v>74</v>
      </c>
      <c r="BH660" t="s">
        <v>74</v>
      </c>
      <c r="BI660">
        <v>10</v>
      </c>
      <c r="BJ660" t="s">
        <v>314</v>
      </c>
      <c r="BK660" t="s">
        <v>101</v>
      </c>
      <c r="BL660" t="s">
        <v>315</v>
      </c>
      <c r="BM660" t="s">
        <v>12746</v>
      </c>
      <c r="BN660" t="s">
        <v>74</v>
      </c>
      <c r="BO660" t="s">
        <v>162</v>
      </c>
      <c r="BP660" t="s">
        <v>74</v>
      </c>
      <c r="BQ660" t="s">
        <v>74</v>
      </c>
      <c r="BR660" t="s">
        <v>103</v>
      </c>
      <c r="BS660" t="s">
        <v>12763</v>
      </c>
      <c r="BT660" t="str">
        <f>HYPERLINK("https%3A%2F%2Fwww.webofscience.com%2Fwos%2Fwoscc%2Ffull-record%2FWOS:000358691300045","View Full Record in Web of Science")</f>
        <v>View Full Record in Web of Science</v>
      </c>
    </row>
    <row r="661" spans="1:72" x14ac:dyDescent="0.15">
      <c r="A661" t="s">
        <v>72</v>
      </c>
      <c r="B661" t="s">
        <v>12764</v>
      </c>
      <c r="C661" t="s">
        <v>74</v>
      </c>
      <c r="D661" t="s">
        <v>74</v>
      </c>
      <c r="E661" t="s">
        <v>74</v>
      </c>
      <c r="F661" t="s">
        <v>12765</v>
      </c>
      <c r="G661" t="s">
        <v>74</v>
      </c>
      <c r="H661" t="s">
        <v>74</v>
      </c>
      <c r="I661" t="s">
        <v>12766</v>
      </c>
      <c r="J661" t="s">
        <v>1008</v>
      </c>
      <c r="K661" t="s">
        <v>74</v>
      </c>
      <c r="L661" t="s">
        <v>74</v>
      </c>
      <c r="M661" t="s">
        <v>78</v>
      </c>
      <c r="N661" t="s">
        <v>79</v>
      </c>
      <c r="O661" t="s">
        <v>74</v>
      </c>
      <c r="P661" t="s">
        <v>74</v>
      </c>
      <c r="Q661" t="s">
        <v>74</v>
      </c>
      <c r="R661" t="s">
        <v>74</v>
      </c>
      <c r="S661" t="s">
        <v>74</v>
      </c>
      <c r="T661" t="s">
        <v>12767</v>
      </c>
      <c r="U661" t="s">
        <v>12768</v>
      </c>
      <c r="V661" t="s">
        <v>12769</v>
      </c>
      <c r="W661" t="s">
        <v>12770</v>
      </c>
      <c r="X661" t="s">
        <v>12771</v>
      </c>
      <c r="Y661" t="s">
        <v>12772</v>
      </c>
      <c r="Z661" t="s">
        <v>12773</v>
      </c>
      <c r="AA661" t="s">
        <v>12774</v>
      </c>
      <c r="AB661" t="s">
        <v>12775</v>
      </c>
      <c r="AC661" t="s">
        <v>12776</v>
      </c>
      <c r="AD661" t="s">
        <v>12777</v>
      </c>
      <c r="AE661" t="s">
        <v>12778</v>
      </c>
      <c r="AF661" t="s">
        <v>74</v>
      </c>
      <c r="AG661">
        <v>49</v>
      </c>
      <c r="AH661">
        <v>41</v>
      </c>
      <c r="AI661">
        <v>46</v>
      </c>
      <c r="AJ661">
        <v>1</v>
      </c>
      <c r="AK661">
        <v>19</v>
      </c>
      <c r="AL661" t="s">
        <v>306</v>
      </c>
      <c r="AM661" t="s">
        <v>307</v>
      </c>
      <c r="AN661" t="s">
        <v>308</v>
      </c>
      <c r="AO661" t="s">
        <v>1021</v>
      </c>
      <c r="AP661" t="s">
        <v>1022</v>
      </c>
      <c r="AQ661" t="s">
        <v>74</v>
      </c>
      <c r="AR661" t="s">
        <v>1023</v>
      </c>
      <c r="AS661" t="s">
        <v>1024</v>
      </c>
      <c r="AT661" t="s">
        <v>12744</v>
      </c>
      <c r="AU661">
        <v>2015</v>
      </c>
      <c r="AV661">
        <v>42</v>
      </c>
      <c r="AW661">
        <v>13</v>
      </c>
      <c r="AX661" t="s">
        <v>74</v>
      </c>
      <c r="AY661" t="s">
        <v>74</v>
      </c>
      <c r="AZ661" t="s">
        <v>74</v>
      </c>
      <c r="BA661" t="s">
        <v>74</v>
      </c>
      <c r="BB661">
        <v>5355</v>
      </c>
      <c r="BC661">
        <v>5363</v>
      </c>
      <c r="BD661" t="s">
        <v>74</v>
      </c>
      <c r="BE661" t="s">
        <v>12779</v>
      </c>
      <c r="BF661" t="str">
        <f>HYPERLINK("http://dx.doi.org/10.1002/2015GL064355","http://dx.doi.org/10.1002/2015GL064355")</f>
        <v>http://dx.doi.org/10.1002/2015GL064355</v>
      </c>
      <c r="BG661" t="s">
        <v>74</v>
      </c>
      <c r="BH661" t="s">
        <v>74</v>
      </c>
      <c r="BI661">
        <v>9</v>
      </c>
      <c r="BJ661" t="s">
        <v>314</v>
      </c>
      <c r="BK661" t="s">
        <v>101</v>
      </c>
      <c r="BL661" t="s">
        <v>315</v>
      </c>
      <c r="BM661" t="s">
        <v>12746</v>
      </c>
      <c r="BN661" t="s">
        <v>74</v>
      </c>
      <c r="BO661" t="s">
        <v>701</v>
      </c>
      <c r="BP661" t="s">
        <v>74</v>
      </c>
      <c r="BQ661" t="s">
        <v>74</v>
      </c>
      <c r="BR661" t="s">
        <v>103</v>
      </c>
      <c r="BS661" t="s">
        <v>12780</v>
      </c>
      <c r="BT661" t="str">
        <f>HYPERLINK("https%3A%2F%2Fwww.webofscience.com%2Fwos%2Fwoscc%2Ffull-record%2FWOS:000358691300034","View Full Record in Web of Science")</f>
        <v>View Full Record in Web of Science</v>
      </c>
    </row>
    <row r="662" spans="1:72" x14ac:dyDescent="0.15">
      <c r="A662" t="s">
        <v>72</v>
      </c>
      <c r="B662" t="s">
        <v>12781</v>
      </c>
      <c r="C662" t="s">
        <v>74</v>
      </c>
      <c r="D662" t="s">
        <v>74</v>
      </c>
      <c r="E662" t="s">
        <v>74</v>
      </c>
      <c r="F662" t="s">
        <v>12782</v>
      </c>
      <c r="G662" t="s">
        <v>74</v>
      </c>
      <c r="H662" t="s">
        <v>74</v>
      </c>
      <c r="I662" t="s">
        <v>12783</v>
      </c>
      <c r="J662" t="s">
        <v>1008</v>
      </c>
      <c r="K662" t="s">
        <v>74</v>
      </c>
      <c r="L662" t="s">
        <v>74</v>
      </c>
      <c r="M662" t="s">
        <v>78</v>
      </c>
      <c r="N662" t="s">
        <v>79</v>
      </c>
      <c r="O662" t="s">
        <v>74</v>
      </c>
      <c r="P662" t="s">
        <v>74</v>
      </c>
      <c r="Q662" t="s">
        <v>74</v>
      </c>
      <c r="R662" t="s">
        <v>74</v>
      </c>
      <c r="S662" t="s">
        <v>74</v>
      </c>
      <c r="T662" t="s">
        <v>12784</v>
      </c>
      <c r="U662" t="s">
        <v>12785</v>
      </c>
      <c r="V662" t="s">
        <v>12786</v>
      </c>
      <c r="W662" t="s">
        <v>12787</v>
      </c>
      <c r="X662" t="s">
        <v>9264</v>
      </c>
      <c r="Y662" t="s">
        <v>12788</v>
      </c>
      <c r="Z662" t="s">
        <v>12789</v>
      </c>
      <c r="AA662" t="s">
        <v>12790</v>
      </c>
      <c r="AB662" t="s">
        <v>12791</v>
      </c>
      <c r="AC662" t="s">
        <v>12792</v>
      </c>
      <c r="AD662" t="s">
        <v>12793</v>
      </c>
      <c r="AE662" t="s">
        <v>12794</v>
      </c>
      <c r="AF662" t="s">
        <v>74</v>
      </c>
      <c r="AG662">
        <v>33</v>
      </c>
      <c r="AH662">
        <v>36</v>
      </c>
      <c r="AI662">
        <v>39</v>
      </c>
      <c r="AJ662">
        <v>1</v>
      </c>
      <c r="AK662">
        <v>22</v>
      </c>
      <c r="AL662" t="s">
        <v>306</v>
      </c>
      <c r="AM662" t="s">
        <v>307</v>
      </c>
      <c r="AN662" t="s">
        <v>308</v>
      </c>
      <c r="AO662" t="s">
        <v>1021</v>
      </c>
      <c r="AP662" t="s">
        <v>1022</v>
      </c>
      <c r="AQ662" t="s">
        <v>74</v>
      </c>
      <c r="AR662" t="s">
        <v>1023</v>
      </c>
      <c r="AS662" t="s">
        <v>1024</v>
      </c>
      <c r="AT662" t="s">
        <v>12744</v>
      </c>
      <c r="AU662">
        <v>2015</v>
      </c>
      <c r="AV662">
        <v>42</v>
      </c>
      <c r="AW662">
        <v>13</v>
      </c>
      <c r="AX662" t="s">
        <v>74</v>
      </c>
      <c r="AY662" t="s">
        <v>74</v>
      </c>
      <c r="AZ662" t="s">
        <v>74</v>
      </c>
      <c r="BA662" t="s">
        <v>74</v>
      </c>
      <c r="BB662">
        <v>5387</v>
      </c>
      <c r="BC662">
        <v>5394</v>
      </c>
      <c r="BD662" t="s">
        <v>74</v>
      </c>
      <c r="BE662" t="s">
        <v>12795</v>
      </c>
      <c r="BF662" t="str">
        <f>HYPERLINK("http://dx.doi.org/10.1002/2015GL064457","http://dx.doi.org/10.1002/2015GL064457")</f>
        <v>http://dx.doi.org/10.1002/2015GL064457</v>
      </c>
      <c r="BG662" t="s">
        <v>74</v>
      </c>
      <c r="BH662" t="s">
        <v>74</v>
      </c>
      <c r="BI662">
        <v>8</v>
      </c>
      <c r="BJ662" t="s">
        <v>314</v>
      </c>
      <c r="BK662" t="s">
        <v>101</v>
      </c>
      <c r="BL662" t="s">
        <v>315</v>
      </c>
      <c r="BM662" t="s">
        <v>12746</v>
      </c>
      <c r="BN662" t="s">
        <v>74</v>
      </c>
      <c r="BO662" t="s">
        <v>1509</v>
      </c>
      <c r="BP662" t="s">
        <v>74</v>
      </c>
      <c r="BQ662" t="s">
        <v>74</v>
      </c>
      <c r="BR662" t="s">
        <v>103</v>
      </c>
      <c r="BS662" t="s">
        <v>12796</v>
      </c>
      <c r="BT662" t="str">
        <f>HYPERLINK("https%3A%2F%2Fwww.webofscience.com%2Fwos%2Fwoscc%2Ffull-record%2FWOS:000358691300038","View Full Record in Web of Science")</f>
        <v>View Full Record in Web of Science</v>
      </c>
    </row>
    <row r="663" spans="1:72" x14ac:dyDescent="0.15">
      <c r="A663" t="s">
        <v>72</v>
      </c>
      <c r="B663" t="s">
        <v>12797</v>
      </c>
      <c r="C663" t="s">
        <v>74</v>
      </c>
      <c r="D663" t="s">
        <v>74</v>
      </c>
      <c r="E663" t="s">
        <v>74</v>
      </c>
      <c r="F663" t="s">
        <v>12798</v>
      </c>
      <c r="G663" t="s">
        <v>74</v>
      </c>
      <c r="H663" t="s">
        <v>74</v>
      </c>
      <c r="I663" t="s">
        <v>12799</v>
      </c>
      <c r="J663" t="s">
        <v>12800</v>
      </c>
      <c r="K663" t="s">
        <v>74</v>
      </c>
      <c r="L663" t="s">
        <v>74</v>
      </c>
      <c r="M663" t="s">
        <v>78</v>
      </c>
      <c r="N663" t="s">
        <v>79</v>
      </c>
      <c r="O663" t="s">
        <v>74</v>
      </c>
      <c r="P663" t="s">
        <v>74</v>
      </c>
      <c r="Q663" t="s">
        <v>74</v>
      </c>
      <c r="R663" t="s">
        <v>74</v>
      </c>
      <c r="S663" t="s">
        <v>74</v>
      </c>
      <c r="T663" t="s">
        <v>12801</v>
      </c>
      <c r="U663" t="s">
        <v>12802</v>
      </c>
      <c r="V663" t="s">
        <v>12803</v>
      </c>
      <c r="W663" t="s">
        <v>12804</v>
      </c>
      <c r="X663" t="s">
        <v>12805</v>
      </c>
      <c r="Y663" t="s">
        <v>12806</v>
      </c>
      <c r="Z663" t="s">
        <v>12807</v>
      </c>
      <c r="AA663" t="s">
        <v>74</v>
      </c>
      <c r="AB663" t="s">
        <v>12808</v>
      </c>
      <c r="AC663" t="s">
        <v>12809</v>
      </c>
      <c r="AD663" t="s">
        <v>12810</v>
      </c>
      <c r="AE663" t="s">
        <v>12811</v>
      </c>
      <c r="AF663" t="s">
        <v>74</v>
      </c>
      <c r="AG663">
        <v>71</v>
      </c>
      <c r="AH663">
        <v>5</v>
      </c>
      <c r="AI663">
        <v>6</v>
      </c>
      <c r="AJ663">
        <v>0</v>
      </c>
      <c r="AK663">
        <v>7</v>
      </c>
      <c r="AL663" t="s">
        <v>12812</v>
      </c>
      <c r="AM663" t="s">
        <v>12813</v>
      </c>
      <c r="AN663" t="s">
        <v>12814</v>
      </c>
      <c r="AO663" t="s">
        <v>12815</v>
      </c>
      <c r="AP663" t="s">
        <v>74</v>
      </c>
      <c r="AQ663" t="s">
        <v>74</v>
      </c>
      <c r="AR663" t="s">
        <v>12816</v>
      </c>
      <c r="AS663" t="s">
        <v>12817</v>
      </c>
      <c r="AT663" t="s">
        <v>12818</v>
      </c>
      <c r="AU663">
        <v>2015</v>
      </c>
      <c r="AV663">
        <v>67</v>
      </c>
      <c r="AW663">
        <v>4</v>
      </c>
      <c r="AX663" t="s">
        <v>74</v>
      </c>
      <c r="AY663" t="s">
        <v>74</v>
      </c>
      <c r="AZ663" t="s">
        <v>74</v>
      </c>
      <c r="BA663" t="s">
        <v>74</v>
      </c>
      <c r="BB663">
        <v>109</v>
      </c>
      <c r="BC663">
        <v>128</v>
      </c>
      <c r="BD663" t="s">
        <v>74</v>
      </c>
      <c r="BE663" t="s">
        <v>12819</v>
      </c>
      <c r="BF663" t="str">
        <f>HYPERLINK("http://dx.doi.org/10.3853/j.2201-4349.67.2015.1640","http://dx.doi.org/10.3853/j.2201-4349.67.2015.1640")</f>
        <v>http://dx.doi.org/10.3853/j.2201-4349.67.2015.1640</v>
      </c>
      <c r="BG663" t="s">
        <v>74</v>
      </c>
      <c r="BH663" t="s">
        <v>74</v>
      </c>
      <c r="BI663">
        <v>20</v>
      </c>
      <c r="BJ663" t="s">
        <v>243</v>
      </c>
      <c r="BK663" t="s">
        <v>101</v>
      </c>
      <c r="BL663" t="s">
        <v>243</v>
      </c>
      <c r="BM663" t="s">
        <v>12820</v>
      </c>
      <c r="BN663" t="s">
        <v>74</v>
      </c>
      <c r="BO663" t="s">
        <v>6717</v>
      </c>
      <c r="BP663" t="s">
        <v>74</v>
      </c>
      <c r="BQ663" t="s">
        <v>74</v>
      </c>
      <c r="BR663" t="s">
        <v>103</v>
      </c>
      <c r="BS663" t="s">
        <v>12821</v>
      </c>
      <c r="BT663" t="str">
        <f>HYPERLINK("https%3A%2F%2Fwww.webofscience.com%2Fwos%2Fwoscc%2Ffull-record%2FWOS:000358471400001","View Full Record in Web of Science")</f>
        <v>View Full Record in Web of Science</v>
      </c>
    </row>
    <row r="664" spans="1:72" x14ac:dyDescent="0.15">
      <c r="A664" t="s">
        <v>72</v>
      </c>
      <c r="B664" t="s">
        <v>12822</v>
      </c>
      <c r="C664" t="s">
        <v>74</v>
      </c>
      <c r="D664" t="s">
        <v>74</v>
      </c>
      <c r="E664" t="s">
        <v>74</v>
      </c>
      <c r="F664" t="s">
        <v>12823</v>
      </c>
      <c r="G664" t="s">
        <v>74</v>
      </c>
      <c r="H664" t="s">
        <v>74</v>
      </c>
      <c r="I664" t="s">
        <v>12824</v>
      </c>
      <c r="J664" t="s">
        <v>1585</v>
      </c>
      <c r="K664" t="s">
        <v>74</v>
      </c>
      <c r="L664" t="s">
        <v>74</v>
      </c>
      <c r="M664" t="s">
        <v>78</v>
      </c>
      <c r="N664" t="s">
        <v>79</v>
      </c>
      <c r="O664" t="s">
        <v>74</v>
      </c>
      <c r="P664" t="s">
        <v>74</v>
      </c>
      <c r="Q664" t="s">
        <v>74</v>
      </c>
      <c r="R664" t="s">
        <v>74</v>
      </c>
      <c r="S664" t="s">
        <v>74</v>
      </c>
      <c r="T664" t="s">
        <v>12825</v>
      </c>
      <c r="U664" t="s">
        <v>12826</v>
      </c>
      <c r="V664" t="s">
        <v>12827</v>
      </c>
      <c r="W664" t="s">
        <v>12828</v>
      </c>
      <c r="X664" t="s">
        <v>12829</v>
      </c>
      <c r="Y664" t="s">
        <v>12830</v>
      </c>
      <c r="Z664" t="s">
        <v>12831</v>
      </c>
      <c r="AA664" t="s">
        <v>12832</v>
      </c>
      <c r="AB664" t="s">
        <v>74</v>
      </c>
      <c r="AC664" t="s">
        <v>12833</v>
      </c>
      <c r="AD664" t="s">
        <v>12834</v>
      </c>
      <c r="AE664" t="s">
        <v>12835</v>
      </c>
      <c r="AF664" t="s">
        <v>74</v>
      </c>
      <c r="AG664">
        <v>36</v>
      </c>
      <c r="AH664">
        <v>44</v>
      </c>
      <c r="AI664">
        <v>49</v>
      </c>
      <c r="AJ664">
        <v>6</v>
      </c>
      <c r="AK664">
        <v>91</v>
      </c>
      <c r="AL664" t="s">
        <v>397</v>
      </c>
      <c r="AM664" t="s">
        <v>398</v>
      </c>
      <c r="AN664" t="s">
        <v>399</v>
      </c>
      <c r="AO664" t="s">
        <v>1598</v>
      </c>
      <c r="AP664" t="s">
        <v>1599</v>
      </c>
      <c r="AQ664" t="s">
        <v>74</v>
      </c>
      <c r="AR664" t="s">
        <v>1600</v>
      </c>
      <c r="AS664" t="s">
        <v>1601</v>
      </c>
      <c r="AT664" t="s">
        <v>12818</v>
      </c>
      <c r="AU664">
        <v>2015</v>
      </c>
      <c r="AV664">
        <v>96</v>
      </c>
      <c r="AW664" t="s">
        <v>1603</v>
      </c>
      <c r="AX664" t="s">
        <v>74</v>
      </c>
      <c r="AY664" t="s">
        <v>74</v>
      </c>
      <c r="AZ664" t="s">
        <v>74</v>
      </c>
      <c r="BA664" t="s">
        <v>74</v>
      </c>
      <c r="BB664">
        <v>513</v>
      </c>
      <c r="BC664">
        <v>518</v>
      </c>
      <c r="BD664" t="s">
        <v>74</v>
      </c>
      <c r="BE664" t="s">
        <v>12836</v>
      </c>
      <c r="BF664" t="str">
        <f>HYPERLINK("http://dx.doi.org/10.1016/j.marpolbul.2015.04.012","http://dx.doi.org/10.1016/j.marpolbul.2015.04.012")</f>
        <v>http://dx.doi.org/10.1016/j.marpolbul.2015.04.012</v>
      </c>
      <c r="BG664" t="s">
        <v>74</v>
      </c>
      <c r="BH664" t="s">
        <v>74</v>
      </c>
      <c r="BI664">
        <v>6</v>
      </c>
      <c r="BJ664" t="s">
        <v>1605</v>
      </c>
      <c r="BK664" t="s">
        <v>101</v>
      </c>
      <c r="BL664" t="s">
        <v>990</v>
      </c>
      <c r="BM664" t="s">
        <v>12837</v>
      </c>
      <c r="BN664">
        <v>25912262</v>
      </c>
      <c r="BO664" t="s">
        <v>559</v>
      </c>
      <c r="BP664" t="s">
        <v>74</v>
      </c>
      <c r="BQ664" t="s">
        <v>74</v>
      </c>
      <c r="BR664" t="s">
        <v>103</v>
      </c>
      <c r="BS664" t="s">
        <v>12838</v>
      </c>
      <c r="BT664" t="str">
        <f>HYPERLINK("https%3A%2F%2Fwww.webofscience.com%2Fwos%2Fwoscc%2Ffull-record%2FWOS:000357348900068","View Full Record in Web of Science")</f>
        <v>View Full Record in Web of Science</v>
      </c>
    </row>
    <row r="665" spans="1:72" x14ac:dyDescent="0.15">
      <c r="A665" t="s">
        <v>72</v>
      </c>
      <c r="B665" t="s">
        <v>12839</v>
      </c>
      <c r="C665" t="s">
        <v>74</v>
      </c>
      <c r="D665" t="s">
        <v>74</v>
      </c>
      <c r="E665" t="s">
        <v>74</v>
      </c>
      <c r="F665" t="s">
        <v>12840</v>
      </c>
      <c r="G665" t="s">
        <v>74</v>
      </c>
      <c r="H665" t="s">
        <v>74</v>
      </c>
      <c r="I665" t="s">
        <v>12841</v>
      </c>
      <c r="J665" t="s">
        <v>1690</v>
      </c>
      <c r="K665" t="s">
        <v>74</v>
      </c>
      <c r="L665" t="s">
        <v>74</v>
      </c>
      <c r="M665" t="s">
        <v>78</v>
      </c>
      <c r="N665" t="s">
        <v>79</v>
      </c>
      <c r="O665" t="s">
        <v>74</v>
      </c>
      <c r="P665" t="s">
        <v>74</v>
      </c>
      <c r="Q665" t="s">
        <v>74</v>
      </c>
      <c r="R665" t="s">
        <v>74</v>
      </c>
      <c r="S665" t="s">
        <v>74</v>
      </c>
      <c r="T665" t="s">
        <v>12842</v>
      </c>
      <c r="U665" t="s">
        <v>12843</v>
      </c>
      <c r="V665" t="s">
        <v>12844</v>
      </c>
      <c r="W665" t="s">
        <v>12845</v>
      </c>
      <c r="X665" t="s">
        <v>12846</v>
      </c>
      <c r="Y665" t="s">
        <v>12847</v>
      </c>
      <c r="Z665" t="s">
        <v>12848</v>
      </c>
      <c r="AA665" t="s">
        <v>12849</v>
      </c>
      <c r="AB665" t="s">
        <v>12850</v>
      </c>
      <c r="AC665" t="s">
        <v>12851</v>
      </c>
      <c r="AD665" t="s">
        <v>5572</v>
      </c>
      <c r="AE665" t="s">
        <v>12852</v>
      </c>
      <c r="AF665" t="s">
        <v>74</v>
      </c>
      <c r="AG665">
        <v>57</v>
      </c>
      <c r="AH665">
        <v>21</v>
      </c>
      <c r="AI665">
        <v>24</v>
      </c>
      <c r="AJ665">
        <v>0</v>
      </c>
      <c r="AK665">
        <v>16</v>
      </c>
      <c r="AL665" t="s">
        <v>925</v>
      </c>
      <c r="AM665" t="s">
        <v>884</v>
      </c>
      <c r="AN665" t="s">
        <v>926</v>
      </c>
      <c r="AO665" t="s">
        <v>1702</v>
      </c>
      <c r="AP665" t="s">
        <v>1703</v>
      </c>
      <c r="AQ665" t="s">
        <v>74</v>
      </c>
      <c r="AR665" t="s">
        <v>1704</v>
      </c>
      <c r="AS665" t="s">
        <v>1705</v>
      </c>
      <c r="AT665" t="s">
        <v>12818</v>
      </c>
      <c r="AU665">
        <v>2015</v>
      </c>
      <c r="AV665">
        <v>422</v>
      </c>
      <c r="AW665" t="s">
        <v>74</v>
      </c>
      <c r="AX665" t="s">
        <v>74</v>
      </c>
      <c r="AY665" t="s">
        <v>74</v>
      </c>
      <c r="AZ665" t="s">
        <v>74</v>
      </c>
      <c r="BA665" t="s">
        <v>74</v>
      </c>
      <c r="BB665">
        <v>67</v>
      </c>
      <c r="BC665">
        <v>74</v>
      </c>
      <c r="BD665" t="s">
        <v>74</v>
      </c>
      <c r="BE665" t="s">
        <v>12853</v>
      </c>
      <c r="BF665" t="str">
        <f>HYPERLINK("http://dx.doi.org/10.1016/j.epsl.2015.04.012","http://dx.doi.org/10.1016/j.epsl.2015.04.012")</f>
        <v>http://dx.doi.org/10.1016/j.epsl.2015.04.012</v>
      </c>
      <c r="BG665" t="s">
        <v>74</v>
      </c>
      <c r="BH665" t="s">
        <v>74</v>
      </c>
      <c r="BI665">
        <v>8</v>
      </c>
      <c r="BJ665" t="s">
        <v>1707</v>
      </c>
      <c r="BK665" t="s">
        <v>101</v>
      </c>
      <c r="BL665" t="s">
        <v>1707</v>
      </c>
      <c r="BM665" t="s">
        <v>12854</v>
      </c>
      <c r="BN665" t="s">
        <v>74</v>
      </c>
      <c r="BO665" t="s">
        <v>74</v>
      </c>
      <c r="BP665" t="s">
        <v>74</v>
      </c>
      <c r="BQ665" t="s">
        <v>74</v>
      </c>
      <c r="BR665" t="s">
        <v>103</v>
      </c>
      <c r="BS665" t="s">
        <v>12855</v>
      </c>
      <c r="BT665" t="str">
        <f>HYPERLINK("https%3A%2F%2Fwww.webofscience.com%2Fwos%2Fwoscc%2Ffull-record%2FWOS:000355350700008","View Full Record in Web of Science")</f>
        <v>View Full Record in Web of Science</v>
      </c>
    </row>
    <row r="666" spans="1:72" x14ac:dyDescent="0.15">
      <c r="A666" t="s">
        <v>72</v>
      </c>
      <c r="B666" t="s">
        <v>12856</v>
      </c>
      <c r="C666" t="s">
        <v>74</v>
      </c>
      <c r="D666" t="s">
        <v>74</v>
      </c>
      <c r="E666" t="s">
        <v>74</v>
      </c>
      <c r="F666" t="s">
        <v>12857</v>
      </c>
      <c r="G666" t="s">
        <v>74</v>
      </c>
      <c r="H666" t="s">
        <v>74</v>
      </c>
      <c r="I666" t="s">
        <v>12858</v>
      </c>
      <c r="J666" t="s">
        <v>1585</v>
      </c>
      <c r="K666" t="s">
        <v>74</v>
      </c>
      <c r="L666" t="s">
        <v>74</v>
      </c>
      <c r="M666" t="s">
        <v>78</v>
      </c>
      <c r="N666" t="s">
        <v>79</v>
      </c>
      <c r="O666" t="s">
        <v>74</v>
      </c>
      <c r="P666" t="s">
        <v>74</v>
      </c>
      <c r="Q666" t="s">
        <v>74</v>
      </c>
      <c r="R666" t="s">
        <v>74</v>
      </c>
      <c r="S666" t="s">
        <v>74</v>
      </c>
      <c r="T666" t="s">
        <v>12859</v>
      </c>
      <c r="U666" t="s">
        <v>12860</v>
      </c>
      <c r="V666" t="s">
        <v>12861</v>
      </c>
      <c r="W666" t="s">
        <v>12862</v>
      </c>
      <c r="X666" t="s">
        <v>12863</v>
      </c>
      <c r="Y666" t="s">
        <v>12864</v>
      </c>
      <c r="Z666" t="s">
        <v>12865</v>
      </c>
      <c r="AA666" t="s">
        <v>12866</v>
      </c>
      <c r="AB666" t="s">
        <v>12867</v>
      </c>
      <c r="AC666" t="s">
        <v>12868</v>
      </c>
      <c r="AD666" t="s">
        <v>12869</v>
      </c>
      <c r="AE666" t="s">
        <v>12870</v>
      </c>
      <c r="AF666" t="s">
        <v>74</v>
      </c>
      <c r="AG666">
        <v>44</v>
      </c>
      <c r="AH666">
        <v>29</v>
      </c>
      <c r="AI666">
        <v>31</v>
      </c>
      <c r="AJ666">
        <v>5</v>
      </c>
      <c r="AK666">
        <v>163</v>
      </c>
      <c r="AL666" t="s">
        <v>397</v>
      </c>
      <c r="AM666" t="s">
        <v>398</v>
      </c>
      <c r="AN666" t="s">
        <v>399</v>
      </c>
      <c r="AO666" t="s">
        <v>1598</v>
      </c>
      <c r="AP666" t="s">
        <v>1599</v>
      </c>
      <c r="AQ666" t="s">
        <v>74</v>
      </c>
      <c r="AR666" t="s">
        <v>1600</v>
      </c>
      <c r="AS666" t="s">
        <v>1601</v>
      </c>
      <c r="AT666" t="s">
        <v>12818</v>
      </c>
      <c r="AU666">
        <v>2015</v>
      </c>
      <c r="AV666">
        <v>96</v>
      </c>
      <c r="AW666" t="s">
        <v>1603</v>
      </c>
      <c r="AX666" t="s">
        <v>74</v>
      </c>
      <c r="AY666" t="s">
        <v>74</v>
      </c>
      <c r="AZ666" t="s">
        <v>74</v>
      </c>
      <c r="BA666" t="s">
        <v>74</v>
      </c>
      <c r="BB666">
        <v>149</v>
      </c>
      <c r="BC666">
        <v>154</v>
      </c>
      <c r="BD666" t="s">
        <v>74</v>
      </c>
      <c r="BE666" t="s">
        <v>12871</v>
      </c>
      <c r="BF666" t="str">
        <f>HYPERLINK("http://dx.doi.org/10.1016/j.marpolbul.2015.05.034","http://dx.doi.org/10.1016/j.marpolbul.2015.05.034")</f>
        <v>http://dx.doi.org/10.1016/j.marpolbul.2015.05.034</v>
      </c>
      <c r="BG666" t="s">
        <v>74</v>
      </c>
      <c r="BH666" t="s">
        <v>74</v>
      </c>
      <c r="BI666">
        <v>6</v>
      </c>
      <c r="BJ666" t="s">
        <v>1605</v>
      </c>
      <c r="BK666" t="s">
        <v>101</v>
      </c>
      <c r="BL666" t="s">
        <v>990</v>
      </c>
      <c r="BM666" t="s">
        <v>12837</v>
      </c>
      <c r="BN666">
        <v>25986654</v>
      </c>
      <c r="BO666" t="s">
        <v>290</v>
      </c>
      <c r="BP666" t="s">
        <v>74</v>
      </c>
      <c r="BQ666" t="s">
        <v>74</v>
      </c>
      <c r="BR666" t="s">
        <v>103</v>
      </c>
      <c r="BS666" t="s">
        <v>12872</v>
      </c>
      <c r="BT666" t="str">
        <f>HYPERLINK("https%3A%2F%2Fwww.webofscience.com%2Fwos%2Fwoscc%2Ffull-record%2FWOS:000357348900028","View Full Record in Web of Science")</f>
        <v>View Full Record in Web of Science</v>
      </c>
    </row>
    <row r="667" spans="1:72" x14ac:dyDescent="0.15">
      <c r="A667" t="s">
        <v>72</v>
      </c>
      <c r="B667" t="s">
        <v>12873</v>
      </c>
      <c r="C667" t="s">
        <v>74</v>
      </c>
      <c r="D667" t="s">
        <v>74</v>
      </c>
      <c r="E667" t="s">
        <v>74</v>
      </c>
      <c r="F667" t="s">
        <v>12874</v>
      </c>
      <c r="G667" t="s">
        <v>74</v>
      </c>
      <c r="H667" t="s">
        <v>74</v>
      </c>
      <c r="I667" t="s">
        <v>12875</v>
      </c>
      <c r="J667" t="s">
        <v>1690</v>
      </c>
      <c r="K667" t="s">
        <v>74</v>
      </c>
      <c r="L667" t="s">
        <v>74</v>
      </c>
      <c r="M667" t="s">
        <v>78</v>
      </c>
      <c r="N667" t="s">
        <v>79</v>
      </c>
      <c r="O667" t="s">
        <v>74</v>
      </c>
      <c r="P667" t="s">
        <v>74</v>
      </c>
      <c r="Q667" t="s">
        <v>74</v>
      </c>
      <c r="R667" t="s">
        <v>74</v>
      </c>
      <c r="S667" t="s">
        <v>74</v>
      </c>
      <c r="T667" t="s">
        <v>12876</v>
      </c>
      <c r="U667" t="s">
        <v>12877</v>
      </c>
      <c r="V667" t="s">
        <v>12878</v>
      </c>
      <c r="W667" t="s">
        <v>12879</v>
      </c>
      <c r="X667" t="s">
        <v>12880</v>
      </c>
      <c r="Y667" t="s">
        <v>12881</v>
      </c>
      <c r="Z667" t="s">
        <v>12882</v>
      </c>
      <c r="AA667" t="s">
        <v>74</v>
      </c>
      <c r="AB667" t="s">
        <v>12883</v>
      </c>
      <c r="AC667" t="s">
        <v>12884</v>
      </c>
      <c r="AD667" t="s">
        <v>12885</v>
      </c>
      <c r="AE667" t="s">
        <v>12886</v>
      </c>
      <c r="AF667" t="s">
        <v>74</v>
      </c>
      <c r="AG667">
        <v>55</v>
      </c>
      <c r="AH667">
        <v>33</v>
      </c>
      <c r="AI667">
        <v>34</v>
      </c>
      <c r="AJ667">
        <v>2</v>
      </c>
      <c r="AK667">
        <v>16</v>
      </c>
      <c r="AL667" t="s">
        <v>925</v>
      </c>
      <c r="AM667" t="s">
        <v>884</v>
      </c>
      <c r="AN667" t="s">
        <v>926</v>
      </c>
      <c r="AO667" t="s">
        <v>1702</v>
      </c>
      <c r="AP667" t="s">
        <v>1703</v>
      </c>
      <c r="AQ667" t="s">
        <v>74</v>
      </c>
      <c r="AR667" t="s">
        <v>1704</v>
      </c>
      <c r="AS667" t="s">
        <v>1705</v>
      </c>
      <c r="AT667" t="s">
        <v>12818</v>
      </c>
      <c r="AU667">
        <v>2015</v>
      </c>
      <c r="AV667">
        <v>422</v>
      </c>
      <c r="AW667" t="s">
        <v>74</v>
      </c>
      <c r="AX667" t="s">
        <v>74</v>
      </c>
      <c r="AY667" t="s">
        <v>74</v>
      </c>
      <c r="AZ667" t="s">
        <v>74</v>
      </c>
      <c r="BA667" t="s">
        <v>74</v>
      </c>
      <c r="BB667">
        <v>18</v>
      </c>
      <c r="BC667">
        <v>27</v>
      </c>
      <c r="BD667" t="s">
        <v>74</v>
      </c>
      <c r="BE667" t="s">
        <v>12887</v>
      </c>
      <c r="BF667" t="str">
        <f>HYPERLINK("http://dx.doi.org/10.1016/j.epsl.2015.04.008","http://dx.doi.org/10.1016/j.epsl.2015.04.008")</f>
        <v>http://dx.doi.org/10.1016/j.epsl.2015.04.008</v>
      </c>
      <c r="BG667" t="s">
        <v>74</v>
      </c>
      <c r="BH667" t="s">
        <v>74</v>
      </c>
      <c r="BI667">
        <v>10</v>
      </c>
      <c r="BJ667" t="s">
        <v>1707</v>
      </c>
      <c r="BK667" t="s">
        <v>101</v>
      </c>
      <c r="BL667" t="s">
        <v>1707</v>
      </c>
      <c r="BM667" t="s">
        <v>12854</v>
      </c>
      <c r="BN667" t="s">
        <v>74</v>
      </c>
      <c r="BO667" t="s">
        <v>74</v>
      </c>
      <c r="BP667" t="s">
        <v>74</v>
      </c>
      <c r="BQ667" t="s">
        <v>74</v>
      </c>
      <c r="BR667" t="s">
        <v>103</v>
      </c>
      <c r="BS667" t="s">
        <v>12888</v>
      </c>
      <c r="BT667" t="str">
        <f>HYPERLINK("https%3A%2F%2Fwww.webofscience.com%2Fwos%2Fwoscc%2Ffull-record%2FWOS:000355350700003","View Full Record in Web of Science")</f>
        <v>View Full Record in Web of Science</v>
      </c>
    </row>
    <row r="668" spans="1:72" x14ac:dyDescent="0.15">
      <c r="A668" t="s">
        <v>72</v>
      </c>
      <c r="B668" t="s">
        <v>12889</v>
      </c>
      <c r="C668" t="s">
        <v>74</v>
      </c>
      <c r="D668" t="s">
        <v>74</v>
      </c>
      <c r="E668" t="s">
        <v>74</v>
      </c>
      <c r="F668" t="s">
        <v>12890</v>
      </c>
      <c r="G668" t="s">
        <v>74</v>
      </c>
      <c r="H668" t="s">
        <v>74</v>
      </c>
      <c r="I668" t="s">
        <v>12891</v>
      </c>
      <c r="J668" t="s">
        <v>1690</v>
      </c>
      <c r="K668" t="s">
        <v>74</v>
      </c>
      <c r="L668" t="s">
        <v>74</v>
      </c>
      <c r="M668" t="s">
        <v>78</v>
      </c>
      <c r="N668" t="s">
        <v>79</v>
      </c>
      <c r="O668" t="s">
        <v>74</v>
      </c>
      <c r="P668" t="s">
        <v>74</v>
      </c>
      <c r="Q668" t="s">
        <v>74</v>
      </c>
      <c r="R668" t="s">
        <v>74</v>
      </c>
      <c r="S668" t="s">
        <v>74</v>
      </c>
      <c r="T668" t="s">
        <v>12892</v>
      </c>
      <c r="U668" t="s">
        <v>12893</v>
      </c>
      <c r="V668" t="s">
        <v>12894</v>
      </c>
      <c r="W668" t="s">
        <v>12895</v>
      </c>
      <c r="X668" t="s">
        <v>12896</v>
      </c>
      <c r="Y668" t="s">
        <v>12897</v>
      </c>
      <c r="Z668" t="s">
        <v>12898</v>
      </c>
      <c r="AA668" t="s">
        <v>12899</v>
      </c>
      <c r="AB668" t="s">
        <v>12900</v>
      </c>
      <c r="AC668" t="s">
        <v>12901</v>
      </c>
      <c r="AD668" t="s">
        <v>12902</v>
      </c>
      <c r="AE668" t="s">
        <v>12903</v>
      </c>
      <c r="AF668" t="s">
        <v>74</v>
      </c>
      <c r="AG668">
        <v>31</v>
      </c>
      <c r="AH668">
        <v>26</v>
      </c>
      <c r="AI668">
        <v>27</v>
      </c>
      <c r="AJ668">
        <v>0</v>
      </c>
      <c r="AK668">
        <v>29</v>
      </c>
      <c r="AL668" t="s">
        <v>883</v>
      </c>
      <c r="AM668" t="s">
        <v>884</v>
      </c>
      <c r="AN668" t="s">
        <v>885</v>
      </c>
      <c r="AO668" t="s">
        <v>1702</v>
      </c>
      <c r="AP668" t="s">
        <v>1703</v>
      </c>
      <c r="AQ668" t="s">
        <v>74</v>
      </c>
      <c r="AR668" t="s">
        <v>1704</v>
      </c>
      <c r="AS668" t="s">
        <v>1705</v>
      </c>
      <c r="AT668" t="s">
        <v>12818</v>
      </c>
      <c r="AU668">
        <v>2015</v>
      </c>
      <c r="AV668">
        <v>422</v>
      </c>
      <c r="AW668" t="s">
        <v>74</v>
      </c>
      <c r="AX668" t="s">
        <v>74</v>
      </c>
      <c r="AY668" t="s">
        <v>74</v>
      </c>
      <c r="AZ668" t="s">
        <v>74</v>
      </c>
      <c r="BA668" t="s">
        <v>74</v>
      </c>
      <c r="BB668">
        <v>150</v>
      </c>
      <c r="BC668">
        <v>156</v>
      </c>
      <c r="BD668" t="s">
        <v>74</v>
      </c>
      <c r="BE668" t="s">
        <v>12904</v>
      </c>
      <c r="BF668" t="str">
        <f>HYPERLINK("http://dx.doi.org/10.1016/j.epsl.2015.03.045","http://dx.doi.org/10.1016/j.epsl.2015.03.045")</f>
        <v>http://dx.doi.org/10.1016/j.epsl.2015.03.045</v>
      </c>
      <c r="BG668" t="s">
        <v>74</v>
      </c>
      <c r="BH668" t="s">
        <v>74</v>
      </c>
      <c r="BI668">
        <v>7</v>
      </c>
      <c r="BJ668" t="s">
        <v>1707</v>
      </c>
      <c r="BK668" t="s">
        <v>101</v>
      </c>
      <c r="BL668" t="s">
        <v>1707</v>
      </c>
      <c r="BM668" t="s">
        <v>12854</v>
      </c>
      <c r="BN668" t="s">
        <v>74</v>
      </c>
      <c r="BO668" t="s">
        <v>74</v>
      </c>
      <c r="BP668" t="s">
        <v>74</v>
      </c>
      <c r="BQ668" t="s">
        <v>74</v>
      </c>
      <c r="BR668" t="s">
        <v>103</v>
      </c>
      <c r="BS668" t="s">
        <v>12905</v>
      </c>
      <c r="BT668" t="str">
        <f>HYPERLINK("https%3A%2F%2Fwww.webofscience.com%2Fwos%2Fwoscc%2Ffull-record%2FWOS:000355350700016","View Full Record in Web of Science")</f>
        <v>View Full Record in Web of Science</v>
      </c>
    </row>
    <row r="669" spans="1:72" x14ac:dyDescent="0.15">
      <c r="A669" t="s">
        <v>72</v>
      </c>
      <c r="B669" t="s">
        <v>12906</v>
      </c>
      <c r="C669" t="s">
        <v>74</v>
      </c>
      <c r="D669" t="s">
        <v>74</v>
      </c>
      <c r="E669" t="s">
        <v>74</v>
      </c>
      <c r="F669" t="s">
        <v>12907</v>
      </c>
      <c r="G669" t="s">
        <v>74</v>
      </c>
      <c r="H669" t="s">
        <v>74</v>
      </c>
      <c r="I669" t="s">
        <v>12908</v>
      </c>
      <c r="J669" t="s">
        <v>1078</v>
      </c>
      <c r="K669" t="s">
        <v>74</v>
      </c>
      <c r="L669" t="s">
        <v>74</v>
      </c>
      <c r="M669" t="s">
        <v>78</v>
      </c>
      <c r="N669" t="s">
        <v>2551</v>
      </c>
      <c r="O669" t="s">
        <v>74</v>
      </c>
      <c r="P669" t="s">
        <v>74</v>
      </c>
      <c r="Q669" t="s">
        <v>74</v>
      </c>
      <c r="R669" t="s">
        <v>74</v>
      </c>
      <c r="S669" t="s">
        <v>74</v>
      </c>
      <c r="T669" t="s">
        <v>74</v>
      </c>
      <c r="U669" t="s">
        <v>74</v>
      </c>
      <c r="V669" t="s">
        <v>74</v>
      </c>
      <c r="W669" t="s">
        <v>74</v>
      </c>
      <c r="X669" t="s">
        <v>74</v>
      </c>
      <c r="Y669" t="s">
        <v>74</v>
      </c>
      <c r="Z669" t="s">
        <v>74</v>
      </c>
      <c r="AA669" t="s">
        <v>12909</v>
      </c>
      <c r="AB669" t="s">
        <v>12910</v>
      </c>
      <c r="AC669" t="s">
        <v>74</v>
      </c>
      <c r="AD669" t="s">
        <v>74</v>
      </c>
      <c r="AE669" t="s">
        <v>74</v>
      </c>
      <c r="AF669" t="s">
        <v>74</v>
      </c>
      <c r="AG669">
        <v>1</v>
      </c>
      <c r="AH669">
        <v>0</v>
      </c>
      <c r="AI669">
        <v>0</v>
      </c>
      <c r="AJ669">
        <v>0</v>
      </c>
      <c r="AK669">
        <v>6</v>
      </c>
      <c r="AL669" t="s">
        <v>1089</v>
      </c>
      <c r="AM669" t="s">
        <v>1090</v>
      </c>
      <c r="AN669" t="s">
        <v>1091</v>
      </c>
      <c r="AO669" t="s">
        <v>1092</v>
      </c>
      <c r="AP669" t="s">
        <v>74</v>
      </c>
      <c r="AQ669" t="s">
        <v>74</v>
      </c>
      <c r="AR669" t="s">
        <v>1078</v>
      </c>
      <c r="AS669" t="s">
        <v>1093</v>
      </c>
      <c r="AT669" t="s">
        <v>12911</v>
      </c>
      <c r="AU669">
        <v>2015</v>
      </c>
      <c r="AV669">
        <v>10</v>
      </c>
      <c r="AW669">
        <v>7</v>
      </c>
      <c r="AX669" t="s">
        <v>74</v>
      </c>
      <c r="AY669" t="s">
        <v>74</v>
      </c>
      <c r="AZ669" t="s">
        <v>74</v>
      </c>
      <c r="BA669" t="s">
        <v>74</v>
      </c>
      <c r="BB669" t="s">
        <v>74</v>
      </c>
      <c r="BC669" t="s">
        <v>74</v>
      </c>
      <c r="BD669" t="s">
        <v>12912</v>
      </c>
      <c r="BE669" t="s">
        <v>12913</v>
      </c>
      <c r="BF669" t="str">
        <f>HYPERLINK("http://dx.doi.org/10.1371/journal.pone.0133096","http://dx.doi.org/10.1371/journal.pone.0133096")</f>
        <v>http://dx.doi.org/10.1371/journal.pone.0133096</v>
      </c>
      <c r="BG669" t="s">
        <v>74</v>
      </c>
      <c r="BH669" t="s">
        <v>74</v>
      </c>
      <c r="BI669">
        <v>5</v>
      </c>
      <c r="BJ669" t="s">
        <v>530</v>
      </c>
      <c r="BK669" t="s">
        <v>101</v>
      </c>
      <c r="BL669" t="s">
        <v>531</v>
      </c>
      <c r="BM669" t="s">
        <v>12914</v>
      </c>
      <c r="BN669">
        <v>26173012</v>
      </c>
      <c r="BO669" t="s">
        <v>533</v>
      </c>
      <c r="BP669" t="s">
        <v>74</v>
      </c>
      <c r="BQ669" t="s">
        <v>74</v>
      </c>
      <c r="BR669" t="s">
        <v>103</v>
      </c>
      <c r="BS669" t="s">
        <v>12915</v>
      </c>
      <c r="BT669" t="str">
        <f>HYPERLINK("https%3A%2F%2Fwww.webofscience.com%2Fwos%2Fwoscc%2Ffull-record%2FWOS:000358194900125","View Full Record in Web of Science")</f>
        <v>View Full Record in Web of Science</v>
      </c>
    </row>
    <row r="670" spans="1:72" x14ac:dyDescent="0.15">
      <c r="A670" t="s">
        <v>72</v>
      </c>
      <c r="B670" t="s">
        <v>12916</v>
      </c>
      <c r="C670" t="s">
        <v>74</v>
      </c>
      <c r="D670" t="s">
        <v>74</v>
      </c>
      <c r="E670" t="s">
        <v>74</v>
      </c>
      <c r="F670" t="s">
        <v>12917</v>
      </c>
      <c r="G670" t="s">
        <v>74</v>
      </c>
      <c r="H670" t="s">
        <v>74</v>
      </c>
      <c r="I670" t="s">
        <v>12918</v>
      </c>
      <c r="J670" t="s">
        <v>1821</v>
      </c>
      <c r="K670" t="s">
        <v>74</v>
      </c>
      <c r="L670" t="s">
        <v>74</v>
      </c>
      <c r="M670" t="s">
        <v>78</v>
      </c>
      <c r="N670" t="s">
        <v>79</v>
      </c>
      <c r="O670" t="s">
        <v>74</v>
      </c>
      <c r="P670" t="s">
        <v>74</v>
      </c>
      <c r="Q670" t="s">
        <v>74</v>
      </c>
      <c r="R670" t="s">
        <v>74</v>
      </c>
      <c r="S670" t="s">
        <v>74</v>
      </c>
      <c r="T670" t="s">
        <v>74</v>
      </c>
      <c r="U670" t="s">
        <v>12919</v>
      </c>
      <c r="V670" t="s">
        <v>12920</v>
      </c>
      <c r="W670" t="s">
        <v>12921</v>
      </c>
      <c r="X670" t="s">
        <v>12922</v>
      </c>
      <c r="Y670" t="s">
        <v>12923</v>
      </c>
      <c r="Z670" t="s">
        <v>12924</v>
      </c>
      <c r="AA670" t="s">
        <v>74</v>
      </c>
      <c r="AB670" t="s">
        <v>74</v>
      </c>
      <c r="AC670" t="s">
        <v>74</v>
      </c>
      <c r="AD670" t="s">
        <v>74</v>
      </c>
      <c r="AE670" t="s">
        <v>74</v>
      </c>
      <c r="AF670" t="s">
        <v>74</v>
      </c>
      <c r="AG670">
        <v>71</v>
      </c>
      <c r="AH670">
        <v>6</v>
      </c>
      <c r="AI670">
        <v>6</v>
      </c>
      <c r="AJ670">
        <v>1</v>
      </c>
      <c r="AK670">
        <v>14</v>
      </c>
      <c r="AL670" t="s">
        <v>1830</v>
      </c>
      <c r="AM670" t="s">
        <v>1831</v>
      </c>
      <c r="AN670" t="s">
        <v>1832</v>
      </c>
      <c r="AO670" t="s">
        <v>1833</v>
      </c>
      <c r="AP670" t="s">
        <v>74</v>
      </c>
      <c r="AQ670" t="s">
        <v>74</v>
      </c>
      <c r="AR670" t="s">
        <v>1834</v>
      </c>
      <c r="AS670" t="s">
        <v>1835</v>
      </c>
      <c r="AT670" t="s">
        <v>12911</v>
      </c>
      <c r="AU670">
        <v>2015</v>
      </c>
      <c r="AV670">
        <v>3</v>
      </c>
      <c r="AW670" t="s">
        <v>74</v>
      </c>
      <c r="AX670" t="s">
        <v>74</v>
      </c>
      <c r="AY670" t="s">
        <v>74</v>
      </c>
      <c r="AZ670" t="s">
        <v>74</v>
      </c>
      <c r="BA670" t="s">
        <v>74</v>
      </c>
      <c r="BB670" t="s">
        <v>74</v>
      </c>
      <c r="BC670" t="s">
        <v>74</v>
      </c>
      <c r="BD670">
        <v>60</v>
      </c>
      <c r="BE670" t="s">
        <v>12925</v>
      </c>
      <c r="BF670" t="str">
        <f>HYPERLINK("http://dx.doi.org/10.12952/journal.elementa.000060","http://dx.doi.org/10.12952/journal.elementa.000060")</f>
        <v>http://dx.doi.org/10.12952/journal.elementa.000060</v>
      </c>
      <c r="BG670" t="s">
        <v>74</v>
      </c>
      <c r="BH670" t="s">
        <v>74</v>
      </c>
      <c r="BI670">
        <v>13</v>
      </c>
      <c r="BJ670" t="s">
        <v>1837</v>
      </c>
      <c r="BK670" t="s">
        <v>101</v>
      </c>
      <c r="BL670" t="s">
        <v>1838</v>
      </c>
      <c r="BM670" t="s">
        <v>12926</v>
      </c>
      <c r="BN670" t="s">
        <v>74</v>
      </c>
      <c r="BO670" t="s">
        <v>1304</v>
      </c>
      <c r="BP670" t="s">
        <v>74</v>
      </c>
      <c r="BQ670" t="s">
        <v>74</v>
      </c>
      <c r="BR670" t="s">
        <v>103</v>
      </c>
      <c r="BS670" t="s">
        <v>12927</v>
      </c>
      <c r="BT670" t="str">
        <f>HYPERLINK("https%3A%2F%2Fwww.webofscience.com%2Fwos%2Fwoscc%2Ffull-record%2FWOS:000362115000001","View Full Record in Web of Science")</f>
        <v>View Full Record in Web of Science</v>
      </c>
    </row>
    <row r="671" spans="1:72" x14ac:dyDescent="0.15">
      <c r="A671" t="s">
        <v>72</v>
      </c>
      <c r="B671" t="s">
        <v>12928</v>
      </c>
      <c r="C671" t="s">
        <v>74</v>
      </c>
      <c r="D671" t="s">
        <v>74</v>
      </c>
      <c r="E671" t="s">
        <v>74</v>
      </c>
      <c r="F671" t="s">
        <v>12929</v>
      </c>
      <c r="G671" t="s">
        <v>74</v>
      </c>
      <c r="H671" t="s">
        <v>74</v>
      </c>
      <c r="I671" t="s">
        <v>12930</v>
      </c>
      <c r="J671" t="s">
        <v>1193</v>
      </c>
      <c r="K671" t="s">
        <v>74</v>
      </c>
      <c r="L671" t="s">
        <v>74</v>
      </c>
      <c r="M671" t="s">
        <v>78</v>
      </c>
      <c r="N671" t="s">
        <v>79</v>
      </c>
      <c r="O671" t="s">
        <v>74</v>
      </c>
      <c r="P671" t="s">
        <v>74</v>
      </c>
      <c r="Q671" t="s">
        <v>74</v>
      </c>
      <c r="R671" t="s">
        <v>74</v>
      </c>
      <c r="S671" t="s">
        <v>74</v>
      </c>
      <c r="T671" t="s">
        <v>12931</v>
      </c>
      <c r="U671" t="s">
        <v>12932</v>
      </c>
      <c r="V671" t="s">
        <v>12933</v>
      </c>
      <c r="W671" t="s">
        <v>12934</v>
      </c>
      <c r="X671" t="s">
        <v>12935</v>
      </c>
      <c r="Y671" t="s">
        <v>12936</v>
      </c>
      <c r="Z671" t="s">
        <v>12937</v>
      </c>
      <c r="AA671" t="s">
        <v>12938</v>
      </c>
      <c r="AB671" t="s">
        <v>74</v>
      </c>
      <c r="AC671" t="s">
        <v>12939</v>
      </c>
      <c r="AD671" t="s">
        <v>12940</v>
      </c>
      <c r="AE671" t="s">
        <v>12941</v>
      </c>
      <c r="AF671" t="s">
        <v>74</v>
      </c>
      <c r="AG671">
        <v>116</v>
      </c>
      <c r="AH671">
        <v>8</v>
      </c>
      <c r="AI671">
        <v>9</v>
      </c>
      <c r="AJ671">
        <v>0</v>
      </c>
      <c r="AK671">
        <v>8</v>
      </c>
      <c r="AL671" t="s">
        <v>1206</v>
      </c>
      <c r="AM671" t="s">
        <v>1207</v>
      </c>
      <c r="AN671" t="s">
        <v>1208</v>
      </c>
      <c r="AO671" t="s">
        <v>1209</v>
      </c>
      <c r="AP671" t="s">
        <v>1210</v>
      </c>
      <c r="AQ671" t="s">
        <v>74</v>
      </c>
      <c r="AR671" t="s">
        <v>1193</v>
      </c>
      <c r="AS671" t="s">
        <v>1211</v>
      </c>
      <c r="AT671" t="s">
        <v>12942</v>
      </c>
      <c r="AU671">
        <v>2015</v>
      </c>
      <c r="AV671">
        <v>3985</v>
      </c>
      <c r="AW671">
        <v>3</v>
      </c>
      <c r="AX671" t="s">
        <v>74</v>
      </c>
      <c r="AY671" t="s">
        <v>74</v>
      </c>
      <c r="AZ671" t="s">
        <v>74</v>
      </c>
      <c r="BA671" t="s">
        <v>74</v>
      </c>
      <c r="BB671">
        <v>349</v>
      </c>
      <c r="BC671">
        <v>374</v>
      </c>
      <c r="BD671" t="s">
        <v>74</v>
      </c>
      <c r="BE671" t="s">
        <v>12943</v>
      </c>
      <c r="BF671" t="str">
        <f>HYPERLINK("http://dx.doi.org/10.11646/zootaxa.3985.3.2","http://dx.doi.org/10.11646/zootaxa.3985.3.2")</f>
        <v>http://dx.doi.org/10.11646/zootaxa.3985.3.2</v>
      </c>
      <c r="BG671" t="s">
        <v>74</v>
      </c>
      <c r="BH671" t="s">
        <v>74</v>
      </c>
      <c r="BI671">
        <v>26</v>
      </c>
      <c r="BJ671" t="s">
        <v>243</v>
      </c>
      <c r="BK671" t="s">
        <v>101</v>
      </c>
      <c r="BL671" t="s">
        <v>243</v>
      </c>
      <c r="BM671" t="s">
        <v>12944</v>
      </c>
      <c r="BN671">
        <v>26250039</v>
      </c>
      <c r="BO671" t="s">
        <v>74</v>
      </c>
      <c r="BP671" t="s">
        <v>74</v>
      </c>
      <c r="BQ671" t="s">
        <v>74</v>
      </c>
      <c r="BR671" t="s">
        <v>103</v>
      </c>
      <c r="BS671" t="s">
        <v>12945</v>
      </c>
      <c r="BT671" t="str">
        <f>HYPERLINK("https%3A%2F%2Fwww.webofscience.com%2Fwos%2Fwoscc%2Ffull-record%2FWOS:000358140700002","View Full Record in Web of Science")</f>
        <v>View Full Record in Web of Science</v>
      </c>
    </row>
    <row r="672" spans="1:72" x14ac:dyDescent="0.15">
      <c r="A672" t="s">
        <v>72</v>
      </c>
      <c r="B672" t="s">
        <v>12946</v>
      </c>
      <c r="C672" t="s">
        <v>74</v>
      </c>
      <c r="D672" t="s">
        <v>74</v>
      </c>
      <c r="E672" t="s">
        <v>74</v>
      </c>
      <c r="F672" t="s">
        <v>12947</v>
      </c>
      <c r="G672" t="s">
        <v>74</v>
      </c>
      <c r="H672" t="s">
        <v>74</v>
      </c>
      <c r="I672" t="s">
        <v>12948</v>
      </c>
      <c r="J672" t="s">
        <v>12949</v>
      </c>
      <c r="K672" t="s">
        <v>74</v>
      </c>
      <c r="L672" t="s">
        <v>74</v>
      </c>
      <c r="M672" t="s">
        <v>78</v>
      </c>
      <c r="N672" t="s">
        <v>581</v>
      </c>
      <c r="O672" t="s">
        <v>74</v>
      </c>
      <c r="P672" t="s">
        <v>74</v>
      </c>
      <c r="Q672" t="s">
        <v>74</v>
      </c>
      <c r="R672" t="s">
        <v>74</v>
      </c>
      <c r="S672" t="s">
        <v>74</v>
      </c>
      <c r="T672" t="s">
        <v>12950</v>
      </c>
      <c r="U672" t="s">
        <v>12951</v>
      </c>
      <c r="V672" t="s">
        <v>12952</v>
      </c>
      <c r="W672" t="s">
        <v>12953</v>
      </c>
      <c r="X672" t="s">
        <v>439</v>
      </c>
      <c r="Y672" t="s">
        <v>12954</v>
      </c>
      <c r="Z672" t="s">
        <v>12955</v>
      </c>
      <c r="AA672" t="s">
        <v>12956</v>
      </c>
      <c r="AB672" t="s">
        <v>12957</v>
      </c>
      <c r="AC672" t="s">
        <v>12958</v>
      </c>
      <c r="AD672" t="s">
        <v>859</v>
      </c>
      <c r="AE672" t="s">
        <v>74</v>
      </c>
      <c r="AF672" t="s">
        <v>74</v>
      </c>
      <c r="AG672">
        <v>50</v>
      </c>
      <c r="AH672">
        <v>131</v>
      </c>
      <c r="AI672">
        <v>147</v>
      </c>
      <c r="AJ672">
        <v>1</v>
      </c>
      <c r="AK672">
        <v>104</v>
      </c>
      <c r="AL672" t="s">
        <v>1321</v>
      </c>
      <c r="AM672" t="s">
        <v>180</v>
      </c>
      <c r="AN672" t="s">
        <v>1322</v>
      </c>
      <c r="AO672" t="s">
        <v>12959</v>
      </c>
      <c r="AP672" t="s">
        <v>12960</v>
      </c>
      <c r="AQ672" t="s">
        <v>74</v>
      </c>
      <c r="AR672" t="s">
        <v>12961</v>
      </c>
      <c r="AS672" t="s">
        <v>12962</v>
      </c>
      <c r="AT672" t="s">
        <v>12942</v>
      </c>
      <c r="AU672">
        <v>2015</v>
      </c>
      <c r="AV672">
        <v>373</v>
      </c>
      <c r="AW672">
        <v>2045</v>
      </c>
      <c r="AX672" t="s">
        <v>74</v>
      </c>
      <c r="AY672" t="s">
        <v>74</v>
      </c>
      <c r="AZ672" t="s">
        <v>74</v>
      </c>
      <c r="BA672" t="s">
        <v>74</v>
      </c>
      <c r="BB672" t="s">
        <v>74</v>
      </c>
      <c r="BC672" t="s">
        <v>74</v>
      </c>
      <c r="BD672">
        <v>20140163</v>
      </c>
      <c r="BE672" t="s">
        <v>12963</v>
      </c>
      <c r="BF672" t="str">
        <f>HYPERLINK("http://dx.doi.org/10.1098/rsta.2014.0163","http://dx.doi.org/10.1098/rsta.2014.0163")</f>
        <v>http://dx.doi.org/10.1098/rsta.2014.0163</v>
      </c>
      <c r="BG672" t="s">
        <v>74</v>
      </c>
      <c r="BH672" t="s">
        <v>74</v>
      </c>
      <c r="BI672">
        <v>13</v>
      </c>
      <c r="BJ672" t="s">
        <v>530</v>
      </c>
      <c r="BK672" t="s">
        <v>101</v>
      </c>
      <c r="BL672" t="s">
        <v>531</v>
      </c>
      <c r="BM672" t="s">
        <v>12964</v>
      </c>
      <c r="BN672">
        <v>26032320</v>
      </c>
      <c r="BO672" t="s">
        <v>4305</v>
      </c>
      <c r="BP672" t="s">
        <v>74</v>
      </c>
      <c r="BQ672" t="s">
        <v>74</v>
      </c>
      <c r="BR672" t="s">
        <v>103</v>
      </c>
      <c r="BS672" t="s">
        <v>12965</v>
      </c>
      <c r="BT672" t="str">
        <f>HYPERLINK("https%3A%2F%2Fwww.webofscience.com%2Fwos%2Fwoscc%2Ffull-record%2FWOS:000357343200005","View Full Record in Web of Science")</f>
        <v>View Full Record in Web of Science</v>
      </c>
    </row>
    <row r="673" spans="1:72" x14ac:dyDescent="0.15">
      <c r="A673" t="s">
        <v>72</v>
      </c>
      <c r="B673" t="s">
        <v>12966</v>
      </c>
      <c r="C673" t="s">
        <v>74</v>
      </c>
      <c r="D673" t="s">
        <v>74</v>
      </c>
      <c r="E673" t="s">
        <v>74</v>
      </c>
      <c r="F673" t="s">
        <v>12967</v>
      </c>
      <c r="G673" t="s">
        <v>74</v>
      </c>
      <c r="H673" t="s">
        <v>74</v>
      </c>
      <c r="I673" t="s">
        <v>12968</v>
      </c>
      <c r="J673" t="s">
        <v>1287</v>
      </c>
      <c r="K673" t="s">
        <v>74</v>
      </c>
      <c r="L673" t="s">
        <v>74</v>
      </c>
      <c r="M673" t="s">
        <v>78</v>
      </c>
      <c r="N673" t="s">
        <v>79</v>
      </c>
      <c r="O673" t="s">
        <v>74</v>
      </c>
      <c r="P673" t="s">
        <v>74</v>
      </c>
      <c r="Q673" t="s">
        <v>74</v>
      </c>
      <c r="R673" t="s">
        <v>74</v>
      </c>
      <c r="S673" t="s">
        <v>74</v>
      </c>
      <c r="T673" t="s">
        <v>74</v>
      </c>
      <c r="U673" t="s">
        <v>12969</v>
      </c>
      <c r="V673" t="s">
        <v>12970</v>
      </c>
      <c r="W673" t="s">
        <v>12971</v>
      </c>
      <c r="X673" t="s">
        <v>12972</v>
      </c>
      <c r="Y673" t="s">
        <v>12973</v>
      </c>
      <c r="Z673" t="s">
        <v>12974</v>
      </c>
      <c r="AA673" t="s">
        <v>12975</v>
      </c>
      <c r="AB673" t="s">
        <v>12976</v>
      </c>
      <c r="AC673" t="s">
        <v>12977</v>
      </c>
      <c r="AD673" t="s">
        <v>12978</v>
      </c>
      <c r="AE673" t="s">
        <v>12979</v>
      </c>
      <c r="AF673" t="s">
        <v>74</v>
      </c>
      <c r="AG673">
        <v>21</v>
      </c>
      <c r="AH673">
        <v>33</v>
      </c>
      <c r="AI673">
        <v>35</v>
      </c>
      <c r="AJ673">
        <v>0</v>
      </c>
      <c r="AK673">
        <v>37</v>
      </c>
      <c r="AL673" t="s">
        <v>523</v>
      </c>
      <c r="AM673" t="s">
        <v>524</v>
      </c>
      <c r="AN673" t="s">
        <v>525</v>
      </c>
      <c r="AO673" t="s">
        <v>1299</v>
      </c>
      <c r="AP673" t="s">
        <v>74</v>
      </c>
      <c r="AQ673" t="s">
        <v>74</v>
      </c>
      <c r="AR673" t="s">
        <v>1300</v>
      </c>
      <c r="AS673" t="s">
        <v>1301</v>
      </c>
      <c r="AT673" t="s">
        <v>12942</v>
      </c>
      <c r="AU673">
        <v>2015</v>
      </c>
      <c r="AV673">
        <v>5</v>
      </c>
      <c r="AW673" t="s">
        <v>74</v>
      </c>
      <c r="AX673" t="s">
        <v>74</v>
      </c>
      <c r="AY673" t="s">
        <v>74</v>
      </c>
      <c r="AZ673" t="s">
        <v>74</v>
      </c>
      <c r="BA673" t="s">
        <v>74</v>
      </c>
      <c r="BB673" t="s">
        <v>74</v>
      </c>
      <c r="BC673" t="s">
        <v>74</v>
      </c>
      <c r="BD673">
        <v>12164</v>
      </c>
      <c r="BE673" t="s">
        <v>12980</v>
      </c>
      <c r="BF673" t="str">
        <f>HYPERLINK("http://dx.doi.org/10.1038/srep12164","http://dx.doi.org/10.1038/srep12164")</f>
        <v>http://dx.doi.org/10.1038/srep12164</v>
      </c>
      <c r="BG673" t="s">
        <v>74</v>
      </c>
      <c r="BH673" t="s">
        <v>74</v>
      </c>
      <c r="BI673">
        <v>5</v>
      </c>
      <c r="BJ673" t="s">
        <v>530</v>
      </c>
      <c r="BK673" t="s">
        <v>101</v>
      </c>
      <c r="BL673" t="s">
        <v>531</v>
      </c>
      <c r="BM673" t="s">
        <v>12981</v>
      </c>
      <c r="BN673">
        <v>26165162</v>
      </c>
      <c r="BO673" t="s">
        <v>2600</v>
      </c>
      <c r="BP673" t="s">
        <v>74</v>
      </c>
      <c r="BQ673" t="s">
        <v>74</v>
      </c>
      <c r="BR673" t="s">
        <v>103</v>
      </c>
      <c r="BS673" t="s">
        <v>12982</v>
      </c>
      <c r="BT673" t="str">
        <f>HYPERLINK("https%3A%2F%2Fwww.webofscience.com%2Fwos%2Fwoscc%2Ffull-record%2FWOS:000357849700001","View Full Record in Web of Science")</f>
        <v>View Full Record in Web of Science</v>
      </c>
    </row>
    <row r="674" spans="1:72" x14ac:dyDescent="0.15">
      <c r="A674" t="s">
        <v>72</v>
      </c>
      <c r="B674" t="s">
        <v>12983</v>
      </c>
      <c r="C674" t="s">
        <v>74</v>
      </c>
      <c r="D674" t="s">
        <v>74</v>
      </c>
      <c r="E674" t="s">
        <v>74</v>
      </c>
      <c r="F674" t="s">
        <v>12984</v>
      </c>
      <c r="G674" t="s">
        <v>74</v>
      </c>
      <c r="H674" t="s">
        <v>74</v>
      </c>
      <c r="I674" t="s">
        <v>12985</v>
      </c>
      <c r="J674" t="s">
        <v>1287</v>
      </c>
      <c r="K674" t="s">
        <v>74</v>
      </c>
      <c r="L674" t="s">
        <v>74</v>
      </c>
      <c r="M674" t="s">
        <v>78</v>
      </c>
      <c r="N674" t="s">
        <v>79</v>
      </c>
      <c r="O674" t="s">
        <v>74</v>
      </c>
      <c r="P674" t="s">
        <v>74</v>
      </c>
      <c r="Q674" t="s">
        <v>74</v>
      </c>
      <c r="R674" t="s">
        <v>74</v>
      </c>
      <c r="S674" t="s">
        <v>74</v>
      </c>
      <c r="T674" t="s">
        <v>74</v>
      </c>
      <c r="U674" t="s">
        <v>12986</v>
      </c>
      <c r="V674" t="s">
        <v>12987</v>
      </c>
      <c r="W674" t="s">
        <v>12988</v>
      </c>
      <c r="X674" t="s">
        <v>12989</v>
      </c>
      <c r="Y674" t="s">
        <v>12990</v>
      </c>
      <c r="Z674" t="s">
        <v>12991</v>
      </c>
      <c r="AA674" t="s">
        <v>12992</v>
      </c>
      <c r="AB674" t="s">
        <v>12993</v>
      </c>
      <c r="AC674" t="s">
        <v>12994</v>
      </c>
      <c r="AD674" t="s">
        <v>12995</v>
      </c>
      <c r="AE674" t="s">
        <v>12996</v>
      </c>
      <c r="AF674" t="s">
        <v>74</v>
      </c>
      <c r="AG674">
        <v>60</v>
      </c>
      <c r="AH674">
        <v>66</v>
      </c>
      <c r="AI674">
        <v>73</v>
      </c>
      <c r="AJ674">
        <v>2</v>
      </c>
      <c r="AK674">
        <v>82</v>
      </c>
      <c r="AL674" t="s">
        <v>523</v>
      </c>
      <c r="AM674" t="s">
        <v>524</v>
      </c>
      <c r="AN674" t="s">
        <v>525</v>
      </c>
      <c r="AO674" t="s">
        <v>1299</v>
      </c>
      <c r="AP674" t="s">
        <v>74</v>
      </c>
      <c r="AQ674" t="s">
        <v>74</v>
      </c>
      <c r="AR674" t="s">
        <v>1300</v>
      </c>
      <c r="AS674" t="s">
        <v>1301</v>
      </c>
      <c r="AT674" t="s">
        <v>12997</v>
      </c>
      <c r="AU674">
        <v>2015</v>
      </c>
      <c r="AV674">
        <v>5</v>
      </c>
      <c r="AW674" t="s">
        <v>74</v>
      </c>
      <c r="AX674" t="s">
        <v>74</v>
      </c>
      <c r="AY674" t="s">
        <v>74</v>
      </c>
      <c r="AZ674" t="s">
        <v>74</v>
      </c>
      <c r="BA674" t="s">
        <v>74</v>
      </c>
      <c r="BB674" t="s">
        <v>74</v>
      </c>
      <c r="BC674" t="s">
        <v>74</v>
      </c>
      <c r="BD674">
        <v>12103</v>
      </c>
      <c r="BE674" t="s">
        <v>12998</v>
      </c>
      <c r="BF674" t="str">
        <f>HYPERLINK("http://dx.doi.org/10.1038/srep12103","http://dx.doi.org/10.1038/srep12103")</f>
        <v>http://dx.doi.org/10.1038/srep12103</v>
      </c>
      <c r="BG674" t="s">
        <v>74</v>
      </c>
      <c r="BH674" t="s">
        <v>74</v>
      </c>
      <c r="BI674">
        <v>8</v>
      </c>
      <c r="BJ674" t="s">
        <v>530</v>
      </c>
      <c r="BK674" t="s">
        <v>101</v>
      </c>
      <c r="BL674" t="s">
        <v>531</v>
      </c>
      <c r="BM674" t="s">
        <v>12999</v>
      </c>
      <c r="BN674">
        <v>26159304</v>
      </c>
      <c r="BO674" t="s">
        <v>1304</v>
      </c>
      <c r="BP674" t="s">
        <v>74</v>
      </c>
      <c r="BQ674" t="s">
        <v>74</v>
      </c>
      <c r="BR674" t="s">
        <v>103</v>
      </c>
      <c r="BS674" t="s">
        <v>13000</v>
      </c>
      <c r="BT674" t="str">
        <f>HYPERLINK("https%3A%2F%2Fwww.webofscience.com%2Fwos%2Fwoscc%2Ffull-record%2FWOS:000357724400002","View Full Record in Web of Science")</f>
        <v>View Full Record in Web of Science</v>
      </c>
    </row>
    <row r="675" spans="1:72" x14ac:dyDescent="0.15">
      <c r="A675" t="s">
        <v>72</v>
      </c>
      <c r="B675" t="s">
        <v>13001</v>
      </c>
      <c r="C675" t="s">
        <v>74</v>
      </c>
      <c r="D675" t="s">
        <v>74</v>
      </c>
      <c r="E675" t="s">
        <v>74</v>
      </c>
      <c r="F675" t="s">
        <v>13002</v>
      </c>
      <c r="G675" t="s">
        <v>74</v>
      </c>
      <c r="H675" t="s">
        <v>74</v>
      </c>
      <c r="I675" t="s">
        <v>13003</v>
      </c>
      <c r="J675" t="s">
        <v>1987</v>
      </c>
      <c r="K675" t="s">
        <v>74</v>
      </c>
      <c r="L675" t="s">
        <v>74</v>
      </c>
      <c r="M675" t="s">
        <v>78</v>
      </c>
      <c r="N675" t="s">
        <v>79</v>
      </c>
      <c r="O675" t="s">
        <v>74</v>
      </c>
      <c r="P675" t="s">
        <v>74</v>
      </c>
      <c r="Q675" t="s">
        <v>74</v>
      </c>
      <c r="R675" t="s">
        <v>74</v>
      </c>
      <c r="S675" t="s">
        <v>74</v>
      </c>
      <c r="T675" t="s">
        <v>13004</v>
      </c>
      <c r="U675" t="s">
        <v>13005</v>
      </c>
      <c r="V675" t="s">
        <v>13006</v>
      </c>
      <c r="W675" t="s">
        <v>13007</v>
      </c>
      <c r="X675" t="s">
        <v>13008</v>
      </c>
      <c r="Y675" t="s">
        <v>2539</v>
      </c>
      <c r="Z675" t="s">
        <v>2540</v>
      </c>
      <c r="AA675" t="s">
        <v>74</v>
      </c>
      <c r="AB675" t="s">
        <v>74</v>
      </c>
      <c r="AC675" t="s">
        <v>13009</v>
      </c>
      <c r="AD675" t="s">
        <v>13010</v>
      </c>
      <c r="AE675" t="s">
        <v>13011</v>
      </c>
      <c r="AF675" t="s">
        <v>74</v>
      </c>
      <c r="AG675">
        <v>74</v>
      </c>
      <c r="AH675">
        <v>28</v>
      </c>
      <c r="AI675">
        <v>32</v>
      </c>
      <c r="AJ675">
        <v>0</v>
      </c>
      <c r="AK675">
        <v>31</v>
      </c>
      <c r="AL675" t="s">
        <v>397</v>
      </c>
      <c r="AM675" t="s">
        <v>398</v>
      </c>
      <c r="AN675" t="s">
        <v>399</v>
      </c>
      <c r="AO675" t="s">
        <v>1996</v>
      </c>
      <c r="AP675" t="s">
        <v>1997</v>
      </c>
      <c r="AQ675" t="s">
        <v>74</v>
      </c>
      <c r="AR675" t="s">
        <v>1998</v>
      </c>
      <c r="AS675" t="s">
        <v>1999</v>
      </c>
      <c r="AT675" t="s">
        <v>12997</v>
      </c>
      <c r="AU675">
        <v>2015</v>
      </c>
      <c r="AV675">
        <v>374</v>
      </c>
      <c r="AW675" t="s">
        <v>74</v>
      </c>
      <c r="AX675" t="s">
        <v>74</v>
      </c>
      <c r="AY675" t="s">
        <v>74</v>
      </c>
      <c r="AZ675" t="s">
        <v>74</v>
      </c>
      <c r="BA675" t="s">
        <v>74</v>
      </c>
      <c r="BB675">
        <v>118</v>
      </c>
      <c r="BC675">
        <v>125</v>
      </c>
      <c r="BD675" t="s">
        <v>74</v>
      </c>
      <c r="BE675" t="s">
        <v>13012</v>
      </c>
      <c r="BF675" t="str">
        <f>HYPERLINK("http://dx.doi.org/10.1016/j.quaint.2014.11.052","http://dx.doi.org/10.1016/j.quaint.2014.11.052")</f>
        <v>http://dx.doi.org/10.1016/j.quaint.2014.11.052</v>
      </c>
      <c r="BG675" t="s">
        <v>74</v>
      </c>
      <c r="BH675" t="s">
        <v>74</v>
      </c>
      <c r="BI675">
        <v>8</v>
      </c>
      <c r="BJ675" t="s">
        <v>1778</v>
      </c>
      <c r="BK675" t="s">
        <v>101</v>
      </c>
      <c r="BL675" t="s">
        <v>1779</v>
      </c>
      <c r="BM675" t="s">
        <v>13013</v>
      </c>
      <c r="BN675" t="s">
        <v>74</v>
      </c>
      <c r="BO675" t="s">
        <v>74</v>
      </c>
      <c r="BP675" t="s">
        <v>74</v>
      </c>
      <c r="BQ675" t="s">
        <v>74</v>
      </c>
      <c r="BR675" t="s">
        <v>103</v>
      </c>
      <c r="BS675" t="s">
        <v>13014</v>
      </c>
      <c r="BT675" t="str">
        <f>HYPERLINK("https%3A%2F%2Fwww.webofscience.com%2Fwos%2Fwoscc%2Ffull-record%2FWOS:000356452500011","View Full Record in Web of Science")</f>
        <v>View Full Record in Web of Science</v>
      </c>
    </row>
    <row r="676" spans="1:72" x14ac:dyDescent="0.15">
      <c r="A676" t="s">
        <v>72</v>
      </c>
      <c r="B676" t="s">
        <v>13015</v>
      </c>
      <c r="C676" t="s">
        <v>74</v>
      </c>
      <c r="D676" t="s">
        <v>74</v>
      </c>
      <c r="E676" t="s">
        <v>74</v>
      </c>
      <c r="F676" t="s">
        <v>13016</v>
      </c>
      <c r="G676" t="s">
        <v>74</v>
      </c>
      <c r="H676" t="s">
        <v>74</v>
      </c>
      <c r="I676" t="s">
        <v>13017</v>
      </c>
      <c r="J676" t="s">
        <v>1287</v>
      </c>
      <c r="K676" t="s">
        <v>74</v>
      </c>
      <c r="L676" t="s">
        <v>74</v>
      </c>
      <c r="M676" t="s">
        <v>78</v>
      </c>
      <c r="N676" t="s">
        <v>79</v>
      </c>
      <c r="O676" t="s">
        <v>74</v>
      </c>
      <c r="P676" t="s">
        <v>74</v>
      </c>
      <c r="Q676" t="s">
        <v>74</v>
      </c>
      <c r="R676" t="s">
        <v>74</v>
      </c>
      <c r="S676" t="s">
        <v>74</v>
      </c>
      <c r="T676" t="s">
        <v>74</v>
      </c>
      <c r="U676" t="s">
        <v>13018</v>
      </c>
      <c r="V676" t="s">
        <v>13019</v>
      </c>
      <c r="W676" t="s">
        <v>13020</v>
      </c>
      <c r="X676" t="s">
        <v>13021</v>
      </c>
      <c r="Y676" t="s">
        <v>13022</v>
      </c>
      <c r="Z676" t="s">
        <v>13023</v>
      </c>
      <c r="AA676" t="s">
        <v>13024</v>
      </c>
      <c r="AB676" t="s">
        <v>13025</v>
      </c>
      <c r="AC676" t="s">
        <v>13026</v>
      </c>
      <c r="AD676" t="s">
        <v>13027</v>
      </c>
      <c r="AE676" t="s">
        <v>13028</v>
      </c>
      <c r="AF676" t="s">
        <v>74</v>
      </c>
      <c r="AG676">
        <v>42</v>
      </c>
      <c r="AH676">
        <v>60</v>
      </c>
      <c r="AI676">
        <v>71</v>
      </c>
      <c r="AJ676">
        <v>4</v>
      </c>
      <c r="AK676">
        <v>116</v>
      </c>
      <c r="AL676" t="s">
        <v>523</v>
      </c>
      <c r="AM676" t="s">
        <v>524</v>
      </c>
      <c r="AN676" t="s">
        <v>525</v>
      </c>
      <c r="AO676" t="s">
        <v>1299</v>
      </c>
      <c r="AP676" t="s">
        <v>74</v>
      </c>
      <c r="AQ676" t="s">
        <v>74</v>
      </c>
      <c r="AR676" t="s">
        <v>1300</v>
      </c>
      <c r="AS676" t="s">
        <v>1301</v>
      </c>
      <c r="AT676" t="s">
        <v>13029</v>
      </c>
      <c r="AU676">
        <v>2015</v>
      </c>
      <c r="AV676">
        <v>5</v>
      </c>
      <c r="AW676" t="s">
        <v>74</v>
      </c>
      <c r="AX676" t="s">
        <v>74</v>
      </c>
      <c r="AY676" t="s">
        <v>74</v>
      </c>
      <c r="AZ676" t="s">
        <v>74</v>
      </c>
      <c r="BA676" t="s">
        <v>74</v>
      </c>
      <c r="BB676" t="s">
        <v>74</v>
      </c>
      <c r="BC676" t="s">
        <v>74</v>
      </c>
      <c r="BD676">
        <v>12019</v>
      </c>
      <c r="BE676" t="s">
        <v>13030</v>
      </c>
      <c r="BF676" t="str">
        <f>HYPERLINK("http://dx.doi.org/10.1038/srep12019","http://dx.doi.org/10.1038/srep12019")</f>
        <v>http://dx.doi.org/10.1038/srep12019</v>
      </c>
      <c r="BG676" t="s">
        <v>74</v>
      </c>
      <c r="BH676" t="s">
        <v>74</v>
      </c>
      <c r="BI676">
        <v>9</v>
      </c>
      <c r="BJ676" t="s">
        <v>530</v>
      </c>
      <c r="BK676" t="s">
        <v>101</v>
      </c>
      <c r="BL676" t="s">
        <v>531</v>
      </c>
      <c r="BM676" t="s">
        <v>13031</v>
      </c>
      <c r="BN676">
        <v>26153855</v>
      </c>
      <c r="BO676" t="s">
        <v>1304</v>
      </c>
      <c r="BP676" t="s">
        <v>74</v>
      </c>
      <c r="BQ676" t="s">
        <v>74</v>
      </c>
      <c r="BR676" t="s">
        <v>103</v>
      </c>
      <c r="BS676" t="s">
        <v>13032</v>
      </c>
      <c r="BT676" t="str">
        <f>HYPERLINK("https%3A%2F%2Fwww.webofscience.com%2Fwos%2Fwoscc%2Ffull-record%2FWOS:000357601300002","View Full Record in Web of Science")</f>
        <v>View Full Record in Web of Science</v>
      </c>
    </row>
    <row r="677" spans="1:72" x14ac:dyDescent="0.15">
      <c r="A677" t="s">
        <v>72</v>
      </c>
      <c r="B677" t="s">
        <v>13033</v>
      </c>
      <c r="C677" t="s">
        <v>74</v>
      </c>
      <c r="D677" t="s">
        <v>74</v>
      </c>
      <c r="E677" t="s">
        <v>74</v>
      </c>
      <c r="F677" t="s">
        <v>13034</v>
      </c>
      <c r="G677" t="s">
        <v>74</v>
      </c>
      <c r="H677" t="s">
        <v>74</v>
      </c>
      <c r="I677" t="s">
        <v>13035</v>
      </c>
      <c r="J677" t="s">
        <v>1287</v>
      </c>
      <c r="K677" t="s">
        <v>74</v>
      </c>
      <c r="L677" t="s">
        <v>74</v>
      </c>
      <c r="M677" t="s">
        <v>78</v>
      </c>
      <c r="N677" t="s">
        <v>79</v>
      </c>
      <c r="O677" t="s">
        <v>74</v>
      </c>
      <c r="P677" t="s">
        <v>74</v>
      </c>
      <c r="Q677" t="s">
        <v>74</v>
      </c>
      <c r="R677" t="s">
        <v>74</v>
      </c>
      <c r="S677" t="s">
        <v>74</v>
      </c>
      <c r="T677" t="s">
        <v>74</v>
      </c>
      <c r="U677" t="s">
        <v>13036</v>
      </c>
      <c r="V677" t="s">
        <v>13037</v>
      </c>
      <c r="W677" t="s">
        <v>13038</v>
      </c>
      <c r="X677" t="s">
        <v>10704</v>
      </c>
      <c r="Y677" t="s">
        <v>13039</v>
      </c>
      <c r="Z677" t="s">
        <v>13040</v>
      </c>
      <c r="AA677" t="s">
        <v>13041</v>
      </c>
      <c r="AB677" t="s">
        <v>13042</v>
      </c>
      <c r="AC677" t="s">
        <v>13043</v>
      </c>
      <c r="AD677" t="s">
        <v>13044</v>
      </c>
      <c r="AE677" t="s">
        <v>13045</v>
      </c>
      <c r="AF677" t="s">
        <v>74</v>
      </c>
      <c r="AG677">
        <v>60</v>
      </c>
      <c r="AH677">
        <v>23</v>
      </c>
      <c r="AI677">
        <v>23</v>
      </c>
      <c r="AJ677">
        <v>1</v>
      </c>
      <c r="AK677">
        <v>29</v>
      </c>
      <c r="AL677" t="s">
        <v>523</v>
      </c>
      <c r="AM677" t="s">
        <v>524</v>
      </c>
      <c r="AN677" t="s">
        <v>525</v>
      </c>
      <c r="AO677" t="s">
        <v>1299</v>
      </c>
      <c r="AP677" t="s">
        <v>74</v>
      </c>
      <c r="AQ677" t="s">
        <v>74</v>
      </c>
      <c r="AR677" t="s">
        <v>1300</v>
      </c>
      <c r="AS677" t="s">
        <v>1301</v>
      </c>
      <c r="AT677" t="s">
        <v>13029</v>
      </c>
      <c r="AU677">
        <v>2015</v>
      </c>
      <c r="AV677">
        <v>5</v>
      </c>
      <c r="AW677" t="s">
        <v>74</v>
      </c>
      <c r="AX677" t="s">
        <v>74</v>
      </c>
      <c r="AY677" t="s">
        <v>74</v>
      </c>
      <c r="AZ677" t="s">
        <v>74</v>
      </c>
      <c r="BA677" t="s">
        <v>74</v>
      </c>
      <c r="BB677" t="s">
        <v>74</v>
      </c>
      <c r="BC677" t="s">
        <v>74</v>
      </c>
      <c r="BD677">
        <v>11957</v>
      </c>
      <c r="BE677" t="s">
        <v>13046</v>
      </c>
      <c r="BF677" t="str">
        <f>HYPERLINK("http://dx.doi.org/10.1038/srep11957","http://dx.doi.org/10.1038/srep11957")</f>
        <v>http://dx.doi.org/10.1038/srep11957</v>
      </c>
      <c r="BG677" t="s">
        <v>74</v>
      </c>
      <c r="BH677" t="s">
        <v>74</v>
      </c>
      <c r="BI677">
        <v>8</v>
      </c>
      <c r="BJ677" t="s">
        <v>530</v>
      </c>
      <c r="BK677" t="s">
        <v>101</v>
      </c>
      <c r="BL677" t="s">
        <v>531</v>
      </c>
      <c r="BM677" t="s">
        <v>13047</v>
      </c>
      <c r="BN677">
        <v>26153104</v>
      </c>
      <c r="BO677" t="s">
        <v>1097</v>
      </c>
      <c r="BP677" t="s">
        <v>74</v>
      </c>
      <c r="BQ677" t="s">
        <v>74</v>
      </c>
      <c r="BR677" t="s">
        <v>103</v>
      </c>
      <c r="BS677" t="s">
        <v>13048</v>
      </c>
      <c r="BT677" t="str">
        <f>HYPERLINK("https%3A%2F%2Fwww.webofscience.com%2Fwos%2Fwoscc%2Ffull-record%2FWOS:000357599800001","View Full Record in Web of Science")</f>
        <v>View Full Record in Web of Science</v>
      </c>
    </row>
    <row r="678" spans="1:72" x14ac:dyDescent="0.15">
      <c r="A678" t="s">
        <v>72</v>
      </c>
      <c r="B678" t="s">
        <v>13049</v>
      </c>
      <c r="C678" t="s">
        <v>74</v>
      </c>
      <c r="D678" t="s">
        <v>74</v>
      </c>
      <c r="E678" t="s">
        <v>74</v>
      </c>
      <c r="F678" t="s">
        <v>13050</v>
      </c>
      <c r="G678" t="s">
        <v>74</v>
      </c>
      <c r="H678" t="s">
        <v>74</v>
      </c>
      <c r="I678" t="s">
        <v>13051</v>
      </c>
      <c r="J678" t="s">
        <v>13052</v>
      </c>
      <c r="K678" t="s">
        <v>74</v>
      </c>
      <c r="L678" t="s">
        <v>74</v>
      </c>
      <c r="M678" t="s">
        <v>78</v>
      </c>
      <c r="N678" t="s">
        <v>79</v>
      </c>
      <c r="O678" t="s">
        <v>74</v>
      </c>
      <c r="P678" t="s">
        <v>74</v>
      </c>
      <c r="Q678" t="s">
        <v>74</v>
      </c>
      <c r="R678" t="s">
        <v>74</v>
      </c>
      <c r="S678" t="s">
        <v>74</v>
      </c>
      <c r="T678" t="s">
        <v>74</v>
      </c>
      <c r="U678" t="s">
        <v>13053</v>
      </c>
      <c r="V678" t="s">
        <v>13054</v>
      </c>
      <c r="W678" t="s">
        <v>13055</v>
      </c>
      <c r="X678" t="s">
        <v>13056</v>
      </c>
      <c r="Y678" t="s">
        <v>13057</v>
      </c>
      <c r="Z678" t="s">
        <v>13058</v>
      </c>
      <c r="AA678" t="s">
        <v>13059</v>
      </c>
      <c r="AB678" t="s">
        <v>74</v>
      </c>
      <c r="AC678" t="s">
        <v>13060</v>
      </c>
      <c r="AD678" t="s">
        <v>13061</v>
      </c>
      <c r="AE678" t="s">
        <v>13062</v>
      </c>
      <c r="AF678" t="s">
        <v>74</v>
      </c>
      <c r="AG678">
        <v>71</v>
      </c>
      <c r="AH678">
        <v>31</v>
      </c>
      <c r="AI678">
        <v>32</v>
      </c>
      <c r="AJ678">
        <v>0</v>
      </c>
      <c r="AK678">
        <v>56</v>
      </c>
      <c r="AL678" t="s">
        <v>6922</v>
      </c>
      <c r="AM678" t="s">
        <v>307</v>
      </c>
      <c r="AN678" t="s">
        <v>6923</v>
      </c>
      <c r="AO678" t="s">
        <v>13063</v>
      </c>
      <c r="AP678" t="s">
        <v>13064</v>
      </c>
      <c r="AQ678" t="s">
        <v>74</v>
      </c>
      <c r="AR678" t="s">
        <v>13065</v>
      </c>
      <c r="AS678" t="s">
        <v>13066</v>
      </c>
      <c r="AT678" t="s">
        <v>13067</v>
      </c>
      <c r="AU678">
        <v>2015</v>
      </c>
      <c r="AV678">
        <v>49</v>
      </c>
      <c r="AW678">
        <v>13</v>
      </c>
      <c r="AX678" t="s">
        <v>74</v>
      </c>
      <c r="AY678" t="s">
        <v>74</v>
      </c>
      <c r="AZ678" t="s">
        <v>74</v>
      </c>
      <c r="BA678" t="s">
        <v>74</v>
      </c>
      <c r="BB678">
        <v>8022</v>
      </c>
      <c r="BC678">
        <v>8032</v>
      </c>
      <c r="BD678" t="s">
        <v>74</v>
      </c>
      <c r="BE678" t="s">
        <v>13068</v>
      </c>
      <c r="BF678" t="str">
        <f>HYPERLINK("http://dx.doi.org/10.1021/acs.est.5b00176","http://dx.doi.org/10.1021/acs.est.5b00176")</f>
        <v>http://dx.doi.org/10.1021/acs.est.5b00176</v>
      </c>
      <c r="BG678" t="s">
        <v>74</v>
      </c>
      <c r="BH678" t="s">
        <v>74</v>
      </c>
      <c r="BI678">
        <v>11</v>
      </c>
      <c r="BJ678" t="s">
        <v>13069</v>
      </c>
      <c r="BK678" t="s">
        <v>101</v>
      </c>
      <c r="BL678" t="s">
        <v>13070</v>
      </c>
      <c r="BM678" t="s">
        <v>13071</v>
      </c>
      <c r="BN678">
        <v>25965896</v>
      </c>
      <c r="BO678" t="s">
        <v>290</v>
      </c>
      <c r="BP678" t="s">
        <v>74</v>
      </c>
      <c r="BQ678" t="s">
        <v>74</v>
      </c>
      <c r="BR678" t="s">
        <v>103</v>
      </c>
      <c r="BS678" t="s">
        <v>13072</v>
      </c>
      <c r="BT678" t="str">
        <f>HYPERLINK("https%3A%2F%2Fwww.webofscience.com%2Fwos%2Fwoscc%2Ffull-record%2FWOS:000357840300064","View Full Record in Web of Science")</f>
        <v>View Full Record in Web of Science</v>
      </c>
    </row>
    <row r="679" spans="1:72" x14ac:dyDescent="0.15">
      <c r="A679" t="s">
        <v>72</v>
      </c>
      <c r="B679" t="s">
        <v>13073</v>
      </c>
      <c r="C679" t="s">
        <v>74</v>
      </c>
      <c r="D679" t="s">
        <v>74</v>
      </c>
      <c r="E679" t="s">
        <v>74</v>
      </c>
      <c r="F679" t="s">
        <v>13074</v>
      </c>
      <c r="G679" t="s">
        <v>74</v>
      </c>
      <c r="H679" t="s">
        <v>74</v>
      </c>
      <c r="I679" t="s">
        <v>13075</v>
      </c>
      <c r="J679" t="s">
        <v>13052</v>
      </c>
      <c r="K679" t="s">
        <v>74</v>
      </c>
      <c r="L679" t="s">
        <v>74</v>
      </c>
      <c r="M679" t="s">
        <v>78</v>
      </c>
      <c r="N679" t="s">
        <v>79</v>
      </c>
      <c r="O679" t="s">
        <v>74</v>
      </c>
      <c r="P679" t="s">
        <v>74</v>
      </c>
      <c r="Q679" t="s">
        <v>74</v>
      </c>
      <c r="R679" t="s">
        <v>74</v>
      </c>
      <c r="S679" t="s">
        <v>74</v>
      </c>
      <c r="T679" t="s">
        <v>74</v>
      </c>
      <c r="U679" t="s">
        <v>13076</v>
      </c>
      <c r="V679" t="s">
        <v>13077</v>
      </c>
      <c r="W679" t="s">
        <v>13078</v>
      </c>
      <c r="X679" t="s">
        <v>13079</v>
      </c>
      <c r="Y679" t="s">
        <v>13080</v>
      </c>
      <c r="Z679" t="s">
        <v>13081</v>
      </c>
      <c r="AA679" t="s">
        <v>13082</v>
      </c>
      <c r="AB679" t="s">
        <v>74</v>
      </c>
      <c r="AC679" t="s">
        <v>13083</v>
      </c>
      <c r="AD679" t="s">
        <v>13084</v>
      </c>
      <c r="AE679" t="s">
        <v>13085</v>
      </c>
      <c r="AF679" t="s">
        <v>74</v>
      </c>
      <c r="AG679">
        <v>115</v>
      </c>
      <c r="AH679">
        <v>43</v>
      </c>
      <c r="AI679">
        <v>50</v>
      </c>
      <c r="AJ679">
        <v>37</v>
      </c>
      <c r="AK679">
        <v>212</v>
      </c>
      <c r="AL679" t="s">
        <v>6922</v>
      </c>
      <c r="AM679" t="s">
        <v>307</v>
      </c>
      <c r="AN679" t="s">
        <v>6923</v>
      </c>
      <c r="AO679" t="s">
        <v>13063</v>
      </c>
      <c r="AP679" t="s">
        <v>13064</v>
      </c>
      <c r="AQ679" t="s">
        <v>74</v>
      </c>
      <c r="AR679" t="s">
        <v>13065</v>
      </c>
      <c r="AS679" t="s">
        <v>13066</v>
      </c>
      <c r="AT679" t="s">
        <v>13067</v>
      </c>
      <c r="AU679">
        <v>2015</v>
      </c>
      <c r="AV679">
        <v>49</v>
      </c>
      <c r="AW679">
        <v>13</v>
      </c>
      <c r="AX679" t="s">
        <v>74</v>
      </c>
      <c r="AY679" t="s">
        <v>74</v>
      </c>
      <c r="AZ679" t="s">
        <v>74</v>
      </c>
      <c r="BA679" t="s">
        <v>74</v>
      </c>
      <c r="BB679">
        <v>7623</v>
      </c>
      <c r="BC679">
        <v>7632</v>
      </c>
      <c r="BD679" t="s">
        <v>74</v>
      </c>
      <c r="BE679" t="s">
        <v>13086</v>
      </c>
      <c r="BF679" t="str">
        <f>HYPERLINK("http://dx.doi.org/10.1021/acs.est.5b00523","http://dx.doi.org/10.1021/acs.est.5b00523")</f>
        <v>http://dx.doi.org/10.1021/acs.est.5b00523</v>
      </c>
      <c r="BG679" t="s">
        <v>74</v>
      </c>
      <c r="BH679" t="s">
        <v>74</v>
      </c>
      <c r="BI679">
        <v>10</v>
      </c>
      <c r="BJ679" t="s">
        <v>13069</v>
      </c>
      <c r="BK679" t="s">
        <v>101</v>
      </c>
      <c r="BL679" t="s">
        <v>13070</v>
      </c>
      <c r="BM679" t="s">
        <v>13071</v>
      </c>
      <c r="BN679">
        <v>26020587</v>
      </c>
      <c r="BO679" t="s">
        <v>74</v>
      </c>
      <c r="BP679" t="s">
        <v>74</v>
      </c>
      <c r="BQ679" t="s">
        <v>74</v>
      </c>
      <c r="BR679" t="s">
        <v>103</v>
      </c>
      <c r="BS679" t="s">
        <v>13087</v>
      </c>
      <c r="BT679" t="str">
        <f>HYPERLINK("https%3A%2F%2Fwww.webofscience.com%2Fwos%2Fwoscc%2Ffull-record%2FWOS:000357840300017","View Full Record in Web of Science")</f>
        <v>View Full Record in Web of Science</v>
      </c>
    </row>
    <row r="680" spans="1:72" x14ac:dyDescent="0.15">
      <c r="A680" t="s">
        <v>72</v>
      </c>
      <c r="B680" t="s">
        <v>13088</v>
      </c>
      <c r="C680" t="s">
        <v>74</v>
      </c>
      <c r="D680" t="s">
        <v>74</v>
      </c>
      <c r="E680" t="s">
        <v>74</v>
      </c>
      <c r="F680" t="s">
        <v>13089</v>
      </c>
      <c r="G680" t="s">
        <v>74</v>
      </c>
      <c r="H680" t="s">
        <v>74</v>
      </c>
      <c r="I680" t="s">
        <v>13090</v>
      </c>
      <c r="J680" t="s">
        <v>13052</v>
      </c>
      <c r="K680" t="s">
        <v>74</v>
      </c>
      <c r="L680" t="s">
        <v>74</v>
      </c>
      <c r="M680" t="s">
        <v>78</v>
      </c>
      <c r="N680" t="s">
        <v>79</v>
      </c>
      <c r="O680" t="s">
        <v>74</v>
      </c>
      <c r="P680" t="s">
        <v>74</v>
      </c>
      <c r="Q680" t="s">
        <v>74</v>
      </c>
      <c r="R680" t="s">
        <v>74</v>
      </c>
      <c r="S680" t="s">
        <v>74</v>
      </c>
      <c r="T680" t="s">
        <v>74</v>
      </c>
      <c r="U680" t="s">
        <v>13091</v>
      </c>
      <c r="V680" t="s">
        <v>13092</v>
      </c>
      <c r="W680" t="s">
        <v>13093</v>
      </c>
      <c r="X680" t="s">
        <v>13094</v>
      </c>
      <c r="Y680" t="s">
        <v>13095</v>
      </c>
      <c r="Z680" t="s">
        <v>13096</v>
      </c>
      <c r="AA680" t="s">
        <v>12832</v>
      </c>
      <c r="AB680" t="s">
        <v>74</v>
      </c>
      <c r="AC680" t="s">
        <v>74</v>
      </c>
      <c r="AD680" t="s">
        <v>74</v>
      </c>
      <c r="AE680" t="s">
        <v>74</v>
      </c>
      <c r="AF680" t="s">
        <v>74</v>
      </c>
      <c r="AG680">
        <v>30</v>
      </c>
      <c r="AH680">
        <v>63</v>
      </c>
      <c r="AI680">
        <v>70</v>
      </c>
      <c r="AJ680">
        <v>25</v>
      </c>
      <c r="AK680">
        <v>191</v>
      </c>
      <c r="AL680" t="s">
        <v>6922</v>
      </c>
      <c r="AM680" t="s">
        <v>307</v>
      </c>
      <c r="AN680" t="s">
        <v>6923</v>
      </c>
      <c r="AO680" t="s">
        <v>13063</v>
      </c>
      <c r="AP680" t="s">
        <v>13064</v>
      </c>
      <c r="AQ680" t="s">
        <v>74</v>
      </c>
      <c r="AR680" t="s">
        <v>13065</v>
      </c>
      <c r="AS680" t="s">
        <v>13066</v>
      </c>
      <c r="AT680" t="s">
        <v>13067</v>
      </c>
      <c r="AU680">
        <v>2015</v>
      </c>
      <c r="AV680">
        <v>49</v>
      </c>
      <c r="AW680">
        <v>13</v>
      </c>
      <c r="AX680" t="s">
        <v>74</v>
      </c>
      <c r="AY680" t="s">
        <v>74</v>
      </c>
      <c r="AZ680" t="s">
        <v>74</v>
      </c>
      <c r="BA680" t="s">
        <v>74</v>
      </c>
      <c r="BB680">
        <v>7770</v>
      </c>
      <c r="BC680">
        <v>7775</v>
      </c>
      <c r="BD680" t="s">
        <v>74</v>
      </c>
      <c r="BE680" t="s">
        <v>13097</v>
      </c>
      <c r="BF680" t="str">
        <f>HYPERLINK("http://dx.doi.org/10.1021/acs.est.5b00920","http://dx.doi.org/10.1021/acs.est.5b00920")</f>
        <v>http://dx.doi.org/10.1021/acs.est.5b00920</v>
      </c>
      <c r="BG680" t="s">
        <v>74</v>
      </c>
      <c r="BH680" t="s">
        <v>74</v>
      </c>
      <c r="BI680">
        <v>6</v>
      </c>
      <c r="BJ680" t="s">
        <v>13069</v>
      </c>
      <c r="BK680" t="s">
        <v>101</v>
      </c>
      <c r="BL680" t="s">
        <v>13070</v>
      </c>
      <c r="BM680" t="s">
        <v>13071</v>
      </c>
      <c r="BN680">
        <v>26052844</v>
      </c>
      <c r="BO680" t="s">
        <v>74</v>
      </c>
      <c r="BP680" t="s">
        <v>74</v>
      </c>
      <c r="BQ680" t="s">
        <v>74</v>
      </c>
      <c r="BR680" t="s">
        <v>103</v>
      </c>
      <c r="BS680" t="s">
        <v>13098</v>
      </c>
      <c r="BT680" t="str">
        <f>HYPERLINK("https%3A%2F%2Fwww.webofscience.com%2Fwos%2Fwoscc%2Ffull-record%2FWOS:000357840300034","View Full Record in Web of Science")</f>
        <v>View Full Record in Web of Science</v>
      </c>
    </row>
    <row r="681" spans="1:72" x14ac:dyDescent="0.15">
      <c r="A681" t="s">
        <v>72</v>
      </c>
      <c r="B681" t="s">
        <v>13099</v>
      </c>
      <c r="C681" t="s">
        <v>74</v>
      </c>
      <c r="D681" t="s">
        <v>74</v>
      </c>
      <c r="E681" t="s">
        <v>74</v>
      </c>
      <c r="F681" t="s">
        <v>13100</v>
      </c>
      <c r="G681" t="s">
        <v>74</v>
      </c>
      <c r="H681" t="s">
        <v>74</v>
      </c>
      <c r="I681" t="s">
        <v>13101</v>
      </c>
      <c r="J681" t="s">
        <v>6148</v>
      </c>
      <c r="K681" t="s">
        <v>74</v>
      </c>
      <c r="L681" t="s">
        <v>74</v>
      </c>
      <c r="M681" t="s">
        <v>78</v>
      </c>
      <c r="N681" t="s">
        <v>79</v>
      </c>
      <c r="O681" t="s">
        <v>74</v>
      </c>
      <c r="P681" t="s">
        <v>74</v>
      </c>
      <c r="Q681" t="s">
        <v>74</v>
      </c>
      <c r="R681" t="s">
        <v>74</v>
      </c>
      <c r="S681" t="s">
        <v>74</v>
      </c>
      <c r="T681" t="s">
        <v>13102</v>
      </c>
      <c r="U681" t="s">
        <v>13103</v>
      </c>
      <c r="V681" t="s">
        <v>13104</v>
      </c>
      <c r="W681" t="s">
        <v>13105</v>
      </c>
      <c r="X681" t="s">
        <v>13106</v>
      </c>
      <c r="Y681" t="s">
        <v>13107</v>
      </c>
      <c r="Z681" t="s">
        <v>13108</v>
      </c>
      <c r="AA681" t="s">
        <v>74</v>
      </c>
      <c r="AB681" t="s">
        <v>74</v>
      </c>
      <c r="AC681" t="s">
        <v>13109</v>
      </c>
      <c r="AD681" t="s">
        <v>13110</v>
      </c>
      <c r="AE681" t="s">
        <v>13111</v>
      </c>
      <c r="AF681" t="s">
        <v>74</v>
      </c>
      <c r="AG681">
        <v>51</v>
      </c>
      <c r="AH681">
        <v>4</v>
      </c>
      <c r="AI681">
        <v>4</v>
      </c>
      <c r="AJ681">
        <v>1</v>
      </c>
      <c r="AK681">
        <v>43</v>
      </c>
      <c r="AL681" t="s">
        <v>1474</v>
      </c>
      <c r="AM681" t="s">
        <v>1475</v>
      </c>
      <c r="AN681" t="s">
        <v>1476</v>
      </c>
      <c r="AO681" t="s">
        <v>6161</v>
      </c>
      <c r="AP681" t="s">
        <v>6162</v>
      </c>
      <c r="AQ681" t="s">
        <v>74</v>
      </c>
      <c r="AR681" t="s">
        <v>6163</v>
      </c>
      <c r="AS681" t="s">
        <v>6164</v>
      </c>
      <c r="AT681" t="s">
        <v>13112</v>
      </c>
      <c r="AU681">
        <v>2015</v>
      </c>
      <c r="AV681">
        <v>19</v>
      </c>
      <c r="AW681">
        <v>4</v>
      </c>
      <c r="AX681" t="s">
        <v>74</v>
      </c>
      <c r="AY681" t="s">
        <v>74</v>
      </c>
      <c r="AZ681" t="s">
        <v>74</v>
      </c>
      <c r="BA681" t="s">
        <v>74</v>
      </c>
      <c r="BB681">
        <v>274</v>
      </c>
      <c r="BC681">
        <v>281</v>
      </c>
      <c r="BD681" t="s">
        <v>74</v>
      </c>
      <c r="BE681" t="s">
        <v>13113</v>
      </c>
      <c r="BF681" t="str">
        <f>HYPERLINK("http://dx.doi.org/10.1080/19768354.2015.1074107","http://dx.doi.org/10.1080/19768354.2015.1074107")</f>
        <v>http://dx.doi.org/10.1080/19768354.2015.1074107</v>
      </c>
      <c r="BG681" t="s">
        <v>74</v>
      </c>
      <c r="BH681" t="s">
        <v>74</v>
      </c>
      <c r="BI681">
        <v>8</v>
      </c>
      <c r="BJ681" t="s">
        <v>6166</v>
      </c>
      <c r="BK681" t="s">
        <v>101</v>
      </c>
      <c r="BL681" t="s">
        <v>6166</v>
      </c>
      <c r="BM681" t="s">
        <v>13114</v>
      </c>
      <c r="BN681" t="s">
        <v>74</v>
      </c>
      <c r="BO681" t="s">
        <v>162</v>
      </c>
      <c r="BP681" t="s">
        <v>74</v>
      </c>
      <c r="BQ681" t="s">
        <v>74</v>
      </c>
      <c r="BR681" t="s">
        <v>103</v>
      </c>
      <c r="BS681" t="s">
        <v>13115</v>
      </c>
      <c r="BT681" t="str">
        <f>HYPERLINK("https%3A%2F%2Fwww.webofscience.com%2Fwos%2Fwoscc%2Ffull-record%2FWOS:000360224200007","View Full Record in Web of Science")</f>
        <v>View Full Record in Web of Science</v>
      </c>
    </row>
    <row r="682" spans="1:72" x14ac:dyDescent="0.15">
      <c r="A682" t="s">
        <v>72</v>
      </c>
      <c r="B682" t="s">
        <v>13116</v>
      </c>
      <c r="C682" t="s">
        <v>74</v>
      </c>
      <c r="D682" t="s">
        <v>74</v>
      </c>
      <c r="E682" t="s">
        <v>74</v>
      </c>
      <c r="F682" t="s">
        <v>13117</v>
      </c>
      <c r="G682" t="s">
        <v>74</v>
      </c>
      <c r="H682" t="s">
        <v>74</v>
      </c>
      <c r="I682" t="s">
        <v>13118</v>
      </c>
      <c r="J682" t="s">
        <v>13119</v>
      </c>
      <c r="K682" t="s">
        <v>74</v>
      </c>
      <c r="L682" t="s">
        <v>74</v>
      </c>
      <c r="M682" t="s">
        <v>78</v>
      </c>
      <c r="N682" t="s">
        <v>79</v>
      </c>
      <c r="O682" t="s">
        <v>74</v>
      </c>
      <c r="P682" t="s">
        <v>74</v>
      </c>
      <c r="Q682" t="s">
        <v>74</v>
      </c>
      <c r="R682" t="s">
        <v>74</v>
      </c>
      <c r="S682" t="s">
        <v>74</v>
      </c>
      <c r="T682" t="s">
        <v>13120</v>
      </c>
      <c r="U682" t="s">
        <v>13121</v>
      </c>
      <c r="V682" t="s">
        <v>13122</v>
      </c>
      <c r="W682" t="s">
        <v>13123</v>
      </c>
      <c r="X682" t="s">
        <v>13124</v>
      </c>
      <c r="Y682" t="s">
        <v>13125</v>
      </c>
      <c r="Z682" t="s">
        <v>13126</v>
      </c>
      <c r="AA682" t="s">
        <v>74</v>
      </c>
      <c r="AB682" t="s">
        <v>74</v>
      </c>
      <c r="AC682" t="s">
        <v>13127</v>
      </c>
      <c r="AD682" t="s">
        <v>13128</v>
      </c>
      <c r="AE682" t="s">
        <v>13129</v>
      </c>
      <c r="AF682" t="s">
        <v>74</v>
      </c>
      <c r="AG682">
        <v>48</v>
      </c>
      <c r="AH682">
        <v>16</v>
      </c>
      <c r="AI682">
        <v>18</v>
      </c>
      <c r="AJ682">
        <v>0</v>
      </c>
      <c r="AK682">
        <v>35</v>
      </c>
      <c r="AL682" t="s">
        <v>1474</v>
      </c>
      <c r="AM682" t="s">
        <v>1475</v>
      </c>
      <c r="AN682" t="s">
        <v>2106</v>
      </c>
      <c r="AO682" t="s">
        <v>13130</v>
      </c>
      <c r="AP682" t="s">
        <v>13131</v>
      </c>
      <c r="AQ682" t="s">
        <v>74</v>
      </c>
      <c r="AR682" t="s">
        <v>13132</v>
      </c>
      <c r="AS682" t="s">
        <v>13133</v>
      </c>
      <c r="AT682" t="s">
        <v>13112</v>
      </c>
      <c r="AU682">
        <v>2015</v>
      </c>
      <c r="AV682">
        <v>27</v>
      </c>
      <c r="AW682">
        <v>5</v>
      </c>
      <c r="AX682" t="s">
        <v>74</v>
      </c>
      <c r="AY682" t="s">
        <v>74</v>
      </c>
      <c r="AZ682" t="s">
        <v>74</v>
      </c>
      <c r="BA682" t="s">
        <v>74</v>
      </c>
      <c r="BB682">
        <v>549</v>
      </c>
      <c r="BC682">
        <v>557</v>
      </c>
      <c r="BD682" t="s">
        <v>74</v>
      </c>
      <c r="BE682" t="s">
        <v>13134</v>
      </c>
      <c r="BF682" t="str">
        <f>HYPERLINK("http://dx.doi.org/10.1080/08912963.2014.896907","http://dx.doi.org/10.1080/08912963.2014.896907")</f>
        <v>http://dx.doi.org/10.1080/08912963.2014.896907</v>
      </c>
      <c r="BG682" t="s">
        <v>74</v>
      </c>
      <c r="BH682" t="s">
        <v>74</v>
      </c>
      <c r="BI682">
        <v>9</v>
      </c>
      <c r="BJ682" t="s">
        <v>13135</v>
      </c>
      <c r="BK682" t="s">
        <v>101</v>
      </c>
      <c r="BL682" t="s">
        <v>13136</v>
      </c>
      <c r="BM682" t="s">
        <v>13137</v>
      </c>
      <c r="BN682" t="s">
        <v>74</v>
      </c>
      <c r="BO682" t="s">
        <v>1213</v>
      </c>
      <c r="BP682" t="s">
        <v>74</v>
      </c>
      <c r="BQ682" t="s">
        <v>74</v>
      </c>
      <c r="BR682" t="s">
        <v>103</v>
      </c>
      <c r="BS682" t="s">
        <v>13138</v>
      </c>
      <c r="BT682" t="str">
        <f>HYPERLINK("https%3A%2F%2Fwww.webofscience.com%2Fwos%2Fwoscc%2Ffull-record%2FWOS:000350109700006","View Full Record in Web of Science")</f>
        <v>View Full Record in Web of Science</v>
      </c>
    </row>
    <row r="683" spans="1:72" x14ac:dyDescent="0.15">
      <c r="A683" t="s">
        <v>72</v>
      </c>
      <c r="B683" t="s">
        <v>13139</v>
      </c>
      <c r="C683" t="s">
        <v>74</v>
      </c>
      <c r="D683" t="s">
        <v>74</v>
      </c>
      <c r="E683" t="s">
        <v>74</v>
      </c>
      <c r="F683" t="s">
        <v>13140</v>
      </c>
      <c r="G683" t="s">
        <v>74</v>
      </c>
      <c r="H683" t="s">
        <v>74</v>
      </c>
      <c r="I683" t="s">
        <v>13141</v>
      </c>
      <c r="J683" t="s">
        <v>13142</v>
      </c>
      <c r="K683" t="s">
        <v>74</v>
      </c>
      <c r="L683" t="s">
        <v>74</v>
      </c>
      <c r="M683" t="s">
        <v>78</v>
      </c>
      <c r="N683" t="s">
        <v>79</v>
      </c>
      <c r="O683" t="s">
        <v>74</v>
      </c>
      <c r="P683" t="s">
        <v>74</v>
      </c>
      <c r="Q683" t="s">
        <v>74</v>
      </c>
      <c r="R683" t="s">
        <v>74</v>
      </c>
      <c r="S683" t="s">
        <v>74</v>
      </c>
      <c r="T683" t="s">
        <v>13143</v>
      </c>
      <c r="U683" t="s">
        <v>13144</v>
      </c>
      <c r="V683" t="s">
        <v>13145</v>
      </c>
      <c r="W683" t="s">
        <v>13146</v>
      </c>
      <c r="X683" t="s">
        <v>13147</v>
      </c>
      <c r="Y683" t="s">
        <v>13148</v>
      </c>
      <c r="Z683" t="s">
        <v>13149</v>
      </c>
      <c r="AA683" t="s">
        <v>6857</v>
      </c>
      <c r="AB683" t="s">
        <v>13150</v>
      </c>
      <c r="AC683" t="s">
        <v>13151</v>
      </c>
      <c r="AD683" t="s">
        <v>13152</v>
      </c>
      <c r="AE683" t="s">
        <v>13153</v>
      </c>
      <c r="AF683" t="s">
        <v>74</v>
      </c>
      <c r="AG683">
        <v>37</v>
      </c>
      <c r="AH683">
        <v>12</v>
      </c>
      <c r="AI683">
        <v>12</v>
      </c>
      <c r="AJ683">
        <v>0</v>
      </c>
      <c r="AK683">
        <v>3</v>
      </c>
      <c r="AL683" t="s">
        <v>1474</v>
      </c>
      <c r="AM683" t="s">
        <v>1475</v>
      </c>
      <c r="AN683" t="s">
        <v>1476</v>
      </c>
      <c r="AO683" t="s">
        <v>13154</v>
      </c>
      <c r="AP683" t="s">
        <v>13155</v>
      </c>
      <c r="AQ683" t="s">
        <v>74</v>
      </c>
      <c r="AR683" t="s">
        <v>13156</v>
      </c>
      <c r="AS683" t="s">
        <v>13157</v>
      </c>
      <c r="AT683" t="s">
        <v>13158</v>
      </c>
      <c r="AU683">
        <v>2015</v>
      </c>
      <c r="AV683">
        <v>58</v>
      </c>
      <c r="AW683">
        <v>3</v>
      </c>
      <c r="AX683" t="s">
        <v>74</v>
      </c>
      <c r="AY683" t="s">
        <v>74</v>
      </c>
      <c r="AZ683" t="s">
        <v>74</v>
      </c>
      <c r="BA683" t="s">
        <v>74</v>
      </c>
      <c r="BB683">
        <v>252</v>
      </c>
      <c r="BC683">
        <v>261</v>
      </c>
      <c r="BD683" t="s">
        <v>74</v>
      </c>
      <c r="BE683" t="s">
        <v>13159</v>
      </c>
      <c r="BF683" t="str">
        <f>HYPERLINK("http://dx.doi.org/10.1080/00288306.2015.1037775","http://dx.doi.org/10.1080/00288306.2015.1037775")</f>
        <v>http://dx.doi.org/10.1080/00288306.2015.1037775</v>
      </c>
      <c r="BG683" t="s">
        <v>74</v>
      </c>
      <c r="BH683" t="s">
        <v>74</v>
      </c>
      <c r="BI683">
        <v>10</v>
      </c>
      <c r="BJ683" t="s">
        <v>13160</v>
      </c>
      <c r="BK683" t="s">
        <v>101</v>
      </c>
      <c r="BL683" t="s">
        <v>315</v>
      </c>
      <c r="BM683" t="s">
        <v>13161</v>
      </c>
      <c r="BN683" t="s">
        <v>74</v>
      </c>
      <c r="BO683" t="s">
        <v>4189</v>
      </c>
      <c r="BP683" t="s">
        <v>74</v>
      </c>
      <c r="BQ683" t="s">
        <v>74</v>
      </c>
      <c r="BR683" t="s">
        <v>103</v>
      </c>
      <c r="BS683" t="s">
        <v>13162</v>
      </c>
      <c r="BT683" t="str">
        <f>HYPERLINK("https%3A%2F%2Fwww.webofscience.com%2Fwos%2Fwoscc%2Ffull-record%2FWOS:000363322000004","View Full Record in Web of Science")</f>
        <v>View Full Record in Web of Science</v>
      </c>
    </row>
    <row r="684" spans="1:72" x14ac:dyDescent="0.15">
      <c r="A684" t="s">
        <v>72</v>
      </c>
      <c r="B684" t="s">
        <v>13163</v>
      </c>
      <c r="C684" t="s">
        <v>74</v>
      </c>
      <c r="D684" t="s">
        <v>74</v>
      </c>
      <c r="E684" t="s">
        <v>74</v>
      </c>
      <c r="F684" t="s">
        <v>13164</v>
      </c>
      <c r="G684" t="s">
        <v>74</v>
      </c>
      <c r="H684" t="s">
        <v>74</v>
      </c>
      <c r="I684" t="s">
        <v>13165</v>
      </c>
      <c r="J684" t="s">
        <v>13166</v>
      </c>
      <c r="K684" t="s">
        <v>74</v>
      </c>
      <c r="L684" t="s">
        <v>74</v>
      </c>
      <c r="M684" t="s">
        <v>78</v>
      </c>
      <c r="N684" t="s">
        <v>79</v>
      </c>
      <c r="O684" t="s">
        <v>74</v>
      </c>
      <c r="P684" t="s">
        <v>74</v>
      </c>
      <c r="Q684" t="s">
        <v>74</v>
      </c>
      <c r="R684" t="s">
        <v>74</v>
      </c>
      <c r="S684" t="s">
        <v>74</v>
      </c>
      <c r="T684" t="s">
        <v>13167</v>
      </c>
      <c r="U684" t="s">
        <v>13168</v>
      </c>
      <c r="V684" t="s">
        <v>13169</v>
      </c>
      <c r="W684" t="s">
        <v>13170</v>
      </c>
      <c r="X684" t="s">
        <v>13171</v>
      </c>
      <c r="Y684" t="s">
        <v>13172</v>
      </c>
      <c r="Z684" t="s">
        <v>13173</v>
      </c>
      <c r="AA684" t="s">
        <v>74</v>
      </c>
      <c r="AB684" t="s">
        <v>74</v>
      </c>
      <c r="AC684" t="s">
        <v>74</v>
      </c>
      <c r="AD684" t="s">
        <v>74</v>
      </c>
      <c r="AE684" t="s">
        <v>74</v>
      </c>
      <c r="AF684" t="s">
        <v>74</v>
      </c>
      <c r="AG684">
        <v>17</v>
      </c>
      <c r="AH684">
        <v>8</v>
      </c>
      <c r="AI684">
        <v>8</v>
      </c>
      <c r="AJ684">
        <v>0</v>
      </c>
      <c r="AK684">
        <v>0</v>
      </c>
      <c r="AL684" t="s">
        <v>1474</v>
      </c>
      <c r="AM684" t="s">
        <v>1475</v>
      </c>
      <c r="AN684" t="s">
        <v>1476</v>
      </c>
      <c r="AO684" t="s">
        <v>13174</v>
      </c>
      <c r="AP684" t="s">
        <v>13175</v>
      </c>
      <c r="AQ684" t="s">
        <v>74</v>
      </c>
      <c r="AR684" t="s">
        <v>13176</v>
      </c>
      <c r="AS684" t="s">
        <v>13177</v>
      </c>
      <c r="AT684" t="s">
        <v>13158</v>
      </c>
      <c r="AU684">
        <v>2015</v>
      </c>
      <c r="AV684">
        <v>38</v>
      </c>
      <c r="AW684">
        <v>2</v>
      </c>
      <c r="AX684" t="s">
        <v>74</v>
      </c>
      <c r="AY684" t="s">
        <v>74</v>
      </c>
      <c r="AZ684" t="s">
        <v>74</v>
      </c>
      <c r="BA684" t="s">
        <v>74</v>
      </c>
      <c r="BB684">
        <v>134</v>
      </c>
      <c r="BC684">
        <v>141</v>
      </c>
      <c r="BD684" t="s">
        <v>74</v>
      </c>
      <c r="BE684" t="s">
        <v>13178</v>
      </c>
      <c r="BF684" t="str">
        <f>HYPERLINK("http://dx.doi.org/10.1080/00779962.2015.1033810","http://dx.doi.org/10.1080/00779962.2015.1033810")</f>
        <v>http://dx.doi.org/10.1080/00779962.2015.1033810</v>
      </c>
      <c r="BG684" t="s">
        <v>74</v>
      </c>
      <c r="BH684" t="s">
        <v>74</v>
      </c>
      <c r="BI684">
        <v>8</v>
      </c>
      <c r="BJ684" t="s">
        <v>2065</v>
      </c>
      <c r="BK684" t="s">
        <v>101</v>
      </c>
      <c r="BL684" t="s">
        <v>2065</v>
      </c>
      <c r="BM684" t="s">
        <v>13179</v>
      </c>
      <c r="BN684" t="s">
        <v>74</v>
      </c>
      <c r="BO684" t="s">
        <v>74</v>
      </c>
      <c r="BP684" t="s">
        <v>74</v>
      </c>
      <c r="BQ684" t="s">
        <v>74</v>
      </c>
      <c r="BR684" t="s">
        <v>103</v>
      </c>
      <c r="BS684" t="s">
        <v>13180</v>
      </c>
      <c r="BT684" t="str">
        <f>HYPERLINK("https%3A%2F%2Fwww.webofscience.com%2Fwos%2Fwoscc%2Ffull-record%2FWOS:000359767800005","View Full Record in Web of Science")</f>
        <v>View Full Record in Web of Science</v>
      </c>
    </row>
    <row r="685" spans="1:72" x14ac:dyDescent="0.15">
      <c r="A685" t="s">
        <v>72</v>
      </c>
      <c r="B685" t="s">
        <v>13181</v>
      </c>
      <c r="C685" t="s">
        <v>74</v>
      </c>
      <c r="D685" t="s">
        <v>74</v>
      </c>
      <c r="E685" t="s">
        <v>74</v>
      </c>
      <c r="F685" t="s">
        <v>13182</v>
      </c>
      <c r="G685" t="s">
        <v>74</v>
      </c>
      <c r="H685" t="s">
        <v>74</v>
      </c>
      <c r="I685" t="s">
        <v>13183</v>
      </c>
      <c r="J685" t="s">
        <v>13184</v>
      </c>
      <c r="K685" t="s">
        <v>74</v>
      </c>
      <c r="L685" t="s">
        <v>74</v>
      </c>
      <c r="M685" t="s">
        <v>78</v>
      </c>
      <c r="N685" t="s">
        <v>2317</v>
      </c>
      <c r="O685" t="s">
        <v>74</v>
      </c>
      <c r="P685" t="s">
        <v>74</v>
      </c>
      <c r="Q685" t="s">
        <v>74</v>
      </c>
      <c r="R685" t="s">
        <v>74</v>
      </c>
      <c r="S685" t="s">
        <v>74</v>
      </c>
      <c r="T685" t="s">
        <v>74</v>
      </c>
      <c r="U685" t="s">
        <v>74</v>
      </c>
      <c r="V685" t="s">
        <v>74</v>
      </c>
      <c r="W685" t="s">
        <v>74</v>
      </c>
      <c r="X685" t="s">
        <v>74</v>
      </c>
      <c r="Y685" t="s">
        <v>74</v>
      </c>
      <c r="Z685" t="s">
        <v>13185</v>
      </c>
      <c r="AA685" t="s">
        <v>74</v>
      </c>
      <c r="AB685" t="s">
        <v>74</v>
      </c>
      <c r="AC685" t="s">
        <v>74</v>
      </c>
      <c r="AD685" t="s">
        <v>74</v>
      </c>
      <c r="AE685" t="s">
        <v>74</v>
      </c>
      <c r="AF685" t="s">
        <v>74</v>
      </c>
      <c r="AG685">
        <v>1</v>
      </c>
      <c r="AH685">
        <v>2</v>
      </c>
      <c r="AI685">
        <v>2</v>
      </c>
      <c r="AJ685">
        <v>0</v>
      </c>
      <c r="AK685">
        <v>6</v>
      </c>
      <c r="AL685" t="s">
        <v>1474</v>
      </c>
      <c r="AM685" t="s">
        <v>1475</v>
      </c>
      <c r="AN685" t="s">
        <v>2106</v>
      </c>
      <c r="AO685" t="s">
        <v>13186</v>
      </c>
      <c r="AP685" t="s">
        <v>13187</v>
      </c>
      <c r="AQ685" t="s">
        <v>74</v>
      </c>
      <c r="AR685" t="s">
        <v>13188</v>
      </c>
      <c r="AS685" t="s">
        <v>13189</v>
      </c>
      <c r="AT685" t="s">
        <v>13158</v>
      </c>
      <c r="AU685">
        <v>2015</v>
      </c>
      <c r="AV685">
        <v>27</v>
      </c>
      <c r="AW685">
        <v>3</v>
      </c>
      <c r="AX685" t="s">
        <v>74</v>
      </c>
      <c r="AY685" t="s">
        <v>74</v>
      </c>
      <c r="AZ685" t="s">
        <v>74</v>
      </c>
      <c r="BA685" t="s">
        <v>74</v>
      </c>
      <c r="BB685">
        <v>335</v>
      </c>
      <c r="BC685">
        <v>344</v>
      </c>
      <c r="BD685" t="s">
        <v>74</v>
      </c>
      <c r="BE685" t="s">
        <v>13190</v>
      </c>
      <c r="BF685" t="str">
        <f>HYPERLINK("http://dx.doi.org/10.1080/03949370.2015.1046717","http://dx.doi.org/10.1080/03949370.2015.1046717")</f>
        <v>http://dx.doi.org/10.1080/03949370.2015.1046717</v>
      </c>
      <c r="BG685" t="s">
        <v>74</v>
      </c>
      <c r="BH685" t="s">
        <v>74</v>
      </c>
      <c r="BI685">
        <v>10</v>
      </c>
      <c r="BJ685" t="s">
        <v>3626</v>
      </c>
      <c r="BK685" t="s">
        <v>101</v>
      </c>
      <c r="BL685" t="s">
        <v>3626</v>
      </c>
      <c r="BM685" t="s">
        <v>13191</v>
      </c>
      <c r="BN685" t="s">
        <v>74</v>
      </c>
      <c r="BO685" t="s">
        <v>74</v>
      </c>
      <c r="BP685" t="s">
        <v>74</v>
      </c>
      <c r="BQ685" t="s">
        <v>74</v>
      </c>
      <c r="BR685" t="s">
        <v>103</v>
      </c>
      <c r="BS685" t="s">
        <v>13192</v>
      </c>
      <c r="BT685" t="str">
        <f>HYPERLINK("https%3A%2F%2Fwww.webofscience.com%2Fwos%2Fwoscc%2Ffull-record%2FWOS:000355406000007","View Full Record in Web of Science")</f>
        <v>View Full Record in Web of Science</v>
      </c>
    </row>
    <row r="686" spans="1:72" x14ac:dyDescent="0.15">
      <c r="A686" t="s">
        <v>72</v>
      </c>
      <c r="B686" t="s">
        <v>13193</v>
      </c>
      <c r="C686" t="s">
        <v>74</v>
      </c>
      <c r="D686" t="s">
        <v>74</v>
      </c>
      <c r="E686" t="s">
        <v>74</v>
      </c>
      <c r="F686" t="s">
        <v>13194</v>
      </c>
      <c r="G686" t="s">
        <v>74</v>
      </c>
      <c r="H686" t="s">
        <v>74</v>
      </c>
      <c r="I686" t="s">
        <v>13195</v>
      </c>
      <c r="J686" t="s">
        <v>13196</v>
      </c>
      <c r="K686" t="s">
        <v>74</v>
      </c>
      <c r="L686" t="s">
        <v>74</v>
      </c>
      <c r="M686" t="s">
        <v>78</v>
      </c>
      <c r="N686" t="s">
        <v>79</v>
      </c>
      <c r="O686" t="s">
        <v>74</v>
      </c>
      <c r="P686" t="s">
        <v>74</v>
      </c>
      <c r="Q686" t="s">
        <v>74</v>
      </c>
      <c r="R686" t="s">
        <v>74</v>
      </c>
      <c r="S686" t="s">
        <v>74</v>
      </c>
      <c r="T686" t="s">
        <v>13197</v>
      </c>
      <c r="U686" t="s">
        <v>13198</v>
      </c>
      <c r="V686" t="s">
        <v>13199</v>
      </c>
      <c r="W686" t="s">
        <v>13200</v>
      </c>
      <c r="X686" t="s">
        <v>13201</v>
      </c>
      <c r="Y686" t="s">
        <v>13202</v>
      </c>
      <c r="Z686" t="s">
        <v>13203</v>
      </c>
      <c r="AA686" t="s">
        <v>13204</v>
      </c>
      <c r="AB686" t="s">
        <v>13205</v>
      </c>
      <c r="AC686" t="s">
        <v>74</v>
      </c>
      <c r="AD686" t="s">
        <v>74</v>
      </c>
      <c r="AE686" t="s">
        <v>74</v>
      </c>
      <c r="AF686" t="s">
        <v>74</v>
      </c>
      <c r="AG686">
        <v>85</v>
      </c>
      <c r="AH686">
        <v>0</v>
      </c>
      <c r="AI686">
        <v>1</v>
      </c>
      <c r="AJ686">
        <v>0</v>
      </c>
      <c r="AK686">
        <v>65</v>
      </c>
      <c r="AL686" t="s">
        <v>2056</v>
      </c>
      <c r="AM686" t="s">
        <v>2057</v>
      </c>
      <c r="AN686" t="s">
        <v>2058</v>
      </c>
      <c r="AO686" t="s">
        <v>13206</v>
      </c>
      <c r="AP686" t="s">
        <v>13207</v>
      </c>
      <c r="AQ686" t="s">
        <v>74</v>
      </c>
      <c r="AR686" t="s">
        <v>13208</v>
      </c>
      <c r="AS686" t="s">
        <v>13209</v>
      </c>
      <c r="AT686" t="s">
        <v>13158</v>
      </c>
      <c r="AU686">
        <v>2015</v>
      </c>
      <c r="AV686">
        <v>33</v>
      </c>
      <c r="AW686">
        <v>7</v>
      </c>
      <c r="AX686" t="s">
        <v>74</v>
      </c>
      <c r="AY686" t="s">
        <v>74</v>
      </c>
      <c r="AZ686" t="s">
        <v>74</v>
      </c>
      <c r="BA686" t="s">
        <v>74</v>
      </c>
      <c r="BB686">
        <v>1424</v>
      </c>
      <c r="BC686">
        <v>1441</v>
      </c>
      <c r="BD686" t="s">
        <v>74</v>
      </c>
      <c r="BE686" t="s">
        <v>13210</v>
      </c>
      <c r="BF686" t="str">
        <f>HYPERLINK("http://dx.doi.org/10.1080/07391102.2014.952665","http://dx.doi.org/10.1080/07391102.2014.952665")</f>
        <v>http://dx.doi.org/10.1080/07391102.2014.952665</v>
      </c>
      <c r="BG686" t="s">
        <v>74</v>
      </c>
      <c r="BH686" t="s">
        <v>74</v>
      </c>
      <c r="BI686">
        <v>18</v>
      </c>
      <c r="BJ686" t="s">
        <v>5903</v>
      </c>
      <c r="BK686" t="s">
        <v>101</v>
      </c>
      <c r="BL686" t="s">
        <v>5903</v>
      </c>
      <c r="BM686" t="s">
        <v>13211</v>
      </c>
      <c r="BN686">
        <v>25190099</v>
      </c>
      <c r="BO686" t="s">
        <v>74</v>
      </c>
      <c r="BP686" t="s">
        <v>74</v>
      </c>
      <c r="BQ686" t="s">
        <v>74</v>
      </c>
      <c r="BR686" t="s">
        <v>103</v>
      </c>
      <c r="BS686" t="s">
        <v>13212</v>
      </c>
      <c r="BT686" t="str">
        <f>HYPERLINK("https%3A%2F%2Fwww.webofscience.com%2Fwos%2Fwoscc%2Ffull-record%2FWOS:000353720700004","View Full Record in Web of Science")</f>
        <v>View Full Record in Web of Science</v>
      </c>
    </row>
    <row r="687" spans="1:72" x14ac:dyDescent="0.15">
      <c r="A687" t="s">
        <v>72</v>
      </c>
      <c r="B687" t="s">
        <v>13213</v>
      </c>
      <c r="C687" t="s">
        <v>74</v>
      </c>
      <c r="D687" t="s">
        <v>74</v>
      </c>
      <c r="E687" t="s">
        <v>74</v>
      </c>
      <c r="F687" t="s">
        <v>13214</v>
      </c>
      <c r="G687" t="s">
        <v>74</v>
      </c>
      <c r="H687" t="s">
        <v>74</v>
      </c>
      <c r="I687" t="s">
        <v>13215</v>
      </c>
      <c r="J687" t="s">
        <v>1287</v>
      </c>
      <c r="K687" t="s">
        <v>74</v>
      </c>
      <c r="L687" t="s">
        <v>74</v>
      </c>
      <c r="M687" t="s">
        <v>78</v>
      </c>
      <c r="N687" t="s">
        <v>2551</v>
      </c>
      <c r="O687" t="s">
        <v>74</v>
      </c>
      <c r="P687" t="s">
        <v>74</v>
      </c>
      <c r="Q687" t="s">
        <v>74</v>
      </c>
      <c r="R687" t="s">
        <v>74</v>
      </c>
      <c r="S687" t="s">
        <v>74</v>
      </c>
      <c r="T687" t="s">
        <v>74</v>
      </c>
      <c r="U687" t="s">
        <v>74</v>
      </c>
      <c r="V687" t="s">
        <v>74</v>
      </c>
      <c r="W687" t="s">
        <v>13216</v>
      </c>
      <c r="X687" t="s">
        <v>13217</v>
      </c>
      <c r="Y687" t="s">
        <v>13218</v>
      </c>
      <c r="Z687" t="s">
        <v>74</v>
      </c>
      <c r="AA687" t="s">
        <v>13219</v>
      </c>
      <c r="AB687" t="s">
        <v>74</v>
      </c>
      <c r="AC687" t="s">
        <v>74</v>
      </c>
      <c r="AD687" t="s">
        <v>74</v>
      </c>
      <c r="AE687" t="s">
        <v>74</v>
      </c>
      <c r="AF687" t="s">
        <v>74</v>
      </c>
      <c r="AG687">
        <v>1</v>
      </c>
      <c r="AH687">
        <v>7</v>
      </c>
      <c r="AI687">
        <v>7</v>
      </c>
      <c r="AJ687">
        <v>1</v>
      </c>
      <c r="AK687">
        <v>29</v>
      </c>
      <c r="AL687" t="s">
        <v>523</v>
      </c>
      <c r="AM687" t="s">
        <v>524</v>
      </c>
      <c r="AN687" t="s">
        <v>525</v>
      </c>
      <c r="AO687" t="s">
        <v>1299</v>
      </c>
      <c r="AP687" t="s">
        <v>74</v>
      </c>
      <c r="AQ687" t="s">
        <v>74</v>
      </c>
      <c r="AR687" t="s">
        <v>1300</v>
      </c>
      <c r="AS687" t="s">
        <v>1301</v>
      </c>
      <c r="AT687" t="s">
        <v>13220</v>
      </c>
      <c r="AU687">
        <v>2015</v>
      </c>
      <c r="AV687">
        <v>5</v>
      </c>
      <c r="AW687" t="s">
        <v>74</v>
      </c>
      <c r="AX687" t="s">
        <v>74</v>
      </c>
      <c r="AY687" t="s">
        <v>74</v>
      </c>
      <c r="AZ687" t="s">
        <v>74</v>
      </c>
      <c r="BA687" t="s">
        <v>74</v>
      </c>
      <c r="BB687" t="s">
        <v>74</v>
      </c>
      <c r="BC687" t="s">
        <v>74</v>
      </c>
      <c r="BD687">
        <v>10497</v>
      </c>
      <c r="BE687" t="s">
        <v>13221</v>
      </c>
      <c r="BF687" t="str">
        <f>HYPERLINK("http://dx.doi.org/10.1038/srep10497","http://dx.doi.org/10.1038/srep10497")</f>
        <v>http://dx.doi.org/10.1038/srep10497</v>
      </c>
      <c r="BG687" t="s">
        <v>74</v>
      </c>
      <c r="BH687" t="s">
        <v>74</v>
      </c>
      <c r="BI687">
        <v>1</v>
      </c>
      <c r="BJ687" t="s">
        <v>530</v>
      </c>
      <c r="BK687" t="s">
        <v>101</v>
      </c>
      <c r="BL687" t="s">
        <v>531</v>
      </c>
      <c r="BM687" t="s">
        <v>13222</v>
      </c>
      <c r="BN687">
        <v>26135460</v>
      </c>
      <c r="BO687" t="s">
        <v>1304</v>
      </c>
      <c r="BP687" t="s">
        <v>74</v>
      </c>
      <c r="BQ687" t="s">
        <v>74</v>
      </c>
      <c r="BR687" t="s">
        <v>103</v>
      </c>
      <c r="BS687" t="s">
        <v>13223</v>
      </c>
      <c r="BT687" t="str">
        <f>HYPERLINK("https%3A%2F%2Fwww.webofscience.com%2Fwos%2Fwoscc%2Ffull-record%2FWOS:000357264700001","View Full Record in Web of Science")</f>
        <v>View Full Record in Web of Science</v>
      </c>
    </row>
    <row r="688" spans="1:72" x14ac:dyDescent="0.15">
      <c r="A688" t="s">
        <v>72</v>
      </c>
      <c r="B688" t="s">
        <v>13224</v>
      </c>
      <c r="C688" t="s">
        <v>74</v>
      </c>
      <c r="D688" t="s">
        <v>74</v>
      </c>
      <c r="E688" t="s">
        <v>74</v>
      </c>
      <c r="F688" t="s">
        <v>13225</v>
      </c>
      <c r="G688" t="s">
        <v>74</v>
      </c>
      <c r="H688" t="s">
        <v>74</v>
      </c>
      <c r="I688" t="s">
        <v>13226</v>
      </c>
      <c r="J688" t="s">
        <v>1033</v>
      </c>
      <c r="K688" t="s">
        <v>74</v>
      </c>
      <c r="L688" t="s">
        <v>74</v>
      </c>
      <c r="M688" t="s">
        <v>78</v>
      </c>
      <c r="N688" t="s">
        <v>79</v>
      </c>
      <c r="O688" t="s">
        <v>74</v>
      </c>
      <c r="P688" t="s">
        <v>74</v>
      </c>
      <c r="Q688" t="s">
        <v>74</v>
      </c>
      <c r="R688" t="s">
        <v>74</v>
      </c>
      <c r="S688" t="s">
        <v>74</v>
      </c>
      <c r="T688" t="s">
        <v>13227</v>
      </c>
      <c r="U688" t="s">
        <v>13228</v>
      </c>
      <c r="V688" t="s">
        <v>13229</v>
      </c>
      <c r="W688" t="s">
        <v>13230</v>
      </c>
      <c r="X688" t="s">
        <v>13231</v>
      </c>
      <c r="Y688" t="s">
        <v>13232</v>
      </c>
      <c r="Z688" t="s">
        <v>13233</v>
      </c>
      <c r="AA688" t="s">
        <v>13234</v>
      </c>
      <c r="AB688" t="s">
        <v>13235</v>
      </c>
      <c r="AC688" t="s">
        <v>13236</v>
      </c>
      <c r="AD688" t="s">
        <v>13237</v>
      </c>
      <c r="AE688" t="s">
        <v>13238</v>
      </c>
      <c r="AF688" t="s">
        <v>74</v>
      </c>
      <c r="AG688">
        <v>41</v>
      </c>
      <c r="AH688">
        <v>60</v>
      </c>
      <c r="AI688">
        <v>64</v>
      </c>
      <c r="AJ688">
        <v>3</v>
      </c>
      <c r="AK688">
        <v>74</v>
      </c>
      <c r="AL688" t="s">
        <v>1046</v>
      </c>
      <c r="AM688" t="s">
        <v>1047</v>
      </c>
      <c r="AN688" t="s">
        <v>1048</v>
      </c>
      <c r="AO688" t="s">
        <v>1049</v>
      </c>
      <c r="AP688" t="s">
        <v>1050</v>
      </c>
      <c r="AQ688" t="s">
        <v>74</v>
      </c>
      <c r="AR688" t="s">
        <v>1051</v>
      </c>
      <c r="AS688" t="s">
        <v>1052</v>
      </c>
      <c r="AT688" t="s">
        <v>13220</v>
      </c>
      <c r="AU688">
        <v>2015</v>
      </c>
      <c r="AV688">
        <v>531</v>
      </c>
      <c r="AW688" t="s">
        <v>74</v>
      </c>
      <c r="AX688" t="s">
        <v>74</v>
      </c>
      <c r="AY688" t="s">
        <v>74</v>
      </c>
      <c r="AZ688" t="s">
        <v>74</v>
      </c>
      <c r="BA688" t="s">
        <v>74</v>
      </c>
      <c r="BB688">
        <v>81</v>
      </c>
      <c r="BC688">
        <v>90</v>
      </c>
      <c r="BD688" t="s">
        <v>74</v>
      </c>
      <c r="BE688" t="s">
        <v>13239</v>
      </c>
      <c r="BF688" t="str">
        <f>HYPERLINK("http://dx.doi.org/10.3354/meps11309","http://dx.doi.org/10.3354/meps11309")</f>
        <v>http://dx.doi.org/10.3354/meps11309</v>
      </c>
      <c r="BG688" t="s">
        <v>74</v>
      </c>
      <c r="BH688" t="s">
        <v>74</v>
      </c>
      <c r="BI688">
        <v>10</v>
      </c>
      <c r="BJ688" t="s">
        <v>1054</v>
      </c>
      <c r="BK688" t="s">
        <v>101</v>
      </c>
      <c r="BL688" t="s">
        <v>1055</v>
      </c>
      <c r="BM688" t="s">
        <v>13240</v>
      </c>
      <c r="BN688" t="s">
        <v>74</v>
      </c>
      <c r="BO688" t="s">
        <v>162</v>
      </c>
      <c r="BP688" t="s">
        <v>74</v>
      </c>
      <c r="BQ688" t="s">
        <v>74</v>
      </c>
      <c r="BR688" t="s">
        <v>103</v>
      </c>
      <c r="BS688" t="s">
        <v>13241</v>
      </c>
      <c r="BT688" t="str">
        <f>HYPERLINK("https%3A%2F%2Fwww.webofscience.com%2Fwos%2Fwoscc%2Ffull-record%2FWOS:000358445000006","View Full Record in Web of Science")</f>
        <v>View Full Record in Web of Science</v>
      </c>
    </row>
    <row r="689" spans="1:72" x14ac:dyDescent="0.15">
      <c r="A689" t="s">
        <v>72</v>
      </c>
      <c r="B689" t="s">
        <v>13242</v>
      </c>
      <c r="C689" t="s">
        <v>74</v>
      </c>
      <c r="D689" t="s">
        <v>74</v>
      </c>
      <c r="E689" t="s">
        <v>74</v>
      </c>
      <c r="F689" t="s">
        <v>13243</v>
      </c>
      <c r="G689" t="s">
        <v>74</v>
      </c>
      <c r="H689" t="s">
        <v>74</v>
      </c>
      <c r="I689" t="s">
        <v>13244</v>
      </c>
      <c r="J689" t="s">
        <v>2203</v>
      </c>
      <c r="K689" t="s">
        <v>74</v>
      </c>
      <c r="L689" t="s">
        <v>74</v>
      </c>
      <c r="M689" t="s">
        <v>2204</v>
      </c>
      <c r="N689" t="s">
        <v>79</v>
      </c>
      <c r="O689" t="s">
        <v>74</v>
      </c>
      <c r="P689" t="s">
        <v>74</v>
      </c>
      <c r="Q689" t="s">
        <v>74</v>
      </c>
      <c r="R689" t="s">
        <v>74</v>
      </c>
      <c r="S689" t="s">
        <v>74</v>
      </c>
      <c r="T689" t="s">
        <v>74</v>
      </c>
      <c r="U689" t="s">
        <v>74</v>
      </c>
      <c r="V689" t="s">
        <v>74</v>
      </c>
      <c r="W689" t="s">
        <v>13245</v>
      </c>
      <c r="X689" t="s">
        <v>74</v>
      </c>
      <c r="Y689" t="s">
        <v>13246</v>
      </c>
      <c r="Z689" t="s">
        <v>13247</v>
      </c>
      <c r="AA689" t="s">
        <v>74</v>
      </c>
      <c r="AB689" t="s">
        <v>74</v>
      </c>
      <c r="AC689" t="s">
        <v>74</v>
      </c>
      <c r="AD689" t="s">
        <v>74</v>
      </c>
      <c r="AE689" t="s">
        <v>74</v>
      </c>
      <c r="AF689" t="s">
        <v>74</v>
      </c>
      <c r="AG689">
        <v>13</v>
      </c>
      <c r="AH689">
        <v>0</v>
      </c>
      <c r="AI689">
        <v>0</v>
      </c>
      <c r="AJ689">
        <v>0</v>
      </c>
      <c r="AK689">
        <v>3</v>
      </c>
      <c r="AL689" t="s">
        <v>2211</v>
      </c>
      <c r="AM689" t="s">
        <v>2212</v>
      </c>
      <c r="AN689" t="s">
        <v>2213</v>
      </c>
      <c r="AO689" t="s">
        <v>2214</v>
      </c>
      <c r="AP689" t="s">
        <v>74</v>
      </c>
      <c r="AQ689" t="s">
        <v>74</v>
      </c>
      <c r="AR689" t="s">
        <v>2215</v>
      </c>
      <c r="AS689" t="s">
        <v>2216</v>
      </c>
      <c r="AT689" t="s">
        <v>13248</v>
      </c>
      <c r="AU689">
        <v>2015</v>
      </c>
      <c r="AV689">
        <v>6</v>
      </c>
      <c r="AW689">
        <v>3</v>
      </c>
      <c r="AX689" t="s">
        <v>74</v>
      </c>
      <c r="AY689" t="s">
        <v>74</v>
      </c>
      <c r="AZ689" t="s">
        <v>74</v>
      </c>
      <c r="BA689" t="s">
        <v>74</v>
      </c>
      <c r="BB689">
        <v>178</v>
      </c>
      <c r="BC689">
        <v>185</v>
      </c>
      <c r="BD689" t="s">
        <v>74</v>
      </c>
      <c r="BE689" t="s">
        <v>74</v>
      </c>
      <c r="BF689" t="s">
        <v>74</v>
      </c>
      <c r="BG689" t="s">
        <v>74</v>
      </c>
      <c r="BH689" t="s">
        <v>74</v>
      </c>
      <c r="BI689">
        <v>8</v>
      </c>
      <c r="BJ689" t="s">
        <v>2217</v>
      </c>
      <c r="BK689" t="s">
        <v>831</v>
      </c>
      <c r="BL689" t="s">
        <v>2217</v>
      </c>
      <c r="BM689" t="s">
        <v>13249</v>
      </c>
      <c r="BN689" t="s">
        <v>74</v>
      </c>
      <c r="BO689" t="s">
        <v>74</v>
      </c>
      <c r="BP689" t="s">
        <v>74</v>
      </c>
      <c r="BQ689" t="s">
        <v>74</v>
      </c>
      <c r="BR689" t="s">
        <v>103</v>
      </c>
      <c r="BS689" t="s">
        <v>13250</v>
      </c>
      <c r="BT689" t="str">
        <f>HYPERLINK("https%3A%2F%2Fwww.webofscience.com%2Fwos%2Fwoscc%2Ffull-record%2FWOS:000372442700002","View Full Record in Web of Science")</f>
        <v>View Full Record in Web of Science</v>
      </c>
    </row>
    <row r="690" spans="1:72" x14ac:dyDescent="0.15">
      <c r="A690" t="s">
        <v>72</v>
      </c>
      <c r="B690" t="s">
        <v>13251</v>
      </c>
      <c r="C690" t="s">
        <v>74</v>
      </c>
      <c r="D690" t="s">
        <v>74</v>
      </c>
      <c r="E690" t="s">
        <v>74</v>
      </c>
      <c r="F690" t="s">
        <v>13252</v>
      </c>
      <c r="G690" t="s">
        <v>74</v>
      </c>
      <c r="H690" t="s">
        <v>74</v>
      </c>
      <c r="I690" t="s">
        <v>13253</v>
      </c>
      <c r="J690" t="s">
        <v>13254</v>
      </c>
      <c r="K690" t="s">
        <v>74</v>
      </c>
      <c r="L690" t="s">
        <v>74</v>
      </c>
      <c r="M690" t="s">
        <v>78</v>
      </c>
      <c r="N690" t="s">
        <v>79</v>
      </c>
      <c r="O690" t="s">
        <v>74</v>
      </c>
      <c r="P690" t="s">
        <v>74</v>
      </c>
      <c r="Q690" t="s">
        <v>74</v>
      </c>
      <c r="R690" t="s">
        <v>74</v>
      </c>
      <c r="S690" t="s">
        <v>74</v>
      </c>
      <c r="T690" t="s">
        <v>74</v>
      </c>
      <c r="U690" t="s">
        <v>13255</v>
      </c>
      <c r="V690" t="s">
        <v>13256</v>
      </c>
      <c r="W690" t="s">
        <v>13257</v>
      </c>
      <c r="X690" t="s">
        <v>13258</v>
      </c>
      <c r="Y690" t="s">
        <v>13259</v>
      </c>
      <c r="Z690" t="s">
        <v>13260</v>
      </c>
      <c r="AA690" t="s">
        <v>74</v>
      </c>
      <c r="AB690" t="s">
        <v>74</v>
      </c>
      <c r="AC690" t="s">
        <v>13261</v>
      </c>
      <c r="AD690" t="s">
        <v>13262</v>
      </c>
      <c r="AE690" t="s">
        <v>13263</v>
      </c>
      <c r="AF690" t="s">
        <v>74</v>
      </c>
      <c r="AG690">
        <v>72</v>
      </c>
      <c r="AH690">
        <v>3</v>
      </c>
      <c r="AI690">
        <v>3</v>
      </c>
      <c r="AJ690">
        <v>0</v>
      </c>
      <c r="AK690">
        <v>3</v>
      </c>
      <c r="AL690" t="s">
        <v>306</v>
      </c>
      <c r="AM690" t="s">
        <v>307</v>
      </c>
      <c r="AN690" t="s">
        <v>308</v>
      </c>
      <c r="AO690" t="s">
        <v>13264</v>
      </c>
      <c r="AP690" t="s">
        <v>74</v>
      </c>
      <c r="AQ690" t="s">
        <v>74</v>
      </c>
      <c r="AR690" t="s">
        <v>13265</v>
      </c>
      <c r="AS690" t="s">
        <v>13266</v>
      </c>
      <c r="AT690" t="s">
        <v>13267</v>
      </c>
      <c r="AU690">
        <v>2015</v>
      </c>
      <c r="AV690">
        <v>2</v>
      </c>
      <c r="AW690">
        <v>7</v>
      </c>
      <c r="AX690" t="s">
        <v>74</v>
      </c>
      <c r="AY690" t="s">
        <v>74</v>
      </c>
      <c r="AZ690" t="s">
        <v>74</v>
      </c>
      <c r="BA690" t="s">
        <v>74</v>
      </c>
      <c r="BB690">
        <v>244</v>
      </c>
      <c r="BC690">
        <v>261</v>
      </c>
      <c r="BD690" t="s">
        <v>74</v>
      </c>
      <c r="BE690" t="s">
        <v>13268</v>
      </c>
      <c r="BF690" t="str">
        <f>HYPERLINK("http://dx.doi.org/10.1002/2014EA000091","http://dx.doi.org/10.1002/2014EA000091")</f>
        <v>http://dx.doi.org/10.1002/2014EA000091</v>
      </c>
      <c r="BG690" t="s">
        <v>74</v>
      </c>
      <c r="BH690" t="s">
        <v>74</v>
      </c>
      <c r="BI690">
        <v>18</v>
      </c>
      <c r="BJ690" t="s">
        <v>13269</v>
      </c>
      <c r="BK690" t="s">
        <v>101</v>
      </c>
      <c r="BL690" t="s">
        <v>13270</v>
      </c>
      <c r="BM690" t="s">
        <v>13271</v>
      </c>
      <c r="BN690" t="s">
        <v>74</v>
      </c>
      <c r="BO690" t="s">
        <v>1404</v>
      </c>
      <c r="BP690" t="s">
        <v>74</v>
      </c>
      <c r="BQ690" t="s">
        <v>74</v>
      </c>
      <c r="BR690" t="s">
        <v>103</v>
      </c>
      <c r="BS690" t="s">
        <v>13272</v>
      </c>
      <c r="BT690" t="str">
        <f>HYPERLINK("https%3A%2F%2Fwww.webofscience.com%2Fwos%2Fwoscc%2Ffull-record%2FWOS:000370750300002","View Full Record in Web of Science")</f>
        <v>View Full Record in Web of Science</v>
      </c>
    </row>
    <row r="691" spans="1:72" x14ac:dyDescent="0.15">
      <c r="A691" t="s">
        <v>72</v>
      </c>
      <c r="B691" t="s">
        <v>13273</v>
      </c>
      <c r="C691" t="s">
        <v>74</v>
      </c>
      <c r="D691" t="s">
        <v>74</v>
      </c>
      <c r="E691" t="s">
        <v>74</v>
      </c>
      <c r="F691" t="s">
        <v>13274</v>
      </c>
      <c r="G691" t="s">
        <v>74</v>
      </c>
      <c r="H691" t="s">
        <v>74</v>
      </c>
      <c r="I691" t="s">
        <v>13275</v>
      </c>
      <c r="J691" t="s">
        <v>6382</v>
      </c>
      <c r="K691" t="s">
        <v>74</v>
      </c>
      <c r="L691" t="s">
        <v>74</v>
      </c>
      <c r="M691" t="s">
        <v>78</v>
      </c>
      <c r="N691" t="s">
        <v>79</v>
      </c>
      <c r="O691" t="s">
        <v>74</v>
      </c>
      <c r="P691" t="s">
        <v>74</v>
      </c>
      <c r="Q691" t="s">
        <v>74</v>
      </c>
      <c r="R691" t="s">
        <v>74</v>
      </c>
      <c r="S691" t="s">
        <v>74</v>
      </c>
      <c r="T691" t="s">
        <v>13276</v>
      </c>
      <c r="U691" t="s">
        <v>13277</v>
      </c>
      <c r="V691" t="s">
        <v>13278</v>
      </c>
      <c r="W691" t="s">
        <v>13279</v>
      </c>
      <c r="X691" t="s">
        <v>13280</v>
      </c>
      <c r="Y691" t="s">
        <v>13281</v>
      </c>
      <c r="Z691" t="s">
        <v>13282</v>
      </c>
      <c r="AA691" t="s">
        <v>13283</v>
      </c>
      <c r="AB691" t="s">
        <v>13284</v>
      </c>
      <c r="AC691" t="s">
        <v>13285</v>
      </c>
      <c r="AD691" t="s">
        <v>13286</v>
      </c>
      <c r="AE691" t="s">
        <v>13287</v>
      </c>
      <c r="AF691" t="s">
        <v>74</v>
      </c>
      <c r="AG691">
        <v>18</v>
      </c>
      <c r="AH691">
        <v>6</v>
      </c>
      <c r="AI691">
        <v>6</v>
      </c>
      <c r="AJ691">
        <v>0</v>
      </c>
      <c r="AK691">
        <v>23</v>
      </c>
      <c r="AL691" t="s">
        <v>2894</v>
      </c>
      <c r="AM691" t="s">
        <v>2895</v>
      </c>
      <c r="AN691" t="s">
        <v>2896</v>
      </c>
      <c r="AO691" t="s">
        <v>6393</v>
      </c>
      <c r="AP691" t="s">
        <v>74</v>
      </c>
      <c r="AQ691" t="s">
        <v>74</v>
      </c>
      <c r="AR691" t="s">
        <v>6394</v>
      </c>
      <c r="AS691" t="s">
        <v>6395</v>
      </c>
      <c r="AT691" t="s">
        <v>13267</v>
      </c>
      <c r="AU691">
        <v>2015</v>
      </c>
      <c r="AV691">
        <v>10</v>
      </c>
      <c r="AW691">
        <v>7</v>
      </c>
      <c r="AX691" t="s">
        <v>74</v>
      </c>
      <c r="AY691" t="s">
        <v>74</v>
      </c>
      <c r="AZ691" t="s">
        <v>74</v>
      </c>
      <c r="BA691" t="s">
        <v>74</v>
      </c>
      <c r="BB691" t="s">
        <v>74</v>
      </c>
      <c r="BC691" t="s">
        <v>74</v>
      </c>
      <c r="BD691">
        <v>74008</v>
      </c>
      <c r="BE691" t="s">
        <v>13288</v>
      </c>
      <c r="BF691" t="str">
        <f>HYPERLINK("http://dx.doi.org/10.1088/1748-9326/10/7/074008","http://dx.doi.org/10.1088/1748-9326/10/7/074008")</f>
        <v>http://dx.doi.org/10.1088/1748-9326/10/7/074008</v>
      </c>
      <c r="BG691" t="s">
        <v>74</v>
      </c>
      <c r="BH691" t="s">
        <v>74</v>
      </c>
      <c r="BI691">
        <v>8</v>
      </c>
      <c r="BJ691" t="s">
        <v>1837</v>
      </c>
      <c r="BK691" t="s">
        <v>101</v>
      </c>
      <c r="BL691" t="s">
        <v>1838</v>
      </c>
      <c r="BM691" t="s">
        <v>13289</v>
      </c>
      <c r="BN691" t="s">
        <v>74</v>
      </c>
      <c r="BO691" t="s">
        <v>5596</v>
      </c>
      <c r="BP691" t="s">
        <v>74</v>
      </c>
      <c r="BQ691" t="s">
        <v>74</v>
      </c>
      <c r="BR691" t="s">
        <v>103</v>
      </c>
      <c r="BS691" t="s">
        <v>13290</v>
      </c>
      <c r="BT691" t="str">
        <f>HYPERLINK("https%3A%2F%2Fwww.webofscience.com%2Fwos%2Fwoscc%2Ffull-record%2FWOS:000366759200011","View Full Record in Web of Science")</f>
        <v>View Full Record in Web of Science</v>
      </c>
    </row>
    <row r="692" spans="1:72" x14ac:dyDescent="0.15">
      <c r="A692" t="s">
        <v>72</v>
      </c>
      <c r="B692" t="s">
        <v>13291</v>
      </c>
      <c r="C692" t="s">
        <v>74</v>
      </c>
      <c r="D692" t="s">
        <v>74</v>
      </c>
      <c r="E692" t="s">
        <v>74</v>
      </c>
      <c r="F692" t="s">
        <v>13292</v>
      </c>
      <c r="G692" t="s">
        <v>74</v>
      </c>
      <c r="H692" t="s">
        <v>74</v>
      </c>
      <c r="I692" t="s">
        <v>13293</v>
      </c>
      <c r="J692" t="s">
        <v>13294</v>
      </c>
      <c r="K692" t="s">
        <v>74</v>
      </c>
      <c r="L692" t="s">
        <v>74</v>
      </c>
      <c r="M692" t="s">
        <v>78</v>
      </c>
      <c r="N692" t="s">
        <v>2317</v>
      </c>
      <c r="O692" t="s">
        <v>74</v>
      </c>
      <c r="P692" t="s">
        <v>74</v>
      </c>
      <c r="Q692" t="s">
        <v>74</v>
      </c>
      <c r="R692" t="s">
        <v>74</v>
      </c>
      <c r="S692" t="s">
        <v>74</v>
      </c>
      <c r="T692" t="s">
        <v>74</v>
      </c>
      <c r="U692" t="s">
        <v>74</v>
      </c>
      <c r="V692" t="s">
        <v>74</v>
      </c>
      <c r="W692" t="s">
        <v>13295</v>
      </c>
      <c r="X692" t="s">
        <v>13296</v>
      </c>
      <c r="Y692" t="s">
        <v>13297</v>
      </c>
      <c r="Z692" t="s">
        <v>13298</v>
      </c>
      <c r="AA692" t="s">
        <v>74</v>
      </c>
      <c r="AB692" t="s">
        <v>74</v>
      </c>
      <c r="AC692" t="s">
        <v>74</v>
      </c>
      <c r="AD692" t="s">
        <v>74</v>
      </c>
      <c r="AE692" t="s">
        <v>74</v>
      </c>
      <c r="AF692" t="s">
        <v>74</v>
      </c>
      <c r="AG692">
        <v>5</v>
      </c>
      <c r="AH692">
        <v>0</v>
      </c>
      <c r="AI692">
        <v>0</v>
      </c>
      <c r="AJ692">
        <v>0</v>
      </c>
      <c r="AK692">
        <v>2</v>
      </c>
      <c r="AL692" t="s">
        <v>13299</v>
      </c>
      <c r="AM692" t="s">
        <v>13300</v>
      </c>
      <c r="AN692" t="s">
        <v>13301</v>
      </c>
      <c r="AO692" t="s">
        <v>13302</v>
      </c>
      <c r="AP692" t="s">
        <v>13303</v>
      </c>
      <c r="AQ692" t="s">
        <v>74</v>
      </c>
      <c r="AR692" t="s">
        <v>13304</v>
      </c>
      <c r="AS692" t="s">
        <v>13305</v>
      </c>
      <c r="AT692" t="s">
        <v>13267</v>
      </c>
      <c r="AU692">
        <v>2015</v>
      </c>
      <c r="AV692">
        <v>23</v>
      </c>
      <c r="AW692">
        <v>3</v>
      </c>
      <c r="AX692" t="s">
        <v>74</v>
      </c>
      <c r="AY692" t="s">
        <v>74</v>
      </c>
      <c r="AZ692" t="s">
        <v>74</v>
      </c>
      <c r="BA692" t="s">
        <v>74</v>
      </c>
      <c r="BB692">
        <v>57</v>
      </c>
      <c r="BC692" t="s">
        <v>556</v>
      </c>
      <c r="BD692" t="s">
        <v>74</v>
      </c>
      <c r="BE692" t="s">
        <v>74</v>
      </c>
      <c r="BF692" t="s">
        <v>74</v>
      </c>
      <c r="BG692" t="s">
        <v>74</v>
      </c>
      <c r="BH692" t="s">
        <v>74</v>
      </c>
      <c r="BI692">
        <v>2</v>
      </c>
      <c r="BJ692" t="s">
        <v>1954</v>
      </c>
      <c r="BK692" t="s">
        <v>831</v>
      </c>
      <c r="BL692" t="s">
        <v>1955</v>
      </c>
      <c r="BM692" t="s">
        <v>13306</v>
      </c>
      <c r="BN692" t="s">
        <v>74</v>
      </c>
      <c r="BO692" t="s">
        <v>74</v>
      </c>
      <c r="BP692" t="s">
        <v>74</v>
      </c>
      <c r="BQ692" t="s">
        <v>74</v>
      </c>
      <c r="BR692" t="s">
        <v>103</v>
      </c>
      <c r="BS692" t="s">
        <v>13307</v>
      </c>
      <c r="BT692" t="str">
        <f>HYPERLINK("https%3A%2F%2Fwww.webofscience.com%2Fwos%2Fwoscc%2Ffull-record%2FWOS:000365719800010","View Full Record in Web of Science")</f>
        <v>View Full Record in Web of Science</v>
      </c>
    </row>
    <row r="693" spans="1:72" x14ac:dyDescent="0.15">
      <c r="A693" t="s">
        <v>72</v>
      </c>
      <c r="B693" t="s">
        <v>13308</v>
      </c>
      <c r="C693" t="s">
        <v>74</v>
      </c>
      <c r="D693" t="s">
        <v>74</v>
      </c>
      <c r="E693" t="s">
        <v>74</v>
      </c>
      <c r="F693" t="s">
        <v>13309</v>
      </c>
      <c r="G693" t="s">
        <v>74</v>
      </c>
      <c r="H693" t="s">
        <v>74</v>
      </c>
      <c r="I693" t="s">
        <v>13310</v>
      </c>
      <c r="J693" t="s">
        <v>13311</v>
      </c>
      <c r="K693" t="s">
        <v>74</v>
      </c>
      <c r="L693" t="s">
        <v>74</v>
      </c>
      <c r="M693" t="s">
        <v>78</v>
      </c>
      <c r="N693" t="s">
        <v>79</v>
      </c>
      <c r="O693" t="s">
        <v>74</v>
      </c>
      <c r="P693" t="s">
        <v>74</v>
      </c>
      <c r="Q693" t="s">
        <v>74</v>
      </c>
      <c r="R693" t="s">
        <v>74</v>
      </c>
      <c r="S693" t="s">
        <v>74</v>
      </c>
      <c r="T693" t="s">
        <v>13312</v>
      </c>
      <c r="U693" t="s">
        <v>13313</v>
      </c>
      <c r="V693" t="s">
        <v>13314</v>
      </c>
      <c r="W693" t="s">
        <v>13315</v>
      </c>
      <c r="X693" t="s">
        <v>2956</v>
      </c>
      <c r="Y693" t="s">
        <v>13316</v>
      </c>
      <c r="Z693" t="s">
        <v>74</v>
      </c>
      <c r="AA693" t="s">
        <v>13317</v>
      </c>
      <c r="AB693" t="s">
        <v>13318</v>
      </c>
      <c r="AC693" t="s">
        <v>13319</v>
      </c>
      <c r="AD693" t="s">
        <v>13319</v>
      </c>
      <c r="AE693" t="s">
        <v>13320</v>
      </c>
      <c r="AF693" t="s">
        <v>74</v>
      </c>
      <c r="AG693">
        <v>47</v>
      </c>
      <c r="AH693">
        <v>4</v>
      </c>
      <c r="AI693">
        <v>4</v>
      </c>
      <c r="AJ693">
        <v>0</v>
      </c>
      <c r="AK693">
        <v>16</v>
      </c>
      <c r="AL693" t="s">
        <v>13321</v>
      </c>
      <c r="AM693" t="s">
        <v>13322</v>
      </c>
      <c r="AN693" t="s">
        <v>13323</v>
      </c>
      <c r="AO693" t="s">
        <v>13324</v>
      </c>
      <c r="AP693" t="s">
        <v>74</v>
      </c>
      <c r="AQ693" t="s">
        <v>74</v>
      </c>
      <c r="AR693" t="s">
        <v>13325</v>
      </c>
      <c r="AS693" t="s">
        <v>13326</v>
      </c>
      <c r="AT693" t="s">
        <v>13248</v>
      </c>
      <c r="AU693">
        <v>2015</v>
      </c>
      <c r="AV693">
        <v>15</v>
      </c>
      <c r="AW693">
        <v>3</v>
      </c>
      <c r="AX693" t="s">
        <v>74</v>
      </c>
      <c r="AY693" t="s">
        <v>74</v>
      </c>
      <c r="AZ693" t="s">
        <v>74</v>
      </c>
      <c r="BA693" t="s">
        <v>74</v>
      </c>
      <c r="BB693" t="s">
        <v>74</v>
      </c>
      <c r="BC693" t="s">
        <v>74</v>
      </c>
      <c r="BD693">
        <v>3174</v>
      </c>
      <c r="BE693" t="s">
        <v>74</v>
      </c>
      <c r="BF693" t="s">
        <v>74</v>
      </c>
      <c r="BG693" t="s">
        <v>74</v>
      </c>
      <c r="BH693" t="s">
        <v>74</v>
      </c>
      <c r="BI693">
        <v>15</v>
      </c>
      <c r="BJ693" t="s">
        <v>13327</v>
      </c>
      <c r="BK693" t="s">
        <v>1482</v>
      </c>
      <c r="BL693" t="s">
        <v>13327</v>
      </c>
      <c r="BM693" t="s">
        <v>13328</v>
      </c>
      <c r="BN693">
        <v>26394247</v>
      </c>
      <c r="BO693" t="s">
        <v>74</v>
      </c>
      <c r="BP693" t="s">
        <v>74</v>
      </c>
      <c r="BQ693" t="s">
        <v>74</v>
      </c>
      <c r="BR693" t="s">
        <v>103</v>
      </c>
      <c r="BS693" t="s">
        <v>13329</v>
      </c>
      <c r="BT693" t="str">
        <f>HYPERLINK("https%3A%2F%2Fwww.webofscience.com%2Fwos%2Fwoscc%2Ffull-record%2FWOS:000365601800015","View Full Record in Web of Science")</f>
        <v>View Full Record in Web of Science</v>
      </c>
    </row>
    <row r="694" spans="1:72" x14ac:dyDescent="0.15">
      <c r="A694" t="s">
        <v>72</v>
      </c>
      <c r="B694" t="s">
        <v>13330</v>
      </c>
      <c r="C694" t="s">
        <v>74</v>
      </c>
      <c r="D694" t="s">
        <v>74</v>
      </c>
      <c r="E694" t="s">
        <v>74</v>
      </c>
      <c r="F694" t="s">
        <v>13331</v>
      </c>
      <c r="G694" t="s">
        <v>74</v>
      </c>
      <c r="H694" t="s">
        <v>74</v>
      </c>
      <c r="I694" t="s">
        <v>13332</v>
      </c>
      <c r="J694" t="s">
        <v>13333</v>
      </c>
      <c r="K694" t="s">
        <v>74</v>
      </c>
      <c r="L694" t="s">
        <v>74</v>
      </c>
      <c r="M694" t="s">
        <v>78</v>
      </c>
      <c r="N694" t="s">
        <v>79</v>
      </c>
      <c r="O694" t="s">
        <v>74</v>
      </c>
      <c r="P694" t="s">
        <v>74</v>
      </c>
      <c r="Q694" t="s">
        <v>74</v>
      </c>
      <c r="R694" t="s">
        <v>74</v>
      </c>
      <c r="S694" t="s">
        <v>74</v>
      </c>
      <c r="T694" t="s">
        <v>13334</v>
      </c>
      <c r="U694" t="s">
        <v>74</v>
      </c>
      <c r="V694" t="s">
        <v>13335</v>
      </c>
      <c r="W694" t="s">
        <v>13336</v>
      </c>
      <c r="X694" t="s">
        <v>13337</v>
      </c>
      <c r="Y694" t="s">
        <v>13338</v>
      </c>
      <c r="Z694" t="s">
        <v>13339</v>
      </c>
      <c r="AA694" t="s">
        <v>13340</v>
      </c>
      <c r="AB694" t="s">
        <v>13341</v>
      </c>
      <c r="AC694" t="s">
        <v>13342</v>
      </c>
      <c r="AD694" t="s">
        <v>13343</v>
      </c>
      <c r="AE694" t="s">
        <v>13344</v>
      </c>
      <c r="AF694" t="s">
        <v>74</v>
      </c>
      <c r="AG694">
        <v>21</v>
      </c>
      <c r="AH694">
        <v>3</v>
      </c>
      <c r="AI694">
        <v>3</v>
      </c>
      <c r="AJ694">
        <v>7</v>
      </c>
      <c r="AK694">
        <v>42</v>
      </c>
      <c r="AL694" t="s">
        <v>13345</v>
      </c>
      <c r="AM694" t="s">
        <v>13346</v>
      </c>
      <c r="AN694" t="s">
        <v>13347</v>
      </c>
      <c r="AO694" t="s">
        <v>13348</v>
      </c>
      <c r="AP694" t="s">
        <v>74</v>
      </c>
      <c r="AQ694" t="s">
        <v>74</v>
      </c>
      <c r="AR694" t="s">
        <v>13349</v>
      </c>
      <c r="AS694" t="s">
        <v>13350</v>
      </c>
      <c r="AT694" t="s">
        <v>13351</v>
      </c>
      <c r="AU694">
        <v>2015</v>
      </c>
      <c r="AV694">
        <v>2</v>
      </c>
      <c r="AW694">
        <v>4</v>
      </c>
      <c r="AX694" t="s">
        <v>74</v>
      </c>
      <c r="AY694" t="s">
        <v>74</v>
      </c>
      <c r="AZ694" t="s">
        <v>74</v>
      </c>
      <c r="BA694" t="s">
        <v>74</v>
      </c>
      <c r="BB694">
        <v>14</v>
      </c>
      <c r="BC694">
        <v>19</v>
      </c>
      <c r="BD694" t="s">
        <v>74</v>
      </c>
      <c r="BE694" t="s">
        <v>13352</v>
      </c>
      <c r="BF694" t="str">
        <f>HYPERLINK("http://dx.doi.org/10.14504/ajr.2.4.3","http://dx.doi.org/10.14504/ajr.2.4.3")</f>
        <v>http://dx.doi.org/10.14504/ajr.2.4.3</v>
      </c>
      <c r="BG694" t="s">
        <v>74</v>
      </c>
      <c r="BH694" t="s">
        <v>74</v>
      </c>
      <c r="BI694">
        <v>6</v>
      </c>
      <c r="BJ694" t="s">
        <v>13353</v>
      </c>
      <c r="BK694" t="s">
        <v>101</v>
      </c>
      <c r="BL694" t="s">
        <v>13354</v>
      </c>
      <c r="BM694" t="s">
        <v>13355</v>
      </c>
      <c r="BN694" t="s">
        <v>74</v>
      </c>
      <c r="BO694" t="s">
        <v>74</v>
      </c>
      <c r="BP694" t="s">
        <v>74</v>
      </c>
      <c r="BQ694" t="s">
        <v>74</v>
      </c>
      <c r="BR694" t="s">
        <v>103</v>
      </c>
      <c r="BS694" t="s">
        <v>13356</v>
      </c>
      <c r="BT694" t="str">
        <f>HYPERLINK("https%3A%2F%2Fwww.webofscience.com%2Fwos%2Fwoscc%2Ffull-record%2FWOS:000363623200003","View Full Record in Web of Science")</f>
        <v>View Full Record in Web of Science</v>
      </c>
    </row>
    <row r="695" spans="1:72" x14ac:dyDescent="0.15">
      <c r="A695" t="s">
        <v>72</v>
      </c>
      <c r="B695" t="s">
        <v>13357</v>
      </c>
      <c r="C695" t="s">
        <v>74</v>
      </c>
      <c r="D695" t="s">
        <v>74</v>
      </c>
      <c r="E695" t="s">
        <v>74</v>
      </c>
      <c r="F695" t="s">
        <v>13358</v>
      </c>
      <c r="G695" t="s">
        <v>74</v>
      </c>
      <c r="H695" t="s">
        <v>74</v>
      </c>
      <c r="I695" t="s">
        <v>13359</v>
      </c>
      <c r="J695" t="s">
        <v>13360</v>
      </c>
      <c r="K695" t="s">
        <v>74</v>
      </c>
      <c r="L695" t="s">
        <v>74</v>
      </c>
      <c r="M695" t="s">
        <v>78</v>
      </c>
      <c r="N695" t="s">
        <v>79</v>
      </c>
      <c r="O695" t="s">
        <v>74</v>
      </c>
      <c r="P695" t="s">
        <v>74</v>
      </c>
      <c r="Q695" t="s">
        <v>74</v>
      </c>
      <c r="R695" t="s">
        <v>74</v>
      </c>
      <c r="S695" t="s">
        <v>74</v>
      </c>
      <c r="T695" t="s">
        <v>13361</v>
      </c>
      <c r="U695" t="s">
        <v>13362</v>
      </c>
      <c r="V695" t="s">
        <v>13363</v>
      </c>
      <c r="W695" t="s">
        <v>13364</v>
      </c>
      <c r="X695" t="s">
        <v>13365</v>
      </c>
      <c r="Y695" t="s">
        <v>13366</v>
      </c>
      <c r="Z695" t="s">
        <v>13367</v>
      </c>
      <c r="AA695" t="s">
        <v>74</v>
      </c>
      <c r="AB695" t="s">
        <v>74</v>
      </c>
      <c r="AC695" t="s">
        <v>13368</v>
      </c>
      <c r="AD695" t="s">
        <v>13369</v>
      </c>
      <c r="AE695" t="s">
        <v>13370</v>
      </c>
      <c r="AF695" t="s">
        <v>74</v>
      </c>
      <c r="AG695">
        <v>32</v>
      </c>
      <c r="AH695">
        <v>3</v>
      </c>
      <c r="AI695">
        <v>3</v>
      </c>
      <c r="AJ695">
        <v>0</v>
      </c>
      <c r="AK695">
        <v>7</v>
      </c>
      <c r="AL695" t="s">
        <v>13371</v>
      </c>
      <c r="AM695" t="s">
        <v>13372</v>
      </c>
      <c r="AN695" t="s">
        <v>13373</v>
      </c>
      <c r="AO695" t="s">
        <v>13374</v>
      </c>
      <c r="AP695" t="s">
        <v>13375</v>
      </c>
      <c r="AQ695" t="s">
        <v>74</v>
      </c>
      <c r="AR695" t="s">
        <v>13376</v>
      </c>
      <c r="AS695" t="s">
        <v>13377</v>
      </c>
      <c r="AT695" t="s">
        <v>13248</v>
      </c>
      <c r="AU695">
        <v>2015</v>
      </c>
      <c r="AV695">
        <v>63</v>
      </c>
      <c r="AW695">
        <v>3</v>
      </c>
      <c r="AX695" t="s">
        <v>74</v>
      </c>
      <c r="AY695" t="s">
        <v>74</v>
      </c>
      <c r="AZ695" t="s">
        <v>74</v>
      </c>
      <c r="BA695" t="s">
        <v>74</v>
      </c>
      <c r="BB695">
        <v>279</v>
      </c>
      <c r="BC695">
        <v>288</v>
      </c>
      <c r="BD695" t="s">
        <v>74</v>
      </c>
      <c r="BE695" t="s">
        <v>13378</v>
      </c>
      <c r="BF695" t="str">
        <f>HYPERLINK("http://dx.doi.org/10.1590/S1679-87592015087206303","http://dx.doi.org/10.1590/S1679-87592015087206303")</f>
        <v>http://dx.doi.org/10.1590/S1679-87592015087206303</v>
      </c>
      <c r="BG695" t="s">
        <v>74</v>
      </c>
      <c r="BH695" t="s">
        <v>74</v>
      </c>
      <c r="BI695">
        <v>10</v>
      </c>
      <c r="BJ695" t="s">
        <v>478</v>
      </c>
      <c r="BK695" t="s">
        <v>101</v>
      </c>
      <c r="BL695" t="s">
        <v>478</v>
      </c>
      <c r="BM695" t="s">
        <v>13379</v>
      </c>
      <c r="BN695" t="s">
        <v>74</v>
      </c>
      <c r="BO695" t="s">
        <v>1282</v>
      </c>
      <c r="BP695" t="s">
        <v>74</v>
      </c>
      <c r="BQ695" t="s">
        <v>74</v>
      </c>
      <c r="BR695" t="s">
        <v>103</v>
      </c>
      <c r="BS695" t="s">
        <v>13380</v>
      </c>
      <c r="BT695" t="str">
        <f>HYPERLINK("https%3A%2F%2Fwww.webofscience.com%2Fwos%2Fwoscc%2Ffull-record%2FWOS:000362363800011","View Full Record in Web of Science")</f>
        <v>View Full Record in Web of Science</v>
      </c>
    </row>
    <row r="696" spans="1:72" x14ac:dyDescent="0.15">
      <c r="A696" t="s">
        <v>72</v>
      </c>
      <c r="B696" t="s">
        <v>13381</v>
      </c>
      <c r="C696" t="s">
        <v>74</v>
      </c>
      <c r="D696" t="s">
        <v>74</v>
      </c>
      <c r="E696" t="s">
        <v>74</v>
      </c>
      <c r="F696" t="s">
        <v>13382</v>
      </c>
      <c r="G696" t="s">
        <v>74</v>
      </c>
      <c r="H696" t="s">
        <v>74</v>
      </c>
      <c r="I696" t="s">
        <v>13383</v>
      </c>
      <c r="J696" t="s">
        <v>13384</v>
      </c>
      <c r="K696" t="s">
        <v>74</v>
      </c>
      <c r="L696" t="s">
        <v>74</v>
      </c>
      <c r="M696" t="s">
        <v>78</v>
      </c>
      <c r="N696" t="s">
        <v>79</v>
      </c>
      <c r="O696" t="s">
        <v>74</v>
      </c>
      <c r="P696" t="s">
        <v>74</v>
      </c>
      <c r="Q696" t="s">
        <v>74</v>
      </c>
      <c r="R696" t="s">
        <v>74</v>
      </c>
      <c r="S696" t="s">
        <v>74</v>
      </c>
      <c r="T696" t="s">
        <v>13385</v>
      </c>
      <c r="U696" t="s">
        <v>13386</v>
      </c>
      <c r="V696" t="s">
        <v>13387</v>
      </c>
      <c r="W696" t="s">
        <v>13388</v>
      </c>
      <c r="X696" t="s">
        <v>13389</v>
      </c>
      <c r="Y696" t="s">
        <v>13390</v>
      </c>
      <c r="Z696" t="s">
        <v>13391</v>
      </c>
      <c r="AA696" t="s">
        <v>13392</v>
      </c>
      <c r="AB696" t="s">
        <v>13393</v>
      </c>
      <c r="AC696" t="s">
        <v>13394</v>
      </c>
      <c r="AD696" t="s">
        <v>13395</v>
      </c>
      <c r="AE696" t="s">
        <v>13396</v>
      </c>
      <c r="AF696" t="s">
        <v>74</v>
      </c>
      <c r="AG696">
        <v>28</v>
      </c>
      <c r="AH696">
        <v>4</v>
      </c>
      <c r="AI696">
        <v>4</v>
      </c>
      <c r="AJ696">
        <v>1</v>
      </c>
      <c r="AK696">
        <v>23</v>
      </c>
      <c r="AL696" t="s">
        <v>13397</v>
      </c>
      <c r="AM696" t="s">
        <v>7048</v>
      </c>
      <c r="AN696" t="s">
        <v>13398</v>
      </c>
      <c r="AO696" t="s">
        <v>13399</v>
      </c>
      <c r="AP696" t="s">
        <v>13400</v>
      </c>
      <c r="AQ696" t="s">
        <v>74</v>
      </c>
      <c r="AR696" t="s">
        <v>13401</v>
      </c>
      <c r="AS696" t="s">
        <v>13402</v>
      </c>
      <c r="AT696" t="s">
        <v>13248</v>
      </c>
      <c r="AU696">
        <v>2015</v>
      </c>
      <c r="AV696">
        <v>29</v>
      </c>
      <c r="AW696">
        <v>3</v>
      </c>
      <c r="AX696" t="s">
        <v>74</v>
      </c>
      <c r="AY696" t="s">
        <v>74</v>
      </c>
      <c r="AZ696" t="s">
        <v>74</v>
      </c>
      <c r="BA696" t="s">
        <v>74</v>
      </c>
      <c r="BB696">
        <v>383</v>
      </c>
      <c r="BC696">
        <v>390</v>
      </c>
      <c r="BD696" t="s">
        <v>74</v>
      </c>
      <c r="BE696" t="s">
        <v>13403</v>
      </c>
      <c r="BF696" t="str">
        <f>HYPERLINK("http://dx.doi.org/10.1590/0102-33062014abb0034","http://dx.doi.org/10.1590/0102-33062014abb0034")</f>
        <v>http://dx.doi.org/10.1590/0102-33062014abb0034</v>
      </c>
      <c r="BG696" t="s">
        <v>74</v>
      </c>
      <c r="BH696" t="s">
        <v>74</v>
      </c>
      <c r="BI696">
        <v>8</v>
      </c>
      <c r="BJ696" t="s">
        <v>429</v>
      </c>
      <c r="BK696" t="s">
        <v>101</v>
      </c>
      <c r="BL696" t="s">
        <v>429</v>
      </c>
      <c r="BM696" t="s">
        <v>13404</v>
      </c>
      <c r="BN696" t="s">
        <v>74</v>
      </c>
      <c r="BO696" t="s">
        <v>6717</v>
      </c>
      <c r="BP696" t="s">
        <v>74</v>
      </c>
      <c r="BQ696" t="s">
        <v>74</v>
      </c>
      <c r="BR696" t="s">
        <v>103</v>
      </c>
      <c r="BS696" t="s">
        <v>13405</v>
      </c>
      <c r="BT696" t="str">
        <f>HYPERLINK("https%3A%2F%2Fwww.webofscience.com%2Fwos%2Fwoscc%2Ffull-record%2FWOS:000361864400010","View Full Record in Web of Science")</f>
        <v>View Full Record in Web of Science</v>
      </c>
    </row>
    <row r="697" spans="1:72" x14ac:dyDescent="0.15">
      <c r="A697" t="s">
        <v>72</v>
      </c>
      <c r="B697" t="s">
        <v>13406</v>
      </c>
      <c r="C697" t="s">
        <v>74</v>
      </c>
      <c r="D697" t="s">
        <v>74</v>
      </c>
      <c r="E697" t="s">
        <v>74</v>
      </c>
      <c r="F697" t="s">
        <v>13407</v>
      </c>
      <c r="G697" t="s">
        <v>74</v>
      </c>
      <c r="H697" t="s">
        <v>74</v>
      </c>
      <c r="I697" t="s">
        <v>13408</v>
      </c>
      <c r="J697" t="s">
        <v>6425</v>
      </c>
      <c r="K697" t="s">
        <v>74</v>
      </c>
      <c r="L697" t="s">
        <v>74</v>
      </c>
      <c r="M697" t="s">
        <v>78</v>
      </c>
      <c r="N697" t="s">
        <v>79</v>
      </c>
      <c r="O697" t="s">
        <v>74</v>
      </c>
      <c r="P697" t="s">
        <v>74</v>
      </c>
      <c r="Q697" t="s">
        <v>74</v>
      </c>
      <c r="R697" t="s">
        <v>74</v>
      </c>
      <c r="S697" t="s">
        <v>74</v>
      </c>
      <c r="T697" t="s">
        <v>13409</v>
      </c>
      <c r="U697" t="s">
        <v>13410</v>
      </c>
      <c r="V697" t="s">
        <v>13411</v>
      </c>
      <c r="W697" t="s">
        <v>13412</v>
      </c>
      <c r="X697" t="s">
        <v>13413</v>
      </c>
      <c r="Y697" t="s">
        <v>13414</v>
      </c>
      <c r="Z697" t="s">
        <v>13415</v>
      </c>
      <c r="AA697" t="s">
        <v>13416</v>
      </c>
      <c r="AB697" t="s">
        <v>13417</v>
      </c>
      <c r="AC697" t="s">
        <v>13418</v>
      </c>
      <c r="AD697" t="s">
        <v>13419</v>
      </c>
      <c r="AE697" t="s">
        <v>13420</v>
      </c>
      <c r="AF697" t="s">
        <v>74</v>
      </c>
      <c r="AG697">
        <v>25</v>
      </c>
      <c r="AH697">
        <v>25</v>
      </c>
      <c r="AI697">
        <v>28</v>
      </c>
      <c r="AJ697">
        <v>0</v>
      </c>
      <c r="AK697">
        <v>10</v>
      </c>
      <c r="AL697" t="s">
        <v>1321</v>
      </c>
      <c r="AM697" t="s">
        <v>180</v>
      </c>
      <c r="AN697" t="s">
        <v>1322</v>
      </c>
      <c r="AO697" t="s">
        <v>6437</v>
      </c>
      <c r="AP697" t="s">
        <v>6438</v>
      </c>
      <c r="AQ697" t="s">
        <v>74</v>
      </c>
      <c r="AR697" t="s">
        <v>6439</v>
      </c>
      <c r="AS697" t="s">
        <v>6440</v>
      </c>
      <c r="AT697" t="s">
        <v>13421</v>
      </c>
      <c r="AU697">
        <v>2015</v>
      </c>
      <c r="AV697">
        <v>11</v>
      </c>
      <c r="AW697">
        <v>7</v>
      </c>
      <c r="AX697" t="s">
        <v>74</v>
      </c>
      <c r="AY697" t="s">
        <v>74</v>
      </c>
      <c r="AZ697" t="s">
        <v>74</v>
      </c>
      <c r="BA697" t="s">
        <v>74</v>
      </c>
      <c r="BB697" t="s">
        <v>74</v>
      </c>
      <c r="BC697" t="s">
        <v>74</v>
      </c>
      <c r="BD697">
        <v>20150431</v>
      </c>
      <c r="BE697" t="s">
        <v>13422</v>
      </c>
      <c r="BF697" t="str">
        <f>HYPERLINK("http://dx.doi.org/10.1098/rsbl.2015.0431","http://dx.doi.org/10.1098/rsbl.2015.0431")</f>
        <v>http://dx.doi.org/10.1098/rsbl.2015.0431</v>
      </c>
      <c r="BG697" t="s">
        <v>74</v>
      </c>
      <c r="BH697" t="s">
        <v>74</v>
      </c>
      <c r="BI697">
        <v>5</v>
      </c>
      <c r="BJ697" t="s">
        <v>1329</v>
      </c>
      <c r="BK697" t="s">
        <v>101</v>
      </c>
      <c r="BL697" t="s">
        <v>1330</v>
      </c>
      <c r="BM697" t="s">
        <v>13423</v>
      </c>
      <c r="BN697">
        <v>26179804</v>
      </c>
      <c r="BO697" t="s">
        <v>1546</v>
      </c>
      <c r="BP697" t="s">
        <v>74</v>
      </c>
      <c r="BQ697" t="s">
        <v>74</v>
      </c>
      <c r="BR697" t="s">
        <v>103</v>
      </c>
      <c r="BS697" t="s">
        <v>13424</v>
      </c>
      <c r="BT697" t="str">
        <f>HYPERLINK("https%3A%2F%2Fwww.webofscience.com%2Fwos%2Fwoscc%2Ffull-record%2FWOS:000361898500018","View Full Record in Web of Science")</f>
        <v>View Full Record in Web of Science</v>
      </c>
    </row>
    <row r="698" spans="1:72" x14ac:dyDescent="0.15">
      <c r="A698" t="s">
        <v>72</v>
      </c>
      <c r="B698" t="s">
        <v>13425</v>
      </c>
      <c r="C698" t="s">
        <v>74</v>
      </c>
      <c r="D698" t="s">
        <v>74</v>
      </c>
      <c r="E698" t="s">
        <v>74</v>
      </c>
      <c r="F698" t="s">
        <v>13426</v>
      </c>
      <c r="G698" t="s">
        <v>74</v>
      </c>
      <c r="H698" t="s">
        <v>74</v>
      </c>
      <c r="I698" t="s">
        <v>13427</v>
      </c>
      <c r="J698" t="s">
        <v>6425</v>
      </c>
      <c r="K698" t="s">
        <v>74</v>
      </c>
      <c r="L698" t="s">
        <v>74</v>
      </c>
      <c r="M698" t="s">
        <v>78</v>
      </c>
      <c r="N698" t="s">
        <v>79</v>
      </c>
      <c r="O698" t="s">
        <v>74</v>
      </c>
      <c r="P698" t="s">
        <v>74</v>
      </c>
      <c r="Q698" t="s">
        <v>74</v>
      </c>
      <c r="R698" t="s">
        <v>74</v>
      </c>
      <c r="S698" t="s">
        <v>74</v>
      </c>
      <c r="T698" t="s">
        <v>13428</v>
      </c>
      <c r="U698" t="s">
        <v>13429</v>
      </c>
      <c r="V698" t="s">
        <v>13430</v>
      </c>
      <c r="W698" t="s">
        <v>13431</v>
      </c>
      <c r="X698" t="s">
        <v>13432</v>
      </c>
      <c r="Y698" t="s">
        <v>13433</v>
      </c>
      <c r="Z698" t="s">
        <v>13434</v>
      </c>
      <c r="AA698" t="s">
        <v>13435</v>
      </c>
      <c r="AB698" t="s">
        <v>13436</v>
      </c>
      <c r="AC698" t="s">
        <v>13437</v>
      </c>
      <c r="AD698" t="s">
        <v>13438</v>
      </c>
      <c r="AE698" t="s">
        <v>13439</v>
      </c>
      <c r="AF698" t="s">
        <v>74</v>
      </c>
      <c r="AG698">
        <v>21</v>
      </c>
      <c r="AH698">
        <v>13</v>
      </c>
      <c r="AI698">
        <v>14</v>
      </c>
      <c r="AJ698">
        <v>2</v>
      </c>
      <c r="AK698">
        <v>20</v>
      </c>
      <c r="AL698" t="s">
        <v>1321</v>
      </c>
      <c r="AM698" t="s">
        <v>180</v>
      </c>
      <c r="AN698" t="s">
        <v>1322</v>
      </c>
      <c r="AO698" t="s">
        <v>6437</v>
      </c>
      <c r="AP698" t="s">
        <v>6438</v>
      </c>
      <c r="AQ698" t="s">
        <v>74</v>
      </c>
      <c r="AR698" t="s">
        <v>6439</v>
      </c>
      <c r="AS698" t="s">
        <v>6440</v>
      </c>
      <c r="AT698" t="s">
        <v>13421</v>
      </c>
      <c r="AU698">
        <v>2015</v>
      </c>
      <c r="AV698">
        <v>11</v>
      </c>
      <c r="AW698">
        <v>7</v>
      </c>
      <c r="AX698" t="s">
        <v>74</v>
      </c>
      <c r="AY698" t="s">
        <v>74</v>
      </c>
      <c r="AZ698" t="s">
        <v>74</v>
      </c>
      <c r="BA698" t="s">
        <v>74</v>
      </c>
      <c r="BB698" t="s">
        <v>74</v>
      </c>
      <c r="BC698" t="s">
        <v>74</v>
      </c>
      <c r="BD698">
        <v>20150227</v>
      </c>
      <c r="BE698" t="s">
        <v>13440</v>
      </c>
      <c r="BF698" t="str">
        <f>HYPERLINK("http://dx.doi.org/10.1098/rsbl.2015.0227","http://dx.doi.org/10.1098/rsbl.2015.0227")</f>
        <v>http://dx.doi.org/10.1098/rsbl.2015.0227</v>
      </c>
      <c r="BG698" t="s">
        <v>74</v>
      </c>
      <c r="BH698" t="s">
        <v>74</v>
      </c>
      <c r="BI698">
        <v>4</v>
      </c>
      <c r="BJ698" t="s">
        <v>1329</v>
      </c>
      <c r="BK698" t="s">
        <v>101</v>
      </c>
      <c r="BL698" t="s">
        <v>1330</v>
      </c>
      <c r="BM698" t="s">
        <v>13423</v>
      </c>
      <c r="BN698">
        <v>26156132</v>
      </c>
      <c r="BO698" t="s">
        <v>4189</v>
      </c>
      <c r="BP698" t="s">
        <v>74</v>
      </c>
      <c r="BQ698" t="s">
        <v>74</v>
      </c>
      <c r="BR698" t="s">
        <v>103</v>
      </c>
      <c r="BS698" t="s">
        <v>13441</v>
      </c>
      <c r="BT698" t="str">
        <f>HYPERLINK("https%3A%2F%2Fwww.webofscience.com%2Fwos%2Fwoscc%2Ffull-record%2FWOS:000361898500003","View Full Record in Web of Science")</f>
        <v>View Full Record in Web of Science</v>
      </c>
    </row>
    <row r="699" spans="1:72" x14ac:dyDescent="0.15">
      <c r="A699" t="s">
        <v>72</v>
      </c>
      <c r="B699" t="s">
        <v>13442</v>
      </c>
      <c r="C699" t="s">
        <v>74</v>
      </c>
      <c r="D699" t="s">
        <v>74</v>
      </c>
      <c r="E699" t="s">
        <v>74</v>
      </c>
      <c r="F699" t="s">
        <v>13443</v>
      </c>
      <c r="G699" t="s">
        <v>74</v>
      </c>
      <c r="H699" t="s">
        <v>74</v>
      </c>
      <c r="I699" t="s">
        <v>13444</v>
      </c>
      <c r="J699" t="s">
        <v>13445</v>
      </c>
      <c r="K699" t="s">
        <v>74</v>
      </c>
      <c r="L699" t="s">
        <v>74</v>
      </c>
      <c r="M699" t="s">
        <v>78</v>
      </c>
      <c r="N699" t="s">
        <v>79</v>
      </c>
      <c r="O699" t="s">
        <v>74</v>
      </c>
      <c r="P699" t="s">
        <v>74</v>
      </c>
      <c r="Q699" t="s">
        <v>74</v>
      </c>
      <c r="R699" t="s">
        <v>74</v>
      </c>
      <c r="S699" t="s">
        <v>74</v>
      </c>
      <c r="T699" t="s">
        <v>13446</v>
      </c>
      <c r="U699" t="s">
        <v>13447</v>
      </c>
      <c r="V699" t="s">
        <v>13448</v>
      </c>
      <c r="W699" t="s">
        <v>13449</v>
      </c>
      <c r="X699" t="s">
        <v>13450</v>
      </c>
      <c r="Y699" t="s">
        <v>13451</v>
      </c>
      <c r="Z699" t="s">
        <v>13452</v>
      </c>
      <c r="AA699" t="s">
        <v>13453</v>
      </c>
      <c r="AB699" t="s">
        <v>13454</v>
      </c>
      <c r="AC699" t="s">
        <v>13455</v>
      </c>
      <c r="AD699" t="s">
        <v>13456</v>
      </c>
      <c r="AE699" t="s">
        <v>13457</v>
      </c>
      <c r="AF699" t="s">
        <v>74</v>
      </c>
      <c r="AG699">
        <v>75</v>
      </c>
      <c r="AH699">
        <v>28</v>
      </c>
      <c r="AI699">
        <v>30</v>
      </c>
      <c r="AJ699">
        <v>1</v>
      </c>
      <c r="AK699">
        <v>29</v>
      </c>
      <c r="AL699" t="s">
        <v>236</v>
      </c>
      <c r="AM699" t="s">
        <v>209</v>
      </c>
      <c r="AN699" t="s">
        <v>210</v>
      </c>
      <c r="AO699" t="s">
        <v>13458</v>
      </c>
      <c r="AP699" t="s">
        <v>13459</v>
      </c>
      <c r="AQ699" t="s">
        <v>74</v>
      </c>
      <c r="AR699" t="s">
        <v>13460</v>
      </c>
      <c r="AS699" t="s">
        <v>13461</v>
      </c>
      <c r="AT699" t="s">
        <v>13267</v>
      </c>
      <c r="AU699">
        <v>2015</v>
      </c>
      <c r="AV699">
        <v>141</v>
      </c>
      <c r="AW699">
        <v>691</v>
      </c>
      <c r="AX699" t="s">
        <v>5574</v>
      </c>
      <c r="AY699" t="s">
        <v>74</v>
      </c>
      <c r="AZ699" t="s">
        <v>74</v>
      </c>
      <c r="BA699" t="s">
        <v>74</v>
      </c>
      <c r="BB699">
        <v>2165</v>
      </c>
      <c r="BC699">
        <v>2184</v>
      </c>
      <c r="BD699" t="s">
        <v>74</v>
      </c>
      <c r="BE699" t="s">
        <v>13462</v>
      </c>
      <c r="BF699" t="str">
        <f>HYPERLINK("http://dx.doi.org/10.1002/qj.2513","http://dx.doi.org/10.1002/qj.2513")</f>
        <v>http://dx.doi.org/10.1002/qj.2513</v>
      </c>
      <c r="BG699" t="s">
        <v>74</v>
      </c>
      <c r="BH699" t="s">
        <v>74</v>
      </c>
      <c r="BI699">
        <v>20</v>
      </c>
      <c r="BJ699" t="s">
        <v>271</v>
      </c>
      <c r="BK699" t="s">
        <v>101</v>
      </c>
      <c r="BL699" t="s">
        <v>271</v>
      </c>
      <c r="BM699" t="s">
        <v>13463</v>
      </c>
      <c r="BN699" t="s">
        <v>74</v>
      </c>
      <c r="BO699" t="s">
        <v>74</v>
      </c>
      <c r="BP699" t="s">
        <v>74</v>
      </c>
      <c r="BQ699" t="s">
        <v>74</v>
      </c>
      <c r="BR699" t="s">
        <v>103</v>
      </c>
      <c r="BS699" t="s">
        <v>13464</v>
      </c>
      <c r="BT699" t="str">
        <f>HYPERLINK("https%3A%2F%2Fwww.webofscience.com%2Fwos%2Fwoscc%2Ffull-record%2FWOS:000360986200016","View Full Record in Web of Science")</f>
        <v>View Full Record in Web of Science</v>
      </c>
    </row>
    <row r="700" spans="1:72" x14ac:dyDescent="0.15">
      <c r="A700" t="s">
        <v>72</v>
      </c>
      <c r="B700" t="s">
        <v>13465</v>
      </c>
      <c r="C700" t="s">
        <v>74</v>
      </c>
      <c r="D700" t="s">
        <v>74</v>
      </c>
      <c r="E700" t="s">
        <v>74</v>
      </c>
      <c r="F700" t="s">
        <v>13466</v>
      </c>
      <c r="G700" t="s">
        <v>74</v>
      </c>
      <c r="H700" t="s">
        <v>74</v>
      </c>
      <c r="I700" t="s">
        <v>13467</v>
      </c>
      <c r="J700" t="s">
        <v>13445</v>
      </c>
      <c r="K700" t="s">
        <v>74</v>
      </c>
      <c r="L700" t="s">
        <v>74</v>
      </c>
      <c r="M700" t="s">
        <v>78</v>
      </c>
      <c r="N700" t="s">
        <v>79</v>
      </c>
      <c r="O700" t="s">
        <v>74</v>
      </c>
      <c r="P700" t="s">
        <v>74</v>
      </c>
      <c r="Q700" t="s">
        <v>74</v>
      </c>
      <c r="R700" t="s">
        <v>74</v>
      </c>
      <c r="S700" t="s">
        <v>74</v>
      </c>
      <c r="T700" t="s">
        <v>13468</v>
      </c>
      <c r="U700" t="s">
        <v>13469</v>
      </c>
      <c r="V700" t="s">
        <v>13470</v>
      </c>
      <c r="W700" t="s">
        <v>13471</v>
      </c>
      <c r="X700" t="s">
        <v>13472</v>
      </c>
      <c r="Y700" t="s">
        <v>13473</v>
      </c>
      <c r="Z700" t="s">
        <v>13474</v>
      </c>
      <c r="AA700" t="s">
        <v>13475</v>
      </c>
      <c r="AB700" t="s">
        <v>13476</v>
      </c>
      <c r="AC700" t="s">
        <v>13477</v>
      </c>
      <c r="AD700" t="s">
        <v>13478</v>
      </c>
      <c r="AE700" t="s">
        <v>13479</v>
      </c>
      <c r="AF700" t="s">
        <v>74</v>
      </c>
      <c r="AG700">
        <v>62</v>
      </c>
      <c r="AH700">
        <v>29</v>
      </c>
      <c r="AI700">
        <v>31</v>
      </c>
      <c r="AJ700">
        <v>0</v>
      </c>
      <c r="AK700">
        <v>11</v>
      </c>
      <c r="AL700" t="s">
        <v>236</v>
      </c>
      <c r="AM700" t="s">
        <v>209</v>
      </c>
      <c r="AN700" t="s">
        <v>210</v>
      </c>
      <c r="AO700" t="s">
        <v>13458</v>
      </c>
      <c r="AP700" t="s">
        <v>13459</v>
      </c>
      <c r="AQ700" t="s">
        <v>74</v>
      </c>
      <c r="AR700" t="s">
        <v>13460</v>
      </c>
      <c r="AS700" t="s">
        <v>13461</v>
      </c>
      <c r="AT700" t="s">
        <v>13267</v>
      </c>
      <c r="AU700">
        <v>2015</v>
      </c>
      <c r="AV700">
        <v>141</v>
      </c>
      <c r="AW700">
        <v>691</v>
      </c>
      <c r="AX700" t="s">
        <v>5574</v>
      </c>
      <c r="AY700" t="s">
        <v>74</v>
      </c>
      <c r="AZ700" t="s">
        <v>74</v>
      </c>
      <c r="BA700" t="s">
        <v>74</v>
      </c>
      <c r="BB700">
        <v>2259</v>
      </c>
      <c r="BC700">
        <v>2276</v>
      </c>
      <c r="BD700" t="s">
        <v>74</v>
      </c>
      <c r="BE700" t="s">
        <v>13480</v>
      </c>
      <c r="BF700" t="str">
        <f>HYPERLINK("http://dx.doi.org/10.1002/qj.2519","http://dx.doi.org/10.1002/qj.2519")</f>
        <v>http://dx.doi.org/10.1002/qj.2519</v>
      </c>
      <c r="BG700" t="s">
        <v>74</v>
      </c>
      <c r="BH700" t="s">
        <v>74</v>
      </c>
      <c r="BI700">
        <v>18</v>
      </c>
      <c r="BJ700" t="s">
        <v>271</v>
      </c>
      <c r="BK700" t="s">
        <v>101</v>
      </c>
      <c r="BL700" t="s">
        <v>271</v>
      </c>
      <c r="BM700" t="s">
        <v>13463</v>
      </c>
      <c r="BN700" t="s">
        <v>74</v>
      </c>
      <c r="BO700" t="s">
        <v>74</v>
      </c>
      <c r="BP700" t="s">
        <v>74</v>
      </c>
      <c r="BQ700" t="s">
        <v>74</v>
      </c>
      <c r="BR700" t="s">
        <v>103</v>
      </c>
      <c r="BS700" t="s">
        <v>13481</v>
      </c>
      <c r="BT700" t="str">
        <f>HYPERLINK("https%3A%2F%2Fwww.webofscience.com%2Fwos%2Fwoscc%2Ffull-record%2FWOS:000360986200022","View Full Record in Web of Science")</f>
        <v>View Full Record in Web of Science</v>
      </c>
    </row>
    <row r="701" spans="1:72" x14ac:dyDescent="0.15">
      <c r="A701" t="s">
        <v>72</v>
      </c>
      <c r="B701" t="s">
        <v>13482</v>
      </c>
      <c r="C701" t="s">
        <v>74</v>
      </c>
      <c r="D701" t="s">
        <v>74</v>
      </c>
      <c r="E701" t="s">
        <v>74</v>
      </c>
      <c r="F701" t="s">
        <v>13483</v>
      </c>
      <c r="G701" t="s">
        <v>74</v>
      </c>
      <c r="H701" t="s">
        <v>74</v>
      </c>
      <c r="I701" t="s">
        <v>13484</v>
      </c>
      <c r="J701" t="s">
        <v>7820</v>
      </c>
      <c r="K701" t="s">
        <v>74</v>
      </c>
      <c r="L701" t="s">
        <v>74</v>
      </c>
      <c r="M701" t="s">
        <v>78</v>
      </c>
      <c r="N701" t="s">
        <v>79</v>
      </c>
      <c r="O701" t="s">
        <v>74</v>
      </c>
      <c r="P701" t="s">
        <v>74</v>
      </c>
      <c r="Q701" t="s">
        <v>74</v>
      </c>
      <c r="R701" t="s">
        <v>74</v>
      </c>
      <c r="S701" t="s">
        <v>74</v>
      </c>
      <c r="T701" t="s">
        <v>13485</v>
      </c>
      <c r="U701" t="s">
        <v>13486</v>
      </c>
      <c r="V701" t="s">
        <v>13487</v>
      </c>
      <c r="W701" t="s">
        <v>13488</v>
      </c>
      <c r="X701" t="s">
        <v>13489</v>
      </c>
      <c r="Y701" t="s">
        <v>13490</v>
      </c>
      <c r="Z701" t="s">
        <v>13491</v>
      </c>
      <c r="AA701" t="s">
        <v>13492</v>
      </c>
      <c r="AB701" t="s">
        <v>13493</v>
      </c>
      <c r="AC701" t="s">
        <v>13494</v>
      </c>
      <c r="AD701" t="s">
        <v>13495</v>
      </c>
      <c r="AE701" t="s">
        <v>13496</v>
      </c>
      <c r="AF701" t="s">
        <v>74</v>
      </c>
      <c r="AG701">
        <v>29</v>
      </c>
      <c r="AH701">
        <v>62</v>
      </c>
      <c r="AI701">
        <v>69</v>
      </c>
      <c r="AJ701">
        <v>0</v>
      </c>
      <c r="AK701">
        <v>7</v>
      </c>
      <c r="AL701" t="s">
        <v>306</v>
      </c>
      <c r="AM701" t="s">
        <v>307</v>
      </c>
      <c r="AN701" t="s">
        <v>308</v>
      </c>
      <c r="AO701" t="s">
        <v>74</v>
      </c>
      <c r="AP701" t="s">
        <v>7832</v>
      </c>
      <c r="AQ701" t="s">
        <v>74</v>
      </c>
      <c r="AR701" t="s">
        <v>7833</v>
      </c>
      <c r="AS701" t="s">
        <v>7834</v>
      </c>
      <c r="AT701" t="s">
        <v>13267</v>
      </c>
      <c r="AU701">
        <v>2015</v>
      </c>
      <c r="AV701">
        <v>16</v>
      </c>
      <c r="AW701">
        <v>7</v>
      </c>
      <c r="AX701" t="s">
        <v>74</v>
      </c>
      <c r="AY701" t="s">
        <v>74</v>
      </c>
      <c r="AZ701" t="s">
        <v>74</v>
      </c>
      <c r="BA701" t="s">
        <v>74</v>
      </c>
      <c r="BB701">
        <v>2462</v>
      </c>
      <c r="BC701">
        <v>2472</v>
      </c>
      <c r="BD701" t="s">
        <v>74</v>
      </c>
      <c r="BE701" t="s">
        <v>13497</v>
      </c>
      <c r="BF701" t="str">
        <f>HYPERLINK("http://dx.doi.org/10.1002/2015GC005853","http://dx.doi.org/10.1002/2015GC005853")</f>
        <v>http://dx.doi.org/10.1002/2015GC005853</v>
      </c>
      <c r="BG701" t="s">
        <v>74</v>
      </c>
      <c r="BH701" t="s">
        <v>74</v>
      </c>
      <c r="BI701">
        <v>11</v>
      </c>
      <c r="BJ701" t="s">
        <v>1707</v>
      </c>
      <c r="BK701" t="s">
        <v>101</v>
      </c>
      <c r="BL701" t="s">
        <v>1707</v>
      </c>
      <c r="BM701" t="s">
        <v>13498</v>
      </c>
      <c r="BN701" t="s">
        <v>74</v>
      </c>
      <c r="BO701" t="s">
        <v>317</v>
      </c>
      <c r="BP701" t="s">
        <v>74</v>
      </c>
      <c r="BQ701" t="s">
        <v>74</v>
      </c>
      <c r="BR701" t="s">
        <v>103</v>
      </c>
      <c r="BS701" t="s">
        <v>13499</v>
      </c>
      <c r="BT701" t="str">
        <f>HYPERLINK("https%3A%2F%2Fwww.webofscience.com%2Fwos%2Fwoscc%2Ffull-record%2FWOS:000360247200024","View Full Record in Web of Science")</f>
        <v>View Full Record in Web of Science</v>
      </c>
    </row>
    <row r="702" spans="1:72" x14ac:dyDescent="0.15">
      <c r="A702" t="s">
        <v>72</v>
      </c>
      <c r="B702" t="s">
        <v>13500</v>
      </c>
      <c r="C702" t="s">
        <v>74</v>
      </c>
      <c r="D702" t="s">
        <v>74</v>
      </c>
      <c r="E702" t="s">
        <v>74</v>
      </c>
      <c r="F702" t="s">
        <v>13501</v>
      </c>
      <c r="G702" t="s">
        <v>74</v>
      </c>
      <c r="H702" t="s">
        <v>74</v>
      </c>
      <c r="I702" t="s">
        <v>13502</v>
      </c>
      <c r="J702" t="s">
        <v>361</v>
      </c>
      <c r="K702" t="s">
        <v>74</v>
      </c>
      <c r="L702" t="s">
        <v>74</v>
      </c>
      <c r="M702" t="s">
        <v>78</v>
      </c>
      <c r="N702" t="s">
        <v>79</v>
      </c>
      <c r="O702" t="s">
        <v>74</v>
      </c>
      <c r="P702" t="s">
        <v>74</v>
      </c>
      <c r="Q702" t="s">
        <v>74</v>
      </c>
      <c r="R702" t="s">
        <v>74</v>
      </c>
      <c r="S702" t="s">
        <v>74</v>
      </c>
      <c r="T702" t="s">
        <v>13503</v>
      </c>
      <c r="U702" t="s">
        <v>13504</v>
      </c>
      <c r="V702" t="s">
        <v>13505</v>
      </c>
      <c r="W702" t="s">
        <v>13506</v>
      </c>
      <c r="X702" t="s">
        <v>13507</v>
      </c>
      <c r="Y702" t="s">
        <v>13508</v>
      </c>
      <c r="Z702" t="s">
        <v>13509</v>
      </c>
      <c r="AA702" t="s">
        <v>13510</v>
      </c>
      <c r="AB702" t="s">
        <v>13511</v>
      </c>
      <c r="AC702" t="s">
        <v>13512</v>
      </c>
      <c r="AD702" t="s">
        <v>13513</v>
      </c>
      <c r="AE702" t="s">
        <v>13514</v>
      </c>
      <c r="AF702" t="s">
        <v>74</v>
      </c>
      <c r="AG702">
        <v>31</v>
      </c>
      <c r="AH702">
        <v>19</v>
      </c>
      <c r="AI702">
        <v>19</v>
      </c>
      <c r="AJ702">
        <v>0</v>
      </c>
      <c r="AK702">
        <v>9</v>
      </c>
      <c r="AL702" t="s">
        <v>306</v>
      </c>
      <c r="AM702" t="s">
        <v>307</v>
      </c>
      <c r="AN702" t="s">
        <v>308</v>
      </c>
      <c r="AO702" t="s">
        <v>373</v>
      </c>
      <c r="AP702" t="s">
        <v>374</v>
      </c>
      <c r="AQ702" t="s">
        <v>74</v>
      </c>
      <c r="AR702" t="s">
        <v>375</v>
      </c>
      <c r="AS702" t="s">
        <v>376</v>
      </c>
      <c r="AT702" t="s">
        <v>13267</v>
      </c>
      <c r="AU702">
        <v>2015</v>
      </c>
      <c r="AV702">
        <v>120</v>
      </c>
      <c r="AW702">
        <v>7</v>
      </c>
      <c r="AX702" t="s">
        <v>74</v>
      </c>
      <c r="AY702" t="s">
        <v>74</v>
      </c>
      <c r="AZ702" t="s">
        <v>74</v>
      </c>
      <c r="BA702" t="s">
        <v>74</v>
      </c>
      <c r="BB702">
        <v>5253</v>
      </c>
      <c r="BC702">
        <v>5265</v>
      </c>
      <c r="BD702" t="s">
        <v>74</v>
      </c>
      <c r="BE702" t="s">
        <v>13515</v>
      </c>
      <c r="BF702" t="str">
        <f>HYPERLINK("http://dx.doi.org/10.1002/2015JA021249","http://dx.doi.org/10.1002/2015JA021249")</f>
        <v>http://dx.doi.org/10.1002/2015JA021249</v>
      </c>
      <c r="BG702" t="s">
        <v>74</v>
      </c>
      <c r="BH702" t="s">
        <v>74</v>
      </c>
      <c r="BI702">
        <v>13</v>
      </c>
      <c r="BJ702" t="s">
        <v>378</v>
      </c>
      <c r="BK702" t="s">
        <v>101</v>
      </c>
      <c r="BL702" t="s">
        <v>378</v>
      </c>
      <c r="BM702" t="s">
        <v>13516</v>
      </c>
      <c r="BN702" t="s">
        <v>74</v>
      </c>
      <c r="BO702" t="s">
        <v>162</v>
      </c>
      <c r="BP702" t="s">
        <v>74</v>
      </c>
      <c r="BQ702" t="s">
        <v>74</v>
      </c>
      <c r="BR702" t="s">
        <v>103</v>
      </c>
      <c r="BS702" t="s">
        <v>13517</v>
      </c>
      <c r="BT702" t="str">
        <f>HYPERLINK("https%3A%2F%2Fwww.webofscience.com%2Fwos%2Fwoscc%2Ffull-record%2FWOS:000360381400001","View Full Record in Web of Science")</f>
        <v>View Full Record in Web of Science</v>
      </c>
    </row>
    <row r="703" spans="1:72" x14ac:dyDescent="0.15">
      <c r="A703" t="s">
        <v>72</v>
      </c>
      <c r="B703" t="s">
        <v>13518</v>
      </c>
      <c r="C703" t="s">
        <v>74</v>
      </c>
      <c r="D703" t="s">
        <v>74</v>
      </c>
      <c r="E703" t="s">
        <v>74</v>
      </c>
      <c r="F703" t="s">
        <v>13519</v>
      </c>
      <c r="G703" t="s">
        <v>74</v>
      </c>
      <c r="H703" t="s">
        <v>74</v>
      </c>
      <c r="I703" t="s">
        <v>13520</v>
      </c>
      <c r="J703" t="s">
        <v>13521</v>
      </c>
      <c r="K703" t="s">
        <v>74</v>
      </c>
      <c r="L703" t="s">
        <v>74</v>
      </c>
      <c r="M703" t="s">
        <v>13522</v>
      </c>
      <c r="N703" t="s">
        <v>79</v>
      </c>
      <c r="O703" t="s">
        <v>74</v>
      </c>
      <c r="P703" t="s">
        <v>74</v>
      </c>
      <c r="Q703" t="s">
        <v>74</v>
      </c>
      <c r="R703" t="s">
        <v>74</v>
      </c>
      <c r="S703" t="s">
        <v>74</v>
      </c>
      <c r="T703" t="s">
        <v>13523</v>
      </c>
      <c r="U703" t="s">
        <v>13524</v>
      </c>
      <c r="V703" t="s">
        <v>13525</v>
      </c>
      <c r="W703" t="s">
        <v>13526</v>
      </c>
      <c r="X703" t="s">
        <v>13527</v>
      </c>
      <c r="Y703" t="s">
        <v>13528</v>
      </c>
      <c r="Z703" t="s">
        <v>13529</v>
      </c>
      <c r="AA703" t="s">
        <v>13530</v>
      </c>
      <c r="AB703" t="s">
        <v>13531</v>
      </c>
      <c r="AC703" t="s">
        <v>74</v>
      </c>
      <c r="AD703" t="s">
        <v>74</v>
      </c>
      <c r="AE703" t="s">
        <v>74</v>
      </c>
      <c r="AF703" t="s">
        <v>74</v>
      </c>
      <c r="AG703">
        <v>11</v>
      </c>
      <c r="AH703">
        <v>4</v>
      </c>
      <c r="AI703">
        <v>4</v>
      </c>
      <c r="AJ703">
        <v>0</v>
      </c>
      <c r="AK703">
        <v>10</v>
      </c>
      <c r="AL703" t="s">
        <v>13532</v>
      </c>
      <c r="AM703" t="s">
        <v>719</v>
      </c>
      <c r="AN703" t="s">
        <v>13533</v>
      </c>
      <c r="AO703" t="s">
        <v>13534</v>
      </c>
      <c r="AP703" t="s">
        <v>74</v>
      </c>
      <c r="AQ703" t="s">
        <v>74</v>
      </c>
      <c r="AR703" t="s">
        <v>13535</v>
      </c>
      <c r="AS703" t="s">
        <v>13536</v>
      </c>
      <c r="AT703" t="s">
        <v>13267</v>
      </c>
      <c r="AU703">
        <v>2015</v>
      </c>
      <c r="AV703">
        <v>94</v>
      </c>
      <c r="AW703">
        <v>7</v>
      </c>
      <c r="AX703" t="s">
        <v>74</v>
      </c>
      <c r="AY703" t="s">
        <v>74</v>
      </c>
      <c r="AZ703" t="s">
        <v>74</v>
      </c>
      <c r="BA703" t="s">
        <v>74</v>
      </c>
      <c r="BB703">
        <v>756</v>
      </c>
      <c r="BC703">
        <v>763</v>
      </c>
      <c r="BD703" t="s">
        <v>74</v>
      </c>
      <c r="BE703" t="s">
        <v>13537</v>
      </c>
      <c r="BF703" t="str">
        <f>HYPERLINK("http://dx.doi.org/10.7868/S0044513415070107","http://dx.doi.org/10.7868/S0044513415070107")</f>
        <v>http://dx.doi.org/10.7868/S0044513415070107</v>
      </c>
      <c r="BG703" t="s">
        <v>74</v>
      </c>
      <c r="BH703" t="s">
        <v>74</v>
      </c>
      <c r="BI703">
        <v>8</v>
      </c>
      <c r="BJ703" t="s">
        <v>243</v>
      </c>
      <c r="BK703" t="s">
        <v>101</v>
      </c>
      <c r="BL703" t="s">
        <v>243</v>
      </c>
      <c r="BM703" t="s">
        <v>13538</v>
      </c>
      <c r="BN703" t="s">
        <v>74</v>
      </c>
      <c r="BO703" t="s">
        <v>74</v>
      </c>
      <c r="BP703" t="s">
        <v>74</v>
      </c>
      <c r="BQ703" t="s">
        <v>74</v>
      </c>
      <c r="BR703" t="s">
        <v>103</v>
      </c>
      <c r="BS703" t="s">
        <v>13539</v>
      </c>
      <c r="BT703" t="str">
        <f>HYPERLINK("https%3A%2F%2Fwww.webofscience.com%2Fwos%2Fwoscc%2Ffull-record%2FWOS:000360029500002","View Full Record in Web of Science")</f>
        <v>View Full Record in Web of Science</v>
      </c>
    </row>
    <row r="704" spans="1:72" x14ac:dyDescent="0.15">
      <c r="A704" t="s">
        <v>72</v>
      </c>
      <c r="B704" t="s">
        <v>13540</v>
      </c>
      <c r="C704" t="s">
        <v>74</v>
      </c>
      <c r="D704" t="s">
        <v>74</v>
      </c>
      <c r="E704" t="s">
        <v>74</v>
      </c>
      <c r="F704" t="s">
        <v>13541</v>
      </c>
      <c r="G704" t="s">
        <v>74</v>
      </c>
      <c r="H704" t="s">
        <v>74</v>
      </c>
      <c r="I704" t="s">
        <v>13542</v>
      </c>
      <c r="J704" t="s">
        <v>13543</v>
      </c>
      <c r="K704" t="s">
        <v>74</v>
      </c>
      <c r="L704" t="s">
        <v>74</v>
      </c>
      <c r="M704" t="s">
        <v>78</v>
      </c>
      <c r="N704" t="s">
        <v>79</v>
      </c>
      <c r="O704" t="s">
        <v>74</v>
      </c>
      <c r="P704" t="s">
        <v>74</v>
      </c>
      <c r="Q704" t="s">
        <v>74</v>
      </c>
      <c r="R704" t="s">
        <v>74</v>
      </c>
      <c r="S704" t="s">
        <v>74</v>
      </c>
      <c r="T704" t="s">
        <v>13544</v>
      </c>
      <c r="U704" t="s">
        <v>13545</v>
      </c>
      <c r="V704" t="s">
        <v>13546</v>
      </c>
      <c r="W704" t="s">
        <v>13547</v>
      </c>
      <c r="X704" t="s">
        <v>13548</v>
      </c>
      <c r="Y704" t="s">
        <v>13549</v>
      </c>
      <c r="Z704" t="s">
        <v>13550</v>
      </c>
      <c r="AA704" t="s">
        <v>13551</v>
      </c>
      <c r="AB704" t="s">
        <v>74</v>
      </c>
      <c r="AC704" t="s">
        <v>13552</v>
      </c>
      <c r="AD704" t="s">
        <v>13553</v>
      </c>
      <c r="AE704" t="s">
        <v>13554</v>
      </c>
      <c r="AF704" t="s">
        <v>74</v>
      </c>
      <c r="AG704">
        <v>38</v>
      </c>
      <c r="AH704">
        <v>13</v>
      </c>
      <c r="AI704">
        <v>17</v>
      </c>
      <c r="AJ704">
        <v>1</v>
      </c>
      <c r="AK704">
        <v>36</v>
      </c>
      <c r="AL704" t="s">
        <v>13555</v>
      </c>
      <c r="AM704" t="s">
        <v>13372</v>
      </c>
      <c r="AN704" t="s">
        <v>13556</v>
      </c>
      <c r="AO704" t="s">
        <v>13557</v>
      </c>
      <c r="AP704" t="s">
        <v>13558</v>
      </c>
      <c r="AQ704" t="s">
        <v>74</v>
      </c>
      <c r="AR704" t="s">
        <v>13559</v>
      </c>
      <c r="AS704" t="s">
        <v>13560</v>
      </c>
      <c r="AT704" t="s">
        <v>13248</v>
      </c>
      <c r="AU704">
        <v>2015</v>
      </c>
      <c r="AV704">
        <v>46</v>
      </c>
      <c r="AW704">
        <v>3</v>
      </c>
      <c r="AX704" t="s">
        <v>74</v>
      </c>
      <c r="AY704" t="s">
        <v>74</v>
      </c>
      <c r="AZ704" t="s">
        <v>74</v>
      </c>
      <c r="BA704" t="s">
        <v>74</v>
      </c>
      <c r="BB704">
        <v>683</v>
      </c>
      <c r="BC704">
        <v>690</v>
      </c>
      <c r="BD704" t="s">
        <v>74</v>
      </c>
      <c r="BE704" t="s">
        <v>13561</v>
      </c>
      <c r="BF704" t="str">
        <f>HYPERLINK("http://dx.doi.org/10.1590/S1517-838246320131289","http://dx.doi.org/10.1590/S1517-838246320131289")</f>
        <v>http://dx.doi.org/10.1590/S1517-838246320131289</v>
      </c>
      <c r="BG704" t="s">
        <v>74</v>
      </c>
      <c r="BH704" t="s">
        <v>74</v>
      </c>
      <c r="BI704">
        <v>8</v>
      </c>
      <c r="BJ704" t="s">
        <v>160</v>
      </c>
      <c r="BK704" t="s">
        <v>101</v>
      </c>
      <c r="BL704" t="s">
        <v>160</v>
      </c>
      <c r="BM704" t="s">
        <v>13562</v>
      </c>
      <c r="BN704">
        <v>26413048</v>
      </c>
      <c r="BO704" t="s">
        <v>1097</v>
      </c>
      <c r="BP704" t="s">
        <v>74</v>
      </c>
      <c r="BQ704" t="s">
        <v>74</v>
      </c>
      <c r="BR704" t="s">
        <v>103</v>
      </c>
      <c r="BS704" t="s">
        <v>13563</v>
      </c>
      <c r="BT704" t="str">
        <f>HYPERLINK("https%3A%2F%2Fwww.webofscience.com%2Fwos%2Fwoscc%2Ffull-record%2FWOS:000360074700007","View Full Record in Web of Science")</f>
        <v>View Full Record in Web of Science</v>
      </c>
    </row>
    <row r="705" spans="1:72" x14ac:dyDescent="0.15">
      <c r="A705" t="s">
        <v>72</v>
      </c>
      <c r="B705" t="s">
        <v>13564</v>
      </c>
      <c r="C705" t="s">
        <v>74</v>
      </c>
      <c r="D705" t="s">
        <v>74</v>
      </c>
      <c r="E705" t="s">
        <v>74</v>
      </c>
      <c r="F705" t="s">
        <v>13565</v>
      </c>
      <c r="G705" t="s">
        <v>74</v>
      </c>
      <c r="H705" t="s">
        <v>74</v>
      </c>
      <c r="I705" t="s">
        <v>13566</v>
      </c>
      <c r="J705" t="s">
        <v>13543</v>
      </c>
      <c r="K705" t="s">
        <v>74</v>
      </c>
      <c r="L705" t="s">
        <v>74</v>
      </c>
      <c r="M705" t="s">
        <v>78</v>
      </c>
      <c r="N705" t="s">
        <v>79</v>
      </c>
      <c r="O705" t="s">
        <v>74</v>
      </c>
      <c r="P705" t="s">
        <v>74</v>
      </c>
      <c r="Q705" t="s">
        <v>74</v>
      </c>
      <c r="R705" t="s">
        <v>74</v>
      </c>
      <c r="S705" t="s">
        <v>74</v>
      </c>
      <c r="T705" t="s">
        <v>13567</v>
      </c>
      <c r="U705" t="s">
        <v>13568</v>
      </c>
      <c r="V705" t="s">
        <v>13569</v>
      </c>
      <c r="W705" t="s">
        <v>13570</v>
      </c>
      <c r="X705" t="s">
        <v>13571</v>
      </c>
      <c r="Y705" t="s">
        <v>13572</v>
      </c>
      <c r="Z705" t="s">
        <v>13573</v>
      </c>
      <c r="AA705" t="s">
        <v>13574</v>
      </c>
      <c r="AB705" t="s">
        <v>13575</v>
      </c>
      <c r="AC705" t="s">
        <v>13576</v>
      </c>
      <c r="AD705" t="s">
        <v>13577</v>
      </c>
      <c r="AE705" t="s">
        <v>13578</v>
      </c>
      <c r="AF705" t="s">
        <v>74</v>
      </c>
      <c r="AG705">
        <v>32</v>
      </c>
      <c r="AH705">
        <v>6</v>
      </c>
      <c r="AI705">
        <v>6</v>
      </c>
      <c r="AJ705">
        <v>0</v>
      </c>
      <c r="AK705">
        <v>6</v>
      </c>
      <c r="AL705" t="s">
        <v>92</v>
      </c>
      <c r="AM705" t="s">
        <v>550</v>
      </c>
      <c r="AN705" t="s">
        <v>4772</v>
      </c>
      <c r="AO705" t="s">
        <v>13557</v>
      </c>
      <c r="AP705" t="s">
        <v>13558</v>
      </c>
      <c r="AQ705" t="s">
        <v>74</v>
      </c>
      <c r="AR705" t="s">
        <v>13559</v>
      </c>
      <c r="AS705" t="s">
        <v>13560</v>
      </c>
      <c r="AT705" t="s">
        <v>13248</v>
      </c>
      <c r="AU705">
        <v>2015</v>
      </c>
      <c r="AV705">
        <v>46</v>
      </c>
      <c r="AW705">
        <v>3</v>
      </c>
      <c r="AX705" t="s">
        <v>74</v>
      </c>
      <c r="AY705" t="s">
        <v>74</v>
      </c>
      <c r="AZ705" t="s">
        <v>74</v>
      </c>
      <c r="BA705" t="s">
        <v>74</v>
      </c>
      <c r="BB705">
        <v>725</v>
      </c>
      <c r="BC705">
        <v>734</v>
      </c>
      <c r="BD705" t="s">
        <v>74</v>
      </c>
      <c r="BE705" t="s">
        <v>13579</v>
      </c>
      <c r="BF705" t="str">
        <f>HYPERLINK("http://dx.doi.org/10.1590/S1517-838246320140502","http://dx.doi.org/10.1590/S1517-838246320140502")</f>
        <v>http://dx.doi.org/10.1590/S1517-838246320140502</v>
      </c>
      <c r="BG705" t="s">
        <v>74</v>
      </c>
      <c r="BH705" t="s">
        <v>74</v>
      </c>
      <c r="BI705">
        <v>10</v>
      </c>
      <c r="BJ705" t="s">
        <v>160</v>
      </c>
      <c r="BK705" t="s">
        <v>101</v>
      </c>
      <c r="BL705" t="s">
        <v>160</v>
      </c>
      <c r="BM705" t="s">
        <v>13562</v>
      </c>
      <c r="BN705">
        <v>26413053</v>
      </c>
      <c r="BO705" t="s">
        <v>1262</v>
      </c>
      <c r="BP705" t="s">
        <v>74</v>
      </c>
      <c r="BQ705" t="s">
        <v>74</v>
      </c>
      <c r="BR705" t="s">
        <v>103</v>
      </c>
      <c r="BS705" t="s">
        <v>13580</v>
      </c>
      <c r="BT705" t="str">
        <f>HYPERLINK("https%3A%2F%2Fwww.webofscience.com%2Fwos%2Fwoscc%2Ffull-record%2FWOS:000360074700012","View Full Record in Web of Science")</f>
        <v>View Full Record in Web of Science</v>
      </c>
    </row>
    <row r="706" spans="1:72" x14ac:dyDescent="0.15">
      <c r="A706" t="s">
        <v>72</v>
      </c>
      <c r="B706" t="s">
        <v>13581</v>
      </c>
      <c r="C706" t="s">
        <v>74</v>
      </c>
      <c r="D706" t="s">
        <v>74</v>
      </c>
      <c r="E706" t="s">
        <v>74</v>
      </c>
      <c r="F706" t="s">
        <v>13582</v>
      </c>
      <c r="G706" t="s">
        <v>74</v>
      </c>
      <c r="H706" t="s">
        <v>74</v>
      </c>
      <c r="I706" t="s">
        <v>13583</v>
      </c>
      <c r="J706" t="s">
        <v>11620</v>
      </c>
      <c r="K706" t="s">
        <v>74</v>
      </c>
      <c r="L706" t="s">
        <v>74</v>
      </c>
      <c r="M706" t="s">
        <v>78</v>
      </c>
      <c r="N706" t="s">
        <v>79</v>
      </c>
      <c r="O706" t="s">
        <v>74</v>
      </c>
      <c r="P706" t="s">
        <v>74</v>
      </c>
      <c r="Q706" t="s">
        <v>74</v>
      </c>
      <c r="R706" t="s">
        <v>74</v>
      </c>
      <c r="S706" t="s">
        <v>74</v>
      </c>
      <c r="T706" t="s">
        <v>13584</v>
      </c>
      <c r="U706" t="s">
        <v>13585</v>
      </c>
      <c r="V706" t="s">
        <v>13586</v>
      </c>
      <c r="W706" t="s">
        <v>13587</v>
      </c>
      <c r="X706" t="s">
        <v>13588</v>
      </c>
      <c r="Y706" t="s">
        <v>13589</v>
      </c>
      <c r="Z706" t="s">
        <v>13590</v>
      </c>
      <c r="AA706" t="s">
        <v>74</v>
      </c>
      <c r="AB706" t="s">
        <v>74</v>
      </c>
      <c r="AC706" t="s">
        <v>13591</v>
      </c>
      <c r="AD706" t="s">
        <v>13592</v>
      </c>
      <c r="AE706" t="s">
        <v>13593</v>
      </c>
      <c r="AF706" t="s">
        <v>74</v>
      </c>
      <c r="AG706">
        <v>49</v>
      </c>
      <c r="AH706">
        <v>3</v>
      </c>
      <c r="AI706">
        <v>3</v>
      </c>
      <c r="AJ706">
        <v>0</v>
      </c>
      <c r="AK706">
        <v>19</v>
      </c>
      <c r="AL706" t="s">
        <v>2279</v>
      </c>
      <c r="AM706" t="s">
        <v>398</v>
      </c>
      <c r="AN706" t="s">
        <v>2280</v>
      </c>
      <c r="AO706" t="s">
        <v>11632</v>
      </c>
      <c r="AP706" t="s">
        <v>11633</v>
      </c>
      <c r="AQ706" t="s">
        <v>74</v>
      </c>
      <c r="AR706" t="s">
        <v>11634</v>
      </c>
      <c r="AS706" t="s">
        <v>11635</v>
      </c>
      <c r="AT706" t="s">
        <v>13267</v>
      </c>
      <c r="AU706">
        <v>2015</v>
      </c>
      <c r="AV706">
        <v>362</v>
      </c>
      <c r="AW706">
        <v>14</v>
      </c>
      <c r="AX706" t="s">
        <v>74</v>
      </c>
      <c r="AY706" t="s">
        <v>74</v>
      </c>
      <c r="AZ706" t="s">
        <v>74</v>
      </c>
      <c r="BA706" t="s">
        <v>74</v>
      </c>
      <c r="BB706" t="s">
        <v>74</v>
      </c>
      <c r="BC706" t="s">
        <v>74</v>
      </c>
      <c r="BD706" t="s">
        <v>13594</v>
      </c>
      <c r="BE706" t="s">
        <v>13595</v>
      </c>
      <c r="BF706" t="str">
        <f>HYPERLINK("http://dx.doi.org/10.1093/femsle/fnv106","http://dx.doi.org/10.1093/femsle/fnv106")</f>
        <v>http://dx.doi.org/10.1093/femsle/fnv106</v>
      </c>
      <c r="BG706" t="s">
        <v>74</v>
      </c>
      <c r="BH706" t="s">
        <v>74</v>
      </c>
      <c r="BI706">
        <v>8</v>
      </c>
      <c r="BJ706" t="s">
        <v>160</v>
      </c>
      <c r="BK706" t="s">
        <v>101</v>
      </c>
      <c r="BL706" t="s">
        <v>160</v>
      </c>
      <c r="BM706" t="s">
        <v>13596</v>
      </c>
      <c r="BN706">
        <v>26184094</v>
      </c>
      <c r="BO706" t="s">
        <v>162</v>
      </c>
      <c r="BP706" t="s">
        <v>74</v>
      </c>
      <c r="BQ706" t="s">
        <v>74</v>
      </c>
      <c r="BR706" t="s">
        <v>103</v>
      </c>
      <c r="BS706" t="s">
        <v>13597</v>
      </c>
      <c r="BT706" t="str">
        <f>HYPERLINK("https%3A%2F%2Fwww.webofscience.com%2Fwos%2Fwoscc%2Ffull-record%2FWOS:000359822500008","View Full Record in Web of Science")</f>
        <v>View Full Record in Web of Science</v>
      </c>
    </row>
    <row r="707" spans="1:72" x14ac:dyDescent="0.15">
      <c r="A707" t="s">
        <v>72</v>
      </c>
      <c r="B707" t="s">
        <v>13598</v>
      </c>
      <c r="C707" t="s">
        <v>74</v>
      </c>
      <c r="D707" t="s">
        <v>74</v>
      </c>
      <c r="E707" t="s">
        <v>74</v>
      </c>
      <c r="F707" t="s">
        <v>13599</v>
      </c>
      <c r="G707" t="s">
        <v>74</v>
      </c>
      <c r="H707" t="s">
        <v>74</v>
      </c>
      <c r="I707" t="s">
        <v>13600</v>
      </c>
      <c r="J707" t="s">
        <v>13601</v>
      </c>
      <c r="K707" t="s">
        <v>74</v>
      </c>
      <c r="L707" t="s">
        <v>74</v>
      </c>
      <c r="M707" t="s">
        <v>78</v>
      </c>
      <c r="N707" t="s">
        <v>581</v>
      </c>
      <c r="O707" t="s">
        <v>74</v>
      </c>
      <c r="P707" t="s">
        <v>74</v>
      </c>
      <c r="Q707" t="s">
        <v>74</v>
      </c>
      <c r="R707" t="s">
        <v>74</v>
      </c>
      <c r="S707" t="s">
        <v>74</v>
      </c>
      <c r="T707" t="s">
        <v>13602</v>
      </c>
      <c r="U707" t="s">
        <v>13603</v>
      </c>
      <c r="V707" t="s">
        <v>13604</v>
      </c>
      <c r="W707" t="s">
        <v>13605</v>
      </c>
      <c r="X707" t="s">
        <v>13606</v>
      </c>
      <c r="Y707" t="s">
        <v>13607</v>
      </c>
      <c r="Z707" t="s">
        <v>13608</v>
      </c>
      <c r="AA707" t="s">
        <v>13609</v>
      </c>
      <c r="AB707" t="s">
        <v>13610</v>
      </c>
      <c r="AC707" t="s">
        <v>13611</v>
      </c>
      <c r="AD707" t="s">
        <v>7601</v>
      </c>
      <c r="AE707" t="s">
        <v>11434</v>
      </c>
      <c r="AF707" t="s">
        <v>74</v>
      </c>
      <c r="AG707">
        <v>112</v>
      </c>
      <c r="AH707">
        <v>58</v>
      </c>
      <c r="AI707">
        <v>62</v>
      </c>
      <c r="AJ707">
        <v>2</v>
      </c>
      <c r="AK707">
        <v>38</v>
      </c>
      <c r="AL707" t="s">
        <v>6460</v>
      </c>
      <c r="AM707" t="s">
        <v>3041</v>
      </c>
      <c r="AN707" t="s">
        <v>6461</v>
      </c>
      <c r="AO707" t="s">
        <v>13612</v>
      </c>
      <c r="AP707" t="s">
        <v>74</v>
      </c>
      <c r="AQ707" t="s">
        <v>74</v>
      </c>
      <c r="AR707" t="s">
        <v>13613</v>
      </c>
      <c r="AS707" t="s">
        <v>13614</v>
      </c>
      <c r="AT707" t="s">
        <v>13267</v>
      </c>
      <c r="AU707">
        <v>2015</v>
      </c>
      <c r="AV707">
        <v>16</v>
      </c>
      <c r="AW707">
        <v>7</v>
      </c>
      <c r="AX707" t="s">
        <v>74</v>
      </c>
      <c r="AY707" t="s">
        <v>74</v>
      </c>
      <c r="AZ707" t="s">
        <v>74</v>
      </c>
      <c r="BA707" t="s">
        <v>74</v>
      </c>
      <c r="BB707">
        <v>15456</v>
      </c>
      <c r="BC707">
        <v>15480</v>
      </c>
      <c r="BD707" t="s">
        <v>74</v>
      </c>
      <c r="BE707" t="s">
        <v>13615</v>
      </c>
      <c r="BF707" t="str">
        <f>HYPERLINK("http://dx.doi.org/10.3390/ijms160715456","http://dx.doi.org/10.3390/ijms160715456")</f>
        <v>http://dx.doi.org/10.3390/ijms160715456</v>
      </c>
      <c r="BG707" t="s">
        <v>74</v>
      </c>
      <c r="BH707" t="s">
        <v>74</v>
      </c>
      <c r="BI707">
        <v>25</v>
      </c>
      <c r="BJ707" t="s">
        <v>13616</v>
      </c>
      <c r="BK707" t="s">
        <v>101</v>
      </c>
      <c r="BL707" t="s">
        <v>9052</v>
      </c>
      <c r="BM707" t="s">
        <v>13617</v>
      </c>
      <c r="BN707">
        <v>26184158</v>
      </c>
      <c r="BO707" t="s">
        <v>1282</v>
      </c>
      <c r="BP707" t="s">
        <v>74</v>
      </c>
      <c r="BQ707" t="s">
        <v>74</v>
      </c>
      <c r="BR707" t="s">
        <v>103</v>
      </c>
      <c r="BS707" t="s">
        <v>13618</v>
      </c>
      <c r="BT707" t="str">
        <f>HYPERLINK("https%3A%2F%2Fwww.webofscience.com%2Fwos%2Fwoscc%2Ffull-record%2FWOS:000359900100067","View Full Record in Web of Science")</f>
        <v>View Full Record in Web of Science</v>
      </c>
    </row>
    <row r="708" spans="1:72" x14ac:dyDescent="0.15">
      <c r="A708" t="s">
        <v>72</v>
      </c>
      <c r="B708" t="s">
        <v>13619</v>
      </c>
      <c r="C708" t="s">
        <v>74</v>
      </c>
      <c r="D708" t="s">
        <v>74</v>
      </c>
      <c r="E708" t="s">
        <v>74</v>
      </c>
      <c r="F708" t="s">
        <v>13620</v>
      </c>
      <c r="G708" t="s">
        <v>74</v>
      </c>
      <c r="H708" t="s">
        <v>74</v>
      </c>
      <c r="I708" t="s">
        <v>13621</v>
      </c>
      <c r="J708" t="s">
        <v>322</v>
      </c>
      <c r="K708" t="s">
        <v>74</v>
      </c>
      <c r="L708" t="s">
        <v>74</v>
      </c>
      <c r="M708" t="s">
        <v>78</v>
      </c>
      <c r="N708" t="s">
        <v>79</v>
      </c>
      <c r="O708" t="s">
        <v>74</v>
      </c>
      <c r="P708" t="s">
        <v>74</v>
      </c>
      <c r="Q708" t="s">
        <v>74</v>
      </c>
      <c r="R708" t="s">
        <v>74</v>
      </c>
      <c r="S708" t="s">
        <v>74</v>
      </c>
      <c r="T708" t="s">
        <v>74</v>
      </c>
      <c r="U708" t="s">
        <v>13622</v>
      </c>
      <c r="V708" t="s">
        <v>13623</v>
      </c>
      <c r="W708" t="s">
        <v>13624</v>
      </c>
      <c r="X708" t="s">
        <v>13625</v>
      </c>
      <c r="Y708" t="s">
        <v>13626</v>
      </c>
      <c r="Z708" t="s">
        <v>13627</v>
      </c>
      <c r="AA708" t="s">
        <v>13628</v>
      </c>
      <c r="AB708" t="s">
        <v>13629</v>
      </c>
      <c r="AC708" t="s">
        <v>13630</v>
      </c>
      <c r="AD708" t="s">
        <v>13631</v>
      </c>
      <c r="AE708" t="s">
        <v>13632</v>
      </c>
      <c r="AF708" t="s">
        <v>74</v>
      </c>
      <c r="AG708">
        <v>54</v>
      </c>
      <c r="AH708">
        <v>21</v>
      </c>
      <c r="AI708">
        <v>24</v>
      </c>
      <c r="AJ708">
        <v>0</v>
      </c>
      <c r="AK708">
        <v>25</v>
      </c>
      <c r="AL708" t="s">
        <v>306</v>
      </c>
      <c r="AM708" t="s">
        <v>307</v>
      </c>
      <c r="AN708" t="s">
        <v>308</v>
      </c>
      <c r="AO708" t="s">
        <v>334</v>
      </c>
      <c r="AP708" t="s">
        <v>335</v>
      </c>
      <c r="AQ708" t="s">
        <v>74</v>
      </c>
      <c r="AR708" t="s">
        <v>336</v>
      </c>
      <c r="AS708" t="s">
        <v>337</v>
      </c>
      <c r="AT708" t="s">
        <v>13267</v>
      </c>
      <c r="AU708">
        <v>2015</v>
      </c>
      <c r="AV708">
        <v>120</v>
      </c>
      <c r="AW708">
        <v>7</v>
      </c>
      <c r="AX708" t="s">
        <v>74</v>
      </c>
      <c r="AY708" t="s">
        <v>74</v>
      </c>
      <c r="AZ708" t="s">
        <v>74</v>
      </c>
      <c r="BA708" t="s">
        <v>74</v>
      </c>
      <c r="BB708">
        <v>4891</v>
      </c>
      <c r="BC708">
        <v>4906</v>
      </c>
      <c r="BD708" t="s">
        <v>74</v>
      </c>
      <c r="BE708" t="s">
        <v>13633</v>
      </c>
      <c r="BF708" t="str">
        <f>HYPERLINK("http://dx.doi.org/10.1002/2014JC010476","http://dx.doi.org/10.1002/2014JC010476")</f>
        <v>http://dx.doi.org/10.1002/2014JC010476</v>
      </c>
      <c r="BG708" t="s">
        <v>74</v>
      </c>
      <c r="BH708" t="s">
        <v>74</v>
      </c>
      <c r="BI708">
        <v>16</v>
      </c>
      <c r="BJ708" t="s">
        <v>339</v>
      </c>
      <c r="BK708" t="s">
        <v>101</v>
      </c>
      <c r="BL708" t="s">
        <v>339</v>
      </c>
      <c r="BM708" t="s">
        <v>13634</v>
      </c>
      <c r="BN708" t="s">
        <v>74</v>
      </c>
      <c r="BO708" t="s">
        <v>162</v>
      </c>
      <c r="BP708" t="s">
        <v>74</v>
      </c>
      <c r="BQ708" t="s">
        <v>74</v>
      </c>
      <c r="BR708" t="s">
        <v>103</v>
      </c>
      <c r="BS708" t="s">
        <v>13635</v>
      </c>
      <c r="BT708" t="str">
        <f>HYPERLINK("https%3A%2F%2Fwww.webofscience.com%2Fwos%2Fwoscc%2Ffull-record%2FWOS:000359776000015","View Full Record in Web of Science")</f>
        <v>View Full Record in Web of Science</v>
      </c>
    </row>
    <row r="709" spans="1:72" x14ac:dyDescent="0.15">
      <c r="A709" t="s">
        <v>72</v>
      </c>
      <c r="B709" t="s">
        <v>13636</v>
      </c>
      <c r="C709" t="s">
        <v>74</v>
      </c>
      <c r="D709" t="s">
        <v>74</v>
      </c>
      <c r="E709" t="s">
        <v>74</v>
      </c>
      <c r="F709" t="s">
        <v>13637</v>
      </c>
      <c r="G709" t="s">
        <v>74</v>
      </c>
      <c r="H709" t="s">
        <v>74</v>
      </c>
      <c r="I709" t="s">
        <v>13638</v>
      </c>
      <c r="J709" t="s">
        <v>322</v>
      </c>
      <c r="K709" t="s">
        <v>74</v>
      </c>
      <c r="L709" t="s">
        <v>74</v>
      </c>
      <c r="M709" t="s">
        <v>78</v>
      </c>
      <c r="N709" t="s">
        <v>79</v>
      </c>
      <c r="O709" t="s">
        <v>74</v>
      </c>
      <c r="P709" t="s">
        <v>74</v>
      </c>
      <c r="Q709" t="s">
        <v>74</v>
      </c>
      <c r="R709" t="s">
        <v>74</v>
      </c>
      <c r="S709" t="s">
        <v>74</v>
      </c>
      <c r="T709" t="s">
        <v>74</v>
      </c>
      <c r="U709" t="s">
        <v>13639</v>
      </c>
      <c r="V709" t="s">
        <v>13640</v>
      </c>
      <c r="W709" t="s">
        <v>13641</v>
      </c>
      <c r="X709" t="s">
        <v>13642</v>
      </c>
      <c r="Y709" t="s">
        <v>13643</v>
      </c>
      <c r="Z709" t="s">
        <v>13644</v>
      </c>
      <c r="AA709" t="s">
        <v>13645</v>
      </c>
      <c r="AB709" t="s">
        <v>13646</v>
      </c>
      <c r="AC709" t="s">
        <v>13647</v>
      </c>
      <c r="AD709" t="s">
        <v>13648</v>
      </c>
      <c r="AE709" t="s">
        <v>13649</v>
      </c>
      <c r="AF709" t="s">
        <v>74</v>
      </c>
      <c r="AG709">
        <v>45</v>
      </c>
      <c r="AH709">
        <v>21</v>
      </c>
      <c r="AI709">
        <v>23</v>
      </c>
      <c r="AJ709">
        <v>1</v>
      </c>
      <c r="AK709">
        <v>17</v>
      </c>
      <c r="AL709" t="s">
        <v>306</v>
      </c>
      <c r="AM709" t="s">
        <v>307</v>
      </c>
      <c r="AN709" t="s">
        <v>308</v>
      </c>
      <c r="AO709" t="s">
        <v>334</v>
      </c>
      <c r="AP709" t="s">
        <v>335</v>
      </c>
      <c r="AQ709" t="s">
        <v>74</v>
      </c>
      <c r="AR709" t="s">
        <v>336</v>
      </c>
      <c r="AS709" t="s">
        <v>337</v>
      </c>
      <c r="AT709" t="s">
        <v>13267</v>
      </c>
      <c r="AU709">
        <v>2015</v>
      </c>
      <c r="AV709">
        <v>120</v>
      </c>
      <c r="AW709">
        <v>7</v>
      </c>
      <c r="AX709" t="s">
        <v>74</v>
      </c>
      <c r="AY709" t="s">
        <v>74</v>
      </c>
      <c r="AZ709" t="s">
        <v>74</v>
      </c>
      <c r="BA709" t="s">
        <v>74</v>
      </c>
      <c r="BB709">
        <v>5179</v>
      </c>
      <c r="BC709">
        <v>5193</v>
      </c>
      <c r="BD709" t="s">
        <v>74</v>
      </c>
      <c r="BE709" t="s">
        <v>13650</v>
      </c>
      <c r="BF709" t="str">
        <f>HYPERLINK("http://dx.doi.org/10.1002/2015JC010723","http://dx.doi.org/10.1002/2015JC010723")</f>
        <v>http://dx.doi.org/10.1002/2015JC010723</v>
      </c>
      <c r="BG709" t="s">
        <v>74</v>
      </c>
      <c r="BH709" t="s">
        <v>74</v>
      </c>
      <c r="BI709">
        <v>15</v>
      </c>
      <c r="BJ709" t="s">
        <v>339</v>
      </c>
      <c r="BK709" t="s">
        <v>101</v>
      </c>
      <c r="BL709" t="s">
        <v>339</v>
      </c>
      <c r="BM709" t="s">
        <v>13634</v>
      </c>
      <c r="BN709" t="s">
        <v>74</v>
      </c>
      <c r="BO709" t="s">
        <v>4252</v>
      </c>
      <c r="BP709" t="s">
        <v>74</v>
      </c>
      <c r="BQ709" t="s">
        <v>74</v>
      </c>
      <c r="BR709" t="s">
        <v>103</v>
      </c>
      <c r="BS709" t="s">
        <v>13651</v>
      </c>
      <c r="BT709" t="str">
        <f>HYPERLINK("https%3A%2F%2Fwww.webofscience.com%2Fwos%2Fwoscc%2Ffull-record%2FWOS:000359776000031","View Full Record in Web of Science")</f>
        <v>View Full Record in Web of Science</v>
      </c>
    </row>
    <row r="710" spans="1:72" x14ac:dyDescent="0.15">
      <c r="A710" t="s">
        <v>72</v>
      </c>
      <c r="B710" t="s">
        <v>13652</v>
      </c>
      <c r="C710" t="s">
        <v>74</v>
      </c>
      <c r="D710" t="s">
        <v>74</v>
      </c>
      <c r="E710" t="s">
        <v>74</v>
      </c>
      <c r="F710" t="s">
        <v>13653</v>
      </c>
      <c r="G710" t="s">
        <v>74</v>
      </c>
      <c r="H710" t="s">
        <v>74</v>
      </c>
      <c r="I710" t="s">
        <v>13654</v>
      </c>
      <c r="J710" t="s">
        <v>13655</v>
      </c>
      <c r="K710" t="s">
        <v>74</v>
      </c>
      <c r="L710" t="s">
        <v>74</v>
      </c>
      <c r="M710" t="s">
        <v>78</v>
      </c>
      <c r="N710" t="s">
        <v>79</v>
      </c>
      <c r="O710" t="s">
        <v>74</v>
      </c>
      <c r="P710" t="s">
        <v>74</v>
      </c>
      <c r="Q710" t="s">
        <v>74</v>
      </c>
      <c r="R710" t="s">
        <v>74</v>
      </c>
      <c r="S710" t="s">
        <v>74</v>
      </c>
      <c r="T710" t="s">
        <v>13656</v>
      </c>
      <c r="U710" t="s">
        <v>13657</v>
      </c>
      <c r="V710" t="s">
        <v>13658</v>
      </c>
      <c r="W710" t="s">
        <v>13659</v>
      </c>
      <c r="X710" t="s">
        <v>13660</v>
      </c>
      <c r="Y710" t="s">
        <v>13661</v>
      </c>
      <c r="Z710" t="s">
        <v>13662</v>
      </c>
      <c r="AA710" t="s">
        <v>13663</v>
      </c>
      <c r="AB710" t="s">
        <v>13664</v>
      </c>
      <c r="AC710" t="s">
        <v>13665</v>
      </c>
      <c r="AD710" t="s">
        <v>13666</v>
      </c>
      <c r="AE710" t="s">
        <v>13667</v>
      </c>
      <c r="AF710" t="s">
        <v>74</v>
      </c>
      <c r="AG710">
        <v>25</v>
      </c>
      <c r="AH710">
        <v>4</v>
      </c>
      <c r="AI710">
        <v>4</v>
      </c>
      <c r="AJ710">
        <v>3</v>
      </c>
      <c r="AK710">
        <v>20</v>
      </c>
      <c r="AL710" t="s">
        <v>2279</v>
      </c>
      <c r="AM710" t="s">
        <v>398</v>
      </c>
      <c r="AN710" t="s">
        <v>2280</v>
      </c>
      <c r="AO710" t="s">
        <v>13668</v>
      </c>
      <c r="AP710" t="s">
        <v>13669</v>
      </c>
      <c r="AQ710" t="s">
        <v>74</v>
      </c>
      <c r="AR710" t="s">
        <v>13670</v>
      </c>
      <c r="AS710" t="s">
        <v>13671</v>
      </c>
      <c r="AT710" t="s">
        <v>13351</v>
      </c>
      <c r="AU710">
        <v>2015</v>
      </c>
      <c r="AV710">
        <v>37</v>
      </c>
      <c r="AW710">
        <v>4</v>
      </c>
      <c r="AX710" t="s">
        <v>74</v>
      </c>
      <c r="AY710" t="s">
        <v>74</v>
      </c>
      <c r="AZ710" t="s">
        <v>74</v>
      </c>
      <c r="BA710" t="s">
        <v>74</v>
      </c>
      <c r="BB710">
        <v>659</v>
      </c>
      <c r="BC710">
        <v>665</v>
      </c>
      <c r="BD710" t="s">
        <v>74</v>
      </c>
      <c r="BE710" t="s">
        <v>13672</v>
      </c>
      <c r="BF710" t="str">
        <f>HYPERLINK("http://dx.doi.org/10.1093/plankt/fbv042","http://dx.doi.org/10.1093/plankt/fbv042")</f>
        <v>http://dx.doi.org/10.1093/plankt/fbv042</v>
      </c>
      <c r="BG710" t="s">
        <v>74</v>
      </c>
      <c r="BH710" t="s">
        <v>74</v>
      </c>
      <c r="BI710">
        <v>7</v>
      </c>
      <c r="BJ710" t="s">
        <v>478</v>
      </c>
      <c r="BK710" t="s">
        <v>101</v>
      </c>
      <c r="BL710" t="s">
        <v>478</v>
      </c>
      <c r="BM710" t="s">
        <v>13673</v>
      </c>
      <c r="BN710" t="s">
        <v>74</v>
      </c>
      <c r="BO710" t="s">
        <v>4189</v>
      </c>
      <c r="BP710" t="s">
        <v>74</v>
      </c>
      <c r="BQ710" t="s">
        <v>74</v>
      </c>
      <c r="BR710" t="s">
        <v>103</v>
      </c>
      <c r="BS710" t="s">
        <v>13674</v>
      </c>
      <c r="BT710" t="str">
        <f>HYPERLINK("https%3A%2F%2Fwww.webofscience.com%2Fwos%2Fwoscc%2Ffull-record%2FWOS:000359646700001","View Full Record in Web of Science")</f>
        <v>View Full Record in Web of Science</v>
      </c>
    </row>
    <row r="711" spans="1:72" x14ac:dyDescent="0.15">
      <c r="A711" t="s">
        <v>72</v>
      </c>
      <c r="B711" t="s">
        <v>13675</v>
      </c>
      <c r="C711" t="s">
        <v>74</v>
      </c>
      <c r="D711" t="s">
        <v>74</v>
      </c>
      <c r="E711" t="s">
        <v>74</v>
      </c>
      <c r="F711" t="s">
        <v>13676</v>
      </c>
      <c r="G711" t="s">
        <v>74</v>
      </c>
      <c r="H711" t="s">
        <v>74</v>
      </c>
      <c r="I711" t="s">
        <v>13677</v>
      </c>
      <c r="J711" t="s">
        <v>650</v>
      </c>
      <c r="K711" t="s">
        <v>74</v>
      </c>
      <c r="L711" t="s">
        <v>74</v>
      </c>
      <c r="M711" t="s">
        <v>78</v>
      </c>
      <c r="N711" t="s">
        <v>79</v>
      </c>
      <c r="O711" t="s">
        <v>74</v>
      </c>
      <c r="P711" t="s">
        <v>74</v>
      </c>
      <c r="Q711" t="s">
        <v>74</v>
      </c>
      <c r="R711" t="s">
        <v>74</v>
      </c>
      <c r="S711" t="s">
        <v>74</v>
      </c>
      <c r="T711" t="s">
        <v>74</v>
      </c>
      <c r="U711" t="s">
        <v>13678</v>
      </c>
      <c r="V711" t="s">
        <v>13679</v>
      </c>
      <c r="W711" t="s">
        <v>13680</v>
      </c>
      <c r="X711" t="s">
        <v>13681</v>
      </c>
      <c r="Y711" t="s">
        <v>13682</v>
      </c>
      <c r="Z711" t="s">
        <v>13683</v>
      </c>
      <c r="AA711" t="s">
        <v>13684</v>
      </c>
      <c r="AB711" t="s">
        <v>13685</v>
      </c>
      <c r="AC711" t="s">
        <v>13686</v>
      </c>
      <c r="AD711" t="s">
        <v>13686</v>
      </c>
      <c r="AE711" t="s">
        <v>13687</v>
      </c>
      <c r="AF711" t="s">
        <v>74</v>
      </c>
      <c r="AG711">
        <v>109</v>
      </c>
      <c r="AH711">
        <v>52</v>
      </c>
      <c r="AI711">
        <v>56</v>
      </c>
      <c r="AJ711">
        <v>1</v>
      </c>
      <c r="AK711">
        <v>34</v>
      </c>
      <c r="AL711" t="s">
        <v>306</v>
      </c>
      <c r="AM711" t="s">
        <v>307</v>
      </c>
      <c r="AN711" t="s">
        <v>308</v>
      </c>
      <c r="AO711" t="s">
        <v>661</v>
      </c>
      <c r="AP711" t="s">
        <v>662</v>
      </c>
      <c r="AQ711" t="s">
        <v>74</v>
      </c>
      <c r="AR711" t="s">
        <v>650</v>
      </c>
      <c r="AS711" t="s">
        <v>663</v>
      </c>
      <c r="AT711" t="s">
        <v>13267</v>
      </c>
      <c r="AU711">
        <v>2015</v>
      </c>
      <c r="AV711">
        <v>30</v>
      </c>
      <c r="AW711">
        <v>7</v>
      </c>
      <c r="AX711" t="s">
        <v>74</v>
      </c>
      <c r="AY711" t="s">
        <v>74</v>
      </c>
      <c r="AZ711" t="s">
        <v>74</v>
      </c>
      <c r="BA711" t="s">
        <v>74</v>
      </c>
      <c r="BB711">
        <v>824</v>
      </c>
      <c r="BC711">
        <v>844</v>
      </c>
      <c r="BD711" t="s">
        <v>74</v>
      </c>
      <c r="BE711" t="s">
        <v>13688</v>
      </c>
      <c r="BF711" t="str">
        <f>HYPERLINK("http://dx.doi.org/10.1002/2014PA002652","http://dx.doi.org/10.1002/2014PA002652")</f>
        <v>http://dx.doi.org/10.1002/2014PA002652</v>
      </c>
      <c r="BG711" t="s">
        <v>74</v>
      </c>
      <c r="BH711" t="s">
        <v>74</v>
      </c>
      <c r="BI711">
        <v>21</v>
      </c>
      <c r="BJ711" t="s">
        <v>665</v>
      </c>
      <c r="BK711" t="s">
        <v>101</v>
      </c>
      <c r="BL711" t="s">
        <v>666</v>
      </c>
      <c r="BM711" t="s">
        <v>13689</v>
      </c>
      <c r="BN711" t="s">
        <v>74</v>
      </c>
      <c r="BO711" t="s">
        <v>1213</v>
      </c>
      <c r="BP711" t="s">
        <v>74</v>
      </c>
      <c r="BQ711" t="s">
        <v>74</v>
      </c>
      <c r="BR711" t="s">
        <v>103</v>
      </c>
      <c r="BS711" t="s">
        <v>13690</v>
      </c>
      <c r="BT711" t="str">
        <f>HYPERLINK("https%3A%2F%2Fwww.webofscience.com%2Fwos%2Fwoscc%2Ffull-record%2FWOS:000360058100002","View Full Record in Web of Science")</f>
        <v>View Full Record in Web of Science</v>
      </c>
    </row>
    <row r="712" spans="1:72" x14ac:dyDescent="0.15">
      <c r="A712" t="s">
        <v>72</v>
      </c>
      <c r="B712" t="s">
        <v>13691</v>
      </c>
      <c r="C712" t="s">
        <v>74</v>
      </c>
      <c r="D712" t="s">
        <v>74</v>
      </c>
      <c r="E712" t="s">
        <v>74</v>
      </c>
      <c r="F712" t="s">
        <v>13692</v>
      </c>
      <c r="G712" t="s">
        <v>74</v>
      </c>
      <c r="H712" t="s">
        <v>74</v>
      </c>
      <c r="I712" t="s">
        <v>13693</v>
      </c>
      <c r="J712" t="s">
        <v>650</v>
      </c>
      <c r="K712" t="s">
        <v>74</v>
      </c>
      <c r="L712" t="s">
        <v>74</v>
      </c>
      <c r="M712" t="s">
        <v>78</v>
      </c>
      <c r="N712" t="s">
        <v>79</v>
      </c>
      <c r="O712" t="s">
        <v>74</v>
      </c>
      <c r="P712" t="s">
        <v>74</v>
      </c>
      <c r="Q712" t="s">
        <v>74</v>
      </c>
      <c r="R712" t="s">
        <v>74</v>
      </c>
      <c r="S712" t="s">
        <v>74</v>
      </c>
      <c r="T712" t="s">
        <v>74</v>
      </c>
      <c r="U712" t="s">
        <v>13694</v>
      </c>
      <c r="V712" t="s">
        <v>13695</v>
      </c>
      <c r="W712" t="s">
        <v>13696</v>
      </c>
      <c r="X712" t="s">
        <v>13697</v>
      </c>
      <c r="Y712" t="s">
        <v>13698</v>
      </c>
      <c r="Z712" t="s">
        <v>13699</v>
      </c>
      <c r="AA712" t="s">
        <v>13700</v>
      </c>
      <c r="AB712" t="s">
        <v>13701</v>
      </c>
      <c r="AC712" t="s">
        <v>13702</v>
      </c>
      <c r="AD712" t="s">
        <v>13703</v>
      </c>
      <c r="AE712" t="s">
        <v>13704</v>
      </c>
      <c r="AF712" t="s">
        <v>74</v>
      </c>
      <c r="AG712">
        <v>105</v>
      </c>
      <c r="AH712">
        <v>80</v>
      </c>
      <c r="AI712">
        <v>95</v>
      </c>
      <c r="AJ712">
        <v>2</v>
      </c>
      <c r="AK712">
        <v>66</v>
      </c>
      <c r="AL712" t="s">
        <v>306</v>
      </c>
      <c r="AM712" t="s">
        <v>307</v>
      </c>
      <c r="AN712" t="s">
        <v>308</v>
      </c>
      <c r="AO712" t="s">
        <v>661</v>
      </c>
      <c r="AP712" t="s">
        <v>662</v>
      </c>
      <c r="AQ712" t="s">
        <v>74</v>
      </c>
      <c r="AR712" t="s">
        <v>650</v>
      </c>
      <c r="AS712" t="s">
        <v>663</v>
      </c>
      <c r="AT712" t="s">
        <v>13267</v>
      </c>
      <c r="AU712">
        <v>2015</v>
      </c>
      <c r="AV712">
        <v>30</v>
      </c>
      <c r="AW712">
        <v>7</v>
      </c>
      <c r="AX712" t="s">
        <v>74</v>
      </c>
      <c r="AY712" t="s">
        <v>74</v>
      </c>
      <c r="AZ712" t="s">
        <v>74</v>
      </c>
      <c r="BA712" t="s">
        <v>74</v>
      </c>
      <c r="BB712">
        <v>845</v>
      </c>
      <c r="BC712">
        <v>862</v>
      </c>
      <c r="BD712" t="s">
        <v>74</v>
      </c>
      <c r="BE712" t="s">
        <v>13705</v>
      </c>
      <c r="BF712" t="str">
        <f>HYPERLINK("http://dx.doi.org/10.1002/2014PA002745","http://dx.doi.org/10.1002/2014PA002745")</f>
        <v>http://dx.doi.org/10.1002/2014PA002745</v>
      </c>
      <c r="BG712" t="s">
        <v>74</v>
      </c>
      <c r="BH712" t="s">
        <v>74</v>
      </c>
      <c r="BI712">
        <v>18</v>
      </c>
      <c r="BJ712" t="s">
        <v>665</v>
      </c>
      <c r="BK712" t="s">
        <v>101</v>
      </c>
      <c r="BL712" t="s">
        <v>666</v>
      </c>
      <c r="BM712" t="s">
        <v>13689</v>
      </c>
      <c r="BN712" t="s">
        <v>74</v>
      </c>
      <c r="BO712" t="s">
        <v>4189</v>
      </c>
      <c r="BP712" t="s">
        <v>74</v>
      </c>
      <c r="BQ712" t="s">
        <v>74</v>
      </c>
      <c r="BR712" t="s">
        <v>103</v>
      </c>
      <c r="BS712" t="s">
        <v>13706</v>
      </c>
      <c r="BT712" t="str">
        <f>HYPERLINK("https%3A%2F%2Fwww.webofscience.com%2Fwos%2Fwoscc%2Ffull-record%2FWOS:000360058100003","View Full Record in Web of Science")</f>
        <v>View Full Record in Web of Science</v>
      </c>
    </row>
    <row r="713" spans="1:72" x14ac:dyDescent="0.15">
      <c r="A713" t="s">
        <v>72</v>
      </c>
      <c r="B713" t="s">
        <v>13707</v>
      </c>
      <c r="C713" t="s">
        <v>74</v>
      </c>
      <c r="D713" t="s">
        <v>74</v>
      </c>
      <c r="E713" t="s">
        <v>74</v>
      </c>
      <c r="F713" t="s">
        <v>13708</v>
      </c>
      <c r="G713" t="s">
        <v>74</v>
      </c>
      <c r="H713" t="s">
        <v>74</v>
      </c>
      <c r="I713" t="s">
        <v>13709</v>
      </c>
      <c r="J713" t="s">
        <v>650</v>
      </c>
      <c r="K713" t="s">
        <v>74</v>
      </c>
      <c r="L713" t="s">
        <v>74</v>
      </c>
      <c r="M713" t="s">
        <v>78</v>
      </c>
      <c r="N713" t="s">
        <v>79</v>
      </c>
      <c r="O713" t="s">
        <v>74</v>
      </c>
      <c r="P713" t="s">
        <v>74</v>
      </c>
      <c r="Q713" t="s">
        <v>74</v>
      </c>
      <c r="R713" t="s">
        <v>74</v>
      </c>
      <c r="S713" t="s">
        <v>74</v>
      </c>
      <c r="T713" t="s">
        <v>74</v>
      </c>
      <c r="U713" t="s">
        <v>13710</v>
      </c>
      <c r="V713" t="s">
        <v>13711</v>
      </c>
      <c r="W713" t="s">
        <v>13712</v>
      </c>
      <c r="X713" t="s">
        <v>13713</v>
      </c>
      <c r="Y713" t="s">
        <v>13714</v>
      </c>
      <c r="Z713" t="s">
        <v>13715</v>
      </c>
      <c r="AA713" t="s">
        <v>13716</v>
      </c>
      <c r="AB713" t="s">
        <v>13717</v>
      </c>
      <c r="AC713" t="s">
        <v>13718</v>
      </c>
      <c r="AD713" t="s">
        <v>13718</v>
      </c>
      <c r="AE713" t="s">
        <v>13719</v>
      </c>
      <c r="AF713" t="s">
        <v>74</v>
      </c>
      <c r="AG713">
        <v>68</v>
      </c>
      <c r="AH713">
        <v>3</v>
      </c>
      <c r="AI713">
        <v>4</v>
      </c>
      <c r="AJ713">
        <v>0</v>
      </c>
      <c r="AK713">
        <v>33</v>
      </c>
      <c r="AL713" t="s">
        <v>306</v>
      </c>
      <c r="AM713" t="s">
        <v>307</v>
      </c>
      <c r="AN713" t="s">
        <v>308</v>
      </c>
      <c r="AO713" t="s">
        <v>661</v>
      </c>
      <c r="AP713" t="s">
        <v>662</v>
      </c>
      <c r="AQ713" t="s">
        <v>74</v>
      </c>
      <c r="AR713" t="s">
        <v>650</v>
      </c>
      <c r="AS713" t="s">
        <v>663</v>
      </c>
      <c r="AT713" t="s">
        <v>13267</v>
      </c>
      <c r="AU713">
        <v>2015</v>
      </c>
      <c r="AV713">
        <v>30</v>
      </c>
      <c r="AW713">
        <v>7</v>
      </c>
      <c r="AX713" t="s">
        <v>74</v>
      </c>
      <c r="AY713" t="s">
        <v>74</v>
      </c>
      <c r="AZ713" t="s">
        <v>74</v>
      </c>
      <c r="BA713" t="s">
        <v>74</v>
      </c>
      <c r="BB713">
        <v>912</v>
      </c>
      <c r="BC713">
        <v>922</v>
      </c>
      <c r="BD713" t="s">
        <v>74</v>
      </c>
      <c r="BE713" t="s">
        <v>13720</v>
      </c>
      <c r="BF713" t="str">
        <f>HYPERLINK("http://dx.doi.org/10.1002/2015PA002777","http://dx.doi.org/10.1002/2015PA002777")</f>
        <v>http://dx.doi.org/10.1002/2015PA002777</v>
      </c>
      <c r="BG713" t="s">
        <v>74</v>
      </c>
      <c r="BH713" t="s">
        <v>74</v>
      </c>
      <c r="BI713">
        <v>11</v>
      </c>
      <c r="BJ713" t="s">
        <v>665</v>
      </c>
      <c r="BK713" t="s">
        <v>101</v>
      </c>
      <c r="BL713" t="s">
        <v>666</v>
      </c>
      <c r="BM713" t="s">
        <v>13689</v>
      </c>
      <c r="BN713" t="s">
        <v>74</v>
      </c>
      <c r="BO713" t="s">
        <v>1213</v>
      </c>
      <c r="BP713" t="s">
        <v>74</v>
      </c>
      <c r="BQ713" t="s">
        <v>74</v>
      </c>
      <c r="BR713" t="s">
        <v>103</v>
      </c>
      <c r="BS713" t="s">
        <v>13721</v>
      </c>
      <c r="BT713" t="str">
        <f>HYPERLINK("https%3A%2F%2Fwww.webofscience.com%2Fwos%2Fwoscc%2Ffull-record%2FWOS:000360058100007","View Full Record in Web of Science")</f>
        <v>View Full Record in Web of Science</v>
      </c>
    </row>
    <row r="714" spans="1:72" x14ac:dyDescent="0.15">
      <c r="A714" t="s">
        <v>72</v>
      </c>
      <c r="B714" t="s">
        <v>13722</v>
      </c>
      <c r="C714" t="s">
        <v>74</v>
      </c>
      <c r="D714" t="s">
        <v>74</v>
      </c>
      <c r="E714" t="s">
        <v>74</v>
      </c>
      <c r="F714" t="s">
        <v>13723</v>
      </c>
      <c r="G714" t="s">
        <v>74</v>
      </c>
      <c r="H714" t="s">
        <v>74</v>
      </c>
      <c r="I714" t="s">
        <v>13724</v>
      </c>
      <c r="J714" t="s">
        <v>650</v>
      </c>
      <c r="K714" t="s">
        <v>74</v>
      </c>
      <c r="L714" t="s">
        <v>74</v>
      </c>
      <c r="M714" t="s">
        <v>78</v>
      </c>
      <c r="N714" t="s">
        <v>79</v>
      </c>
      <c r="O714" t="s">
        <v>74</v>
      </c>
      <c r="P714" t="s">
        <v>74</v>
      </c>
      <c r="Q714" t="s">
        <v>74</v>
      </c>
      <c r="R714" t="s">
        <v>74</v>
      </c>
      <c r="S714" t="s">
        <v>74</v>
      </c>
      <c r="T714" t="s">
        <v>74</v>
      </c>
      <c r="U714" t="s">
        <v>13725</v>
      </c>
      <c r="V714" t="s">
        <v>13726</v>
      </c>
      <c r="W714" t="s">
        <v>13727</v>
      </c>
      <c r="X714" t="s">
        <v>13728</v>
      </c>
      <c r="Y714" t="s">
        <v>13729</v>
      </c>
      <c r="Z714" t="s">
        <v>13730</v>
      </c>
      <c r="AA714" t="s">
        <v>13731</v>
      </c>
      <c r="AB714" t="s">
        <v>13732</v>
      </c>
      <c r="AC714" t="s">
        <v>13733</v>
      </c>
      <c r="AD714" t="s">
        <v>13734</v>
      </c>
      <c r="AE714" t="s">
        <v>13735</v>
      </c>
      <c r="AF714" t="s">
        <v>74</v>
      </c>
      <c r="AG714">
        <v>132</v>
      </c>
      <c r="AH714">
        <v>20</v>
      </c>
      <c r="AI714">
        <v>21</v>
      </c>
      <c r="AJ714">
        <v>0</v>
      </c>
      <c r="AK714">
        <v>36</v>
      </c>
      <c r="AL714" t="s">
        <v>306</v>
      </c>
      <c r="AM714" t="s">
        <v>307</v>
      </c>
      <c r="AN714" t="s">
        <v>308</v>
      </c>
      <c r="AO714" t="s">
        <v>661</v>
      </c>
      <c r="AP714" t="s">
        <v>662</v>
      </c>
      <c r="AQ714" t="s">
        <v>74</v>
      </c>
      <c r="AR714" t="s">
        <v>650</v>
      </c>
      <c r="AS714" t="s">
        <v>663</v>
      </c>
      <c r="AT714" t="s">
        <v>13267</v>
      </c>
      <c r="AU714">
        <v>2015</v>
      </c>
      <c r="AV714">
        <v>30</v>
      </c>
      <c r="AW714">
        <v>7</v>
      </c>
      <c r="AX714" t="s">
        <v>74</v>
      </c>
      <c r="AY714" t="s">
        <v>74</v>
      </c>
      <c r="AZ714" t="s">
        <v>74</v>
      </c>
      <c r="BA714" t="s">
        <v>74</v>
      </c>
      <c r="BB714">
        <v>949</v>
      </c>
      <c r="BC714">
        <v>968</v>
      </c>
      <c r="BD714" t="s">
        <v>74</v>
      </c>
      <c r="BE714" t="s">
        <v>13736</v>
      </c>
      <c r="BF714" t="str">
        <f>HYPERLINK("http://dx.doi.org/10.1002/2014PA002763","http://dx.doi.org/10.1002/2014PA002763")</f>
        <v>http://dx.doi.org/10.1002/2014PA002763</v>
      </c>
      <c r="BG714" t="s">
        <v>74</v>
      </c>
      <c r="BH714" t="s">
        <v>74</v>
      </c>
      <c r="BI714">
        <v>20</v>
      </c>
      <c r="BJ714" t="s">
        <v>665</v>
      </c>
      <c r="BK714" t="s">
        <v>101</v>
      </c>
      <c r="BL714" t="s">
        <v>666</v>
      </c>
      <c r="BM714" t="s">
        <v>13689</v>
      </c>
      <c r="BN714" t="s">
        <v>74</v>
      </c>
      <c r="BO714" t="s">
        <v>13737</v>
      </c>
      <c r="BP714" t="s">
        <v>74</v>
      </c>
      <c r="BQ714" t="s">
        <v>74</v>
      </c>
      <c r="BR714" t="s">
        <v>103</v>
      </c>
      <c r="BS714" t="s">
        <v>13738</v>
      </c>
      <c r="BT714" t="str">
        <f>HYPERLINK("https%3A%2F%2Fwww.webofscience.com%2Fwos%2Fwoscc%2Ffull-record%2FWOS:000360058100010","View Full Record in Web of Science")</f>
        <v>View Full Record in Web of Science</v>
      </c>
    </row>
    <row r="715" spans="1:72" x14ac:dyDescent="0.15">
      <c r="A715" t="s">
        <v>72</v>
      </c>
      <c r="B715" t="s">
        <v>13739</v>
      </c>
      <c r="C715" t="s">
        <v>74</v>
      </c>
      <c r="D715" t="s">
        <v>74</v>
      </c>
      <c r="E715" t="s">
        <v>74</v>
      </c>
      <c r="F715" t="s">
        <v>13740</v>
      </c>
      <c r="G715" t="s">
        <v>74</v>
      </c>
      <c r="H715" t="s">
        <v>74</v>
      </c>
      <c r="I715" t="s">
        <v>13741</v>
      </c>
      <c r="J715" t="s">
        <v>13742</v>
      </c>
      <c r="K715" t="s">
        <v>74</v>
      </c>
      <c r="L715" t="s">
        <v>74</v>
      </c>
      <c r="M715" t="s">
        <v>78</v>
      </c>
      <c r="N715" t="s">
        <v>52</v>
      </c>
      <c r="O715" t="s">
        <v>13743</v>
      </c>
      <c r="P715" t="s">
        <v>13744</v>
      </c>
      <c r="Q715" t="s">
        <v>13745</v>
      </c>
      <c r="R715" t="s">
        <v>74</v>
      </c>
      <c r="S715" t="s">
        <v>74</v>
      </c>
      <c r="T715" t="s">
        <v>74</v>
      </c>
      <c r="U715" t="s">
        <v>74</v>
      </c>
      <c r="V715" t="s">
        <v>74</v>
      </c>
      <c r="W715" t="s">
        <v>13746</v>
      </c>
      <c r="X715" t="s">
        <v>13747</v>
      </c>
      <c r="Y715" t="s">
        <v>74</v>
      </c>
      <c r="Z715" t="s">
        <v>74</v>
      </c>
      <c r="AA715" t="s">
        <v>13748</v>
      </c>
      <c r="AB715" t="s">
        <v>74</v>
      </c>
      <c r="AC715" t="s">
        <v>74</v>
      </c>
      <c r="AD715" t="s">
        <v>74</v>
      </c>
      <c r="AE715" t="s">
        <v>74</v>
      </c>
      <c r="AF715" t="s">
        <v>74</v>
      </c>
      <c r="AG715">
        <v>0</v>
      </c>
      <c r="AH715">
        <v>0</v>
      </c>
      <c r="AI715">
        <v>0</v>
      </c>
      <c r="AJ715">
        <v>0</v>
      </c>
      <c r="AK715">
        <v>5</v>
      </c>
      <c r="AL715" t="s">
        <v>13749</v>
      </c>
      <c r="AM715" t="s">
        <v>13750</v>
      </c>
      <c r="AN715" t="s">
        <v>13751</v>
      </c>
      <c r="AO715" t="s">
        <v>13752</v>
      </c>
      <c r="AP715" t="s">
        <v>13753</v>
      </c>
      <c r="AQ715" t="s">
        <v>74</v>
      </c>
      <c r="AR715" t="s">
        <v>13754</v>
      </c>
      <c r="AS715" t="s">
        <v>13755</v>
      </c>
      <c r="AT715" t="s">
        <v>13267</v>
      </c>
      <c r="AU715">
        <v>2015</v>
      </c>
      <c r="AV715">
        <v>81</v>
      </c>
      <c r="AW715">
        <v>11</v>
      </c>
      <c r="AX715" t="s">
        <v>74</v>
      </c>
      <c r="AY715" t="s">
        <v>74</v>
      </c>
      <c r="AZ715" t="s">
        <v>74</v>
      </c>
      <c r="BA715" t="s">
        <v>13756</v>
      </c>
      <c r="BB715">
        <v>952</v>
      </c>
      <c r="BC715">
        <v>952</v>
      </c>
      <c r="BD715" t="s">
        <v>74</v>
      </c>
      <c r="BE715" t="s">
        <v>74</v>
      </c>
      <c r="BF715" t="s">
        <v>74</v>
      </c>
      <c r="BG715" t="s">
        <v>74</v>
      </c>
      <c r="BH715" t="s">
        <v>74</v>
      </c>
      <c r="BI715">
        <v>1</v>
      </c>
      <c r="BJ715" t="s">
        <v>13757</v>
      </c>
      <c r="BK715" t="s">
        <v>1631</v>
      </c>
      <c r="BL715" t="s">
        <v>13758</v>
      </c>
      <c r="BM715" t="s">
        <v>13759</v>
      </c>
      <c r="BN715" t="s">
        <v>74</v>
      </c>
      <c r="BO715" t="s">
        <v>74</v>
      </c>
      <c r="BP715" t="s">
        <v>74</v>
      </c>
      <c r="BQ715" t="s">
        <v>74</v>
      </c>
      <c r="BR715" t="s">
        <v>103</v>
      </c>
      <c r="BS715" t="s">
        <v>13760</v>
      </c>
      <c r="BT715" t="str">
        <f>HYPERLINK("https%3A%2F%2Fwww.webofscience.com%2Fwos%2Fwoscc%2Ffull-record%2FWOS:000359967000464","View Full Record in Web of Science")</f>
        <v>View Full Record in Web of Science</v>
      </c>
    </row>
    <row r="716" spans="1:72" x14ac:dyDescent="0.15">
      <c r="A716" t="s">
        <v>72</v>
      </c>
      <c r="B716" t="s">
        <v>13761</v>
      </c>
      <c r="C716" t="s">
        <v>74</v>
      </c>
      <c r="D716" t="s">
        <v>74</v>
      </c>
      <c r="E716" t="s">
        <v>74</v>
      </c>
      <c r="F716" t="s">
        <v>13762</v>
      </c>
      <c r="G716" t="s">
        <v>74</v>
      </c>
      <c r="H716" t="s">
        <v>74</v>
      </c>
      <c r="I716" t="s">
        <v>13763</v>
      </c>
      <c r="J716" t="s">
        <v>6314</v>
      </c>
      <c r="K716" t="s">
        <v>74</v>
      </c>
      <c r="L716" t="s">
        <v>74</v>
      </c>
      <c r="M716" t="s">
        <v>78</v>
      </c>
      <c r="N716" t="s">
        <v>79</v>
      </c>
      <c r="O716" t="s">
        <v>74</v>
      </c>
      <c r="P716" t="s">
        <v>74</v>
      </c>
      <c r="Q716" t="s">
        <v>74</v>
      </c>
      <c r="R716" t="s">
        <v>74</v>
      </c>
      <c r="S716" t="s">
        <v>74</v>
      </c>
      <c r="T716" t="s">
        <v>13764</v>
      </c>
      <c r="U716" t="s">
        <v>13765</v>
      </c>
      <c r="V716" t="s">
        <v>13766</v>
      </c>
      <c r="W716" t="s">
        <v>13767</v>
      </c>
      <c r="X716" t="s">
        <v>13768</v>
      </c>
      <c r="Y716" t="s">
        <v>13769</v>
      </c>
      <c r="Z716" t="s">
        <v>13770</v>
      </c>
      <c r="AA716" t="s">
        <v>13771</v>
      </c>
      <c r="AB716" t="s">
        <v>13772</v>
      </c>
      <c r="AC716" t="s">
        <v>13773</v>
      </c>
      <c r="AD716" t="s">
        <v>13774</v>
      </c>
      <c r="AE716" t="s">
        <v>13775</v>
      </c>
      <c r="AF716" t="s">
        <v>74</v>
      </c>
      <c r="AG716">
        <v>39</v>
      </c>
      <c r="AH716">
        <v>6</v>
      </c>
      <c r="AI716">
        <v>6</v>
      </c>
      <c r="AJ716">
        <v>0</v>
      </c>
      <c r="AK716">
        <v>11</v>
      </c>
      <c r="AL716" t="s">
        <v>2279</v>
      </c>
      <c r="AM716" t="s">
        <v>398</v>
      </c>
      <c r="AN716" t="s">
        <v>2280</v>
      </c>
      <c r="AO716" t="s">
        <v>6326</v>
      </c>
      <c r="AP716" t="s">
        <v>6327</v>
      </c>
      <c r="AQ716" t="s">
        <v>74</v>
      </c>
      <c r="AR716" t="s">
        <v>6328</v>
      </c>
      <c r="AS716" t="s">
        <v>6329</v>
      </c>
      <c r="AT716" t="s">
        <v>13267</v>
      </c>
      <c r="AU716">
        <v>2015</v>
      </c>
      <c r="AV716">
        <v>72</v>
      </c>
      <c r="AW716" t="s">
        <v>74</v>
      </c>
      <c r="AX716" t="s">
        <v>74</v>
      </c>
      <c r="AY716">
        <v>1</v>
      </c>
      <c r="AZ716" t="s">
        <v>74</v>
      </c>
      <c r="BA716" t="s">
        <v>74</v>
      </c>
      <c r="BB716">
        <v>252</v>
      </c>
      <c r="BC716">
        <v>259</v>
      </c>
      <c r="BD716" t="s">
        <v>74</v>
      </c>
      <c r="BE716" t="s">
        <v>13776</v>
      </c>
      <c r="BF716" t="str">
        <f>HYPERLINK("http://dx.doi.org/10.1093/icesjms/fsu165","http://dx.doi.org/10.1093/icesjms/fsu165")</f>
        <v>http://dx.doi.org/10.1093/icesjms/fsu165</v>
      </c>
      <c r="BG716" t="s">
        <v>74</v>
      </c>
      <c r="BH716" t="s">
        <v>74</v>
      </c>
      <c r="BI716">
        <v>8</v>
      </c>
      <c r="BJ716" t="s">
        <v>2128</v>
      </c>
      <c r="BK716" t="s">
        <v>101</v>
      </c>
      <c r="BL716" t="s">
        <v>2128</v>
      </c>
      <c r="BM716" t="s">
        <v>13777</v>
      </c>
      <c r="BN716" t="s">
        <v>74</v>
      </c>
      <c r="BO716" t="s">
        <v>74</v>
      </c>
      <c r="BP716" t="s">
        <v>74</v>
      </c>
      <c r="BQ716" t="s">
        <v>74</v>
      </c>
      <c r="BR716" t="s">
        <v>103</v>
      </c>
      <c r="BS716" t="s">
        <v>13778</v>
      </c>
      <c r="BT716" t="str">
        <f>HYPERLINK("https%3A%2F%2Fwww.webofscience.com%2Fwos%2Fwoscc%2Ffull-record%2FWOS:000359698700026","View Full Record in Web of Science")</f>
        <v>View Full Record in Web of Science</v>
      </c>
    </row>
    <row r="717" spans="1:72" x14ac:dyDescent="0.15">
      <c r="A717" t="s">
        <v>72</v>
      </c>
      <c r="B717" t="s">
        <v>13779</v>
      </c>
      <c r="C717" t="s">
        <v>74</v>
      </c>
      <c r="D717" t="s">
        <v>74</v>
      </c>
      <c r="E717" t="s">
        <v>74</v>
      </c>
      <c r="F717" t="s">
        <v>13780</v>
      </c>
      <c r="G717" t="s">
        <v>74</v>
      </c>
      <c r="H717" t="s">
        <v>74</v>
      </c>
      <c r="I717" t="s">
        <v>13781</v>
      </c>
      <c r="J717" t="s">
        <v>250</v>
      </c>
      <c r="K717" t="s">
        <v>74</v>
      </c>
      <c r="L717" t="s">
        <v>74</v>
      </c>
      <c r="M717" t="s">
        <v>78</v>
      </c>
      <c r="N717" t="s">
        <v>79</v>
      </c>
      <c r="O717" t="s">
        <v>74</v>
      </c>
      <c r="P717" t="s">
        <v>74</v>
      </c>
      <c r="Q717" t="s">
        <v>74</v>
      </c>
      <c r="R717" t="s">
        <v>74</v>
      </c>
      <c r="S717" t="s">
        <v>74</v>
      </c>
      <c r="T717" t="s">
        <v>74</v>
      </c>
      <c r="U717" t="s">
        <v>13782</v>
      </c>
      <c r="V717" t="s">
        <v>13783</v>
      </c>
      <c r="W717" t="s">
        <v>13784</v>
      </c>
      <c r="X717" t="s">
        <v>13785</v>
      </c>
      <c r="Y717" t="s">
        <v>13786</v>
      </c>
      <c r="Z717" t="s">
        <v>13787</v>
      </c>
      <c r="AA717" t="s">
        <v>3124</v>
      </c>
      <c r="AB717" t="s">
        <v>13788</v>
      </c>
      <c r="AC717" t="s">
        <v>13789</v>
      </c>
      <c r="AD717" t="s">
        <v>13790</v>
      </c>
      <c r="AE717" t="s">
        <v>13791</v>
      </c>
      <c r="AF717" t="s">
        <v>74</v>
      </c>
      <c r="AG717">
        <v>23</v>
      </c>
      <c r="AH717">
        <v>4</v>
      </c>
      <c r="AI717">
        <v>4</v>
      </c>
      <c r="AJ717">
        <v>0</v>
      </c>
      <c r="AK717">
        <v>7</v>
      </c>
      <c r="AL717" t="s">
        <v>263</v>
      </c>
      <c r="AM717" t="s">
        <v>264</v>
      </c>
      <c r="AN717" t="s">
        <v>265</v>
      </c>
      <c r="AO717" t="s">
        <v>266</v>
      </c>
      <c r="AP717" t="s">
        <v>267</v>
      </c>
      <c r="AQ717" t="s">
        <v>74</v>
      </c>
      <c r="AR717" t="s">
        <v>268</v>
      </c>
      <c r="AS717" t="s">
        <v>269</v>
      </c>
      <c r="AT717" t="s">
        <v>13267</v>
      </c>
      <c r="AU717">
        <v>2015</v>
      </c>
      <c r="AV717">
        <v>28</v>
      </c>
      <c r="AW717">
        <v>14</v>
      </c>
      <c r="AX717" t="s">
        <v>74</v>
      </c>
      <c r="AY717" t="s">
        <v>74</v>
      </c>
      <c r="AZ717" t="s">
        <v>74</v>
      </c>
      <c r="BA717" t="s">
        <v>74</v>
      </c>
      <c r="BB717">
        <v>5845</v>
      </c>
      <c r="BC717">
        <v>5856</v>
      </c>
      <c r="BD717" t="s">
        <v>74</v>
      </c>
      <c r="BE717" t="s">
        <v>13792</v>
      </c>
      <c r="BF717" t="str">
        <f>HYPERLINK("http://dx.doi.org/10.1175/JCLI-D-15-0040.1","http://dx.doi.org/10.1175/JCLI-D-15-0040.1")</f>
        <v>http://dx.doi.org/10.1175/JCLI-D-15-0040.1</v>
      </c>
      <c r="BG717" t="s">
        <v>74</v>
      </c>
      <c r="BH717" t="s">
        <v>74</v>
      </c>
      <c r="BI717">
        <v>12</v>
      </c>
      <c r="BJ717" t="s">
        <v>271</v>
      </c>
      <c r="BK717" t="s">
        <v>101</v>
      </c>
      <c r="BL717" t="s">
        <v>271</v>
      </c>
      <c r="BM717" t="s">
        <v>13793</v>
      </c>
      <c r="BN717" t="s">
        <v>74</v>
      </c>
      <c r="BO717" t="s">
        <v>2686</v>
      </c>
      <c r="BP717" t="s">
        <v>74</v>
      </c>
      <c r="BQ717" t="s">
        <v>74</v>
      </c>
      <c r="BR717" t="s">
        <v>103</v>
      </c>
      <c r="BS717" t="s">
        <v>13794</v>
      </c>
      <c r="BT717" t="str">
        <f>HYPERLINK("https%3A%2F%2Fwww.webofscience.com%2Fwos%2Fwoscc%2Ffull-record%2FWOS:000359637800020","View Full Record in Web of Science")</f>
        <v>View Full Record in Web of Science</v>
      </c>
    </row>
    <row r="718" spans="1:72" x14ac:dyDescent="0.15">
      <c r="A718" t="s">
        <v>72</v>
      </c>
      <c r="B718" t="s">
        <v>13795</v>
      </c>
      <c r="C718" t="s">
        <v>74</v>
      </c>
      <c r="D718" t="s">
        <v>74</v>
      </c>
      <c r="E718" t="s">
        <v>74</v>
      </c>
      <c r="F718" t="s">
        <v>13796</v>
      </c>
      <c r="G718" t="s">
        <v>74</v>
      </c>
      <c r="H718" t="s">
        <v>74</v>
      </c>
      <c r="I718" t="s">
        <v>13797</v>
      </c>
      <c r="J718" t="s">
        <v>9817</v>
      </c>
      <c r="K718" t="s">
        <v>74</v>
      </c>
      <c r="L718" t="s">
        <v>74</v>
      </c>
      <c r="M718" t="s">
        <v>78</v>
      </c>
      <c r="N718" t="s">
        <v>79</v>
      </c>
      <c r="O718" t="s">
        <v>74</v>
      </c>
      <c r="P718" t="s">
        <v>74</v>
      </c>
      <c r="Q718" t="s">
        <v>74</v>
      </c>
      <c r="R718" t="s">
        <v>74</v>
      </c>
      <c r="S718" t="s">
        <v>74</v>
      </c>
      <c r="T718" t="s">
        <v>13798</v>
      </c>
      <c r="U718" t="s">
        <v>13799</v>
      </c>
      <c r="V718" t="s">
        <v>13800</v>
      </c>
      <c r="W718" t="s">
        <v>13801</v>
      </c>
      <c r="X718" t="s">
        <v>13802</v>
      </c>
      <c r="Y718" t="s">
        <v>13803</v>
      </c>
      <c r="Z718" t="s">
        <v>13804</v>
      </c>
      <c r="AA718" t="s">
        <v>13805</v>
      </c>
      <c r="AB718" t="s">
        <v>13806</v>
      </c>
      <c r="AC718" t="s">
        <v>13807</v>
      </c>
      <c r="AD718" t="s">
        <v>13807</v>
      </c>
      <c r="AE718" t="s">
        <v>13808</v>
      </c>
      <c r="AF718" t="s">
        <v>74</v>
      </c>
      <c r="AG718">
        <v>65</v>
      </c>
      <c r="AH718">
        <v>56</v>
      </c>
      <c r="AI718">
        <v>65</v>
      </c>
      <c r="AJ718">
        <v>3</v>
      </c>
      <c r="AK718">
        <v>59</v>
      </c>
      <c r="AL718" t="s">
        <v>208</v>
      </c>
      <c r="AM718" t="s">
        <v>209</v>
      </c>
      <c r="AN718" t="s">
        <v>210</v>
      </c>
      <c r="AO718" t="s">
        <v>9829</v>
      </c>
      <c r="AP718" t="s">
        <v>74</v>
      </c>
      <c r="AQ718" t="s">
        <v>74</v>
      </c>
      <c r="AR718" t="s">
        <v>9817</v>
      </c>
      <c r="AS718" t="s">
        <v>9830</v>
      </c>
      <c r="AT718" t="s">
        <v>13267</v>
      </c>
      <c r="AU718">
        <v>2015</v>
      </c>
      <c r="AV718">
        <v>6</v>
      </c>
      <c r="AW718">
        <v>7</v>
      </c>
      <c r="AX718" t="s">
        <v>74</v>
      </c>
      <c r="AY718" t="s">
        <v>74</v>
      </c>
      <c r="AZ718" t="s">
        <v>74</v>
      </c>
      <c r="BA718" t="s">
        <v>74</v>
      </c>
      <c r="BB718" t="s">
        <v>74</v>
      </c>
      <c r="BC718" t="s">
        <v>74</v>
      </c>
      <c r="BD718">
        <v>125</v>
      </c>
      <c r="BE718" t="s">
        <v>13809</v>
      </c>
      <c r="BF718" t="str">
        <f>HYPERLINK("http://dx.doi.org/10.1890/ES14-00287.1","http://dx.doi.org/10.1890/ES14-00287.1")</f>
        <v>http://dx.doi.org/10.1890/ES14-00287.1</v>
      </c>
      <c r="BG718" t="s">
        <v>74</v>
      </c>
      <c r="BH718" t="s">
        <v>74</v>
      </c>
      <c r="BI718">
        <v>32</v>
      </c>
      <c r="BJ718" t="s">
        <v>643</v>
      </c>
      <c r="BK718" t="s">
        <v>101</v>
      </c>
      <c r="BL718" t="s">
        <v>644</v>
      </c>
      <c r="BM718" t="s">
        <v>13810</v>
      </c>
      <c r="BN718" t="s">
        <v>74</v>
      </c>
      <c r="BO718" t="s">
        <v>1282</v>
      </c>
      <c r="BP718" t="s">
        <v>74</v>
      </c>
      <c r="BQ718" t="s">
        <v>74</v>
      </c>
      <c r="BR718" t="s">
        <v>103</v>
      </c>
      <c r="BS718" t="s">
        <v>13811</v>
      </c>
      <c r="BT718" t="str">
        <f>HYPERLINK("https%3A%2F%2Fwww.webofscience.com%2Fwos%2Fwoscc%2Ffull-record%2FWOS:000358991500019","View Full Record in Web of Science")</f>
        <v>View Full Record in Web of Science</v>
      </c>
    </row>
    <row r="719" spans="1:72" x14ac:dyDescent="0.15">
      <c r="A719" t="s">
        <v>72</v>
      </c>
      <c r="B719" t="s">
        <v>13812</v>
      </c>
      <c r="C719" t="s">
        <v>74</v>
      </c>
      <c r="D719" t="s">
        <v>74</v>
      </c>
      <c r="E719" t="s">
        <v>74</v>
      </c>
      <c r="F719" t="s">
        <v>13813</v>
      </c>
      <c r="G719" t="s">
        <v>74</v>
      </c>
      <c r="H719" t="s">
        <v>74</v>
      </c>
      <c r="I719" t="s">
        <v>13814</v>
      </c>
      <c r="J719" t="s">
        <v>13815</v>
      </c>
      <c r="K719" t="s">
        <v>74</v>
      </c>
      <c r="L719" t="s">
        <v>74</v>
      </c>
      <c r="M719" t="s">
        <v>78</v>
      </c>
      <c r="N719" t="s">
        <v>79</v>
      </c>
      <c r="O719" t="s">
        <v>74</v>
      </c>
      <c r="P719" t="s">
        <v>74</v>
      </c>
      <c r="Q719" t="s">
        <v>74</v>
      </c>
      <c r="R719" t="s">
        <v>74</v>
      </c>
      <c r="S719" t="s">
        <v>74</v>
      </c>
      <c r="T719" t="s">
        <v>74</v>
      </c>
      <c r="U719" t="s">
        <v>13816</v>
      </c>
      <c r="V719" t="s">
        <v>13817</v>
      </c>
      <c r="W719" t="s">
        <v>13818</v>
      </c>
      <c r="X719" t="s">
        <v>13819</v>
      </c>
      <c r="Y719" t="s">
        <v>13820</v>
      </c>
      <c r="Z719" t="s">
        <v>13821</v>
      </c>
      <c r="AA719" t="s">
        <v>13822</v>
      </c>
      <c r="AB719" t="s">
        <v>13823</v>
      </c>
      <c r="AC719" t="s">
        <v>13824</v>
      </c>
      <c r="AD719" t="s">
        <v>13825</v>
      </c>
      <c r="AE719" t="s">
        <v>13826</v>
      </c>
      <c r="AF719" t="s">
        <v>74</v>
      </c>
      <c r="AG719">
        <v>22</v>
      </c>
      <c r="AH719">
        <v>18</v>
      </c>
      <c r="AI719">
        <v>18</v>
      </c>
      <c r="AJ719">
        <v>0</v>
      </c>
      <c r="AK719">
        <v>12</v>
      </c>
      <c r="AL719" t="s">
        <v>6922</v>
      </c>
      <c r="AM719" t="s">
        <v>307</v>
      </c>
      <c r="AN719" t="s">
        <v>6923</v>
      </c>
      <c r="AO719" t="s">
        <v>13827</v>
      </c>
      <c r="AP719" t="s">
        <v>13828</v>
      </c>
      <c r="AQ719" t="s">
        <v>74</v>
      </c>
      <c r="AR719" t="s">
        <v>13829</v>
      </c>
      <c r="AS719" t="s">
        <v>13830</v>
      </c>
      <c r="AT719" t="s">
        <v>13267</v>
      </c>
      <c r="AU719">
        <v>2015</v>
      </c>
      <c r="AV719">
        <v>78</v>
      </c>
      <c r="AW719">
        <v>7</v>
      </c>
      <c r="AX719" t="s">
        <v>74</v>
      </c>
      <c r="AY719" t="s">
        <v>74</v>
      </c>
      <c r="AZ719" t="s">
        <v>74</v>
      </c>
      <c r="BA719" t="s">
        <v>74</v>
      </c>
      <c r="BB719">
        <v>1761</v>
      </c>
      <c r="BC719">
        <v>1764</v>
      </c>
      <c r="BD719" t="s">
        <v>74</v>
      </c>
      <c r="BE719" t="s">
        <v>13831</v>
      </c>
      <c r="BF719" t="str">
        <f>HYPERLINK("http://dx.doi.org/10.1021/acs.jnatprod.5b00378","http://dx.doi.org/10.1021/acs.jnatprod.5b00378")</f>
        <v>http://dx.doi.org/10.1021/acs.jnatprod.5b00378</v>
      </c>
      <c r="BG719" t="s">
        <v>74</v>
      </c>
      <c r="BH719" t="s">
        <v>74</v>
      </c>
      <c r="BI719">
        <v>4</v>
      </c>
      <c r="BJ719" t="s">
        <v>13832</v>
      </c>
      <c r="BK719" t="s">
        <v>13833</v>
      </c>
      <c r="BL719" t="s">
        <v>13834</v>
      </c>
      <c r="BM719" t="s">
        <v>13835</v>
      </c>
      <c r="BN719">
        <v>26177282</v>
      </c>
      <c r="BO719" t="s">
        <v>74</v>
      </c>
      <c r="BP719" t="s">
        <v>74</v>
      </c>
      <c r="BQ719" t="s">
        <v>74</v>
      </c>
      <c r="BR719" t="s">
        <v>103</v>
      </c>
      <c r="BS719" t="s">
        <v>13836</v>
      </c>
      <c r="BT719" t="str">
        <f>HYPERLINK("https%3A%2F%2Fwww.webofscience.com%2Fwos%2Fwoscc%2Ffull-record%2FWOS:000358700000039","View Full Record in Web of Science")</f>
        <v>View Full Record in Web of Science</v>
      </c>
    </row>
    <row r="720" spans="1:72" x14ac:dyDescent="0.15">
      <c r="A720" t="s">
        <v>72</v>
      </c>
      <c r="B720" t="s">
        <v>13837</v>
      </c>
      <c r="C720" t="s">
        <v>74</v>
      </c>
      <c r="D720" t="s">
        <v>74</v>
      </c>
      <c r="E720" t="s">
        <v>74</v>
      </c>
      <c r="F720" t="s">
        <v>13838</v>
      </c>
      <c r="G720" t="s">
        <v>74</v>
      </c>
      <c r="H720" t="s">
        <v>74</v>
      </c>
      <c r="I720" t="s">
        <v>13839</v>
      </c>
      <c r="J720" t="s">
        <v>6639</v>
      </c>
      <c r="K720" t="s">
        <v>74</v>
      </c>
      <c r="L720" t="s">
        <v>74</v>
      </c>
      <c r="M720" t="s">
        <v>78</v>
      </c>
      <c r="N720" t="s">
        <v>79</v>
      </c>
      <c r="O720" t="s">
        <v>74</v>
      </c>
      <c r="P720" t="s">
        <v>74</v>
      </c>
      <c r="Q720" t="s">
        <v>74</v>
      </c>
      <c r="R720" t="s">
        <v>74</v>
      </c>
      <c r="S720" t="s">
        <v>74</v>
      </c>
      <c r="T720" t="s">
        <v>13840</v>
      </c>
      <c r="U720" t="s">
        <v>74</v>
      </c>
      <c r="V720" t="s">
        <v>13841</v>
      </c>
      <c r="W720" t="s">
        <v>13842</v>
      </c>
      <c r="X720" t="s">
        <v>74</v>
      </c>
      <c r="Y720" t="s">
        <v>13843</v>
      </c>
      <c r="Z720" t="s">
        <v>13844</v>
      </c>
      <c r="AA720" t="s">
        <v>74</v>
      </c>
      <c r="AB720" t="s">
        <v>74</v>
      </c>
      <c r="AC720" t="s">
        <v>74</v>
      </c>
      <c r="AD720" t="s">
        <v>74</v>
      </c>
      <c r="AE720" t="s">
        <v>74</v>
      </c>
      <c r="AF720" t="s">
        <v>74</v>
      </c>
      <c r="AG720">
        <v>9</v>
      </c>
      <c r="AH720">
        <v>3</v>
      </c>
      <c r="AI720">
        <v>3</v>
      </c>
      <c r="AJ720">
        <v>0</v>
      </c>
      <c r="AK720">
        <v>8</v>
      </c>
      <c r="AL720" t="s">
        <v>718</v>
      </c>
      <c r="AM720" t="s">
        <v>719</v>
      </c>
      <c r="AN720" t="s">
        <v>720</v>
      </c>
      <c r="AO720" t="s">
        <v>6648</v>
      </c>
      <c r="AP720" t="s">
        <v>6649</v>
      </c>
      <c r="AQ720" t="s">
        <v>74</v>
      </c>
      <c r="AR720" t="s">
        <v>6650</v>
      </c>
      <c r="AS720" t="s">
        <v>6651</v>
      </c>
      <c r="AT720" t="s">
        <v>13267</v>
      </c>
      <c r="AU720">
        <v>2015</v>
      </c>
      <c r="AV720">
        <v>40</v>
      </c>
      <c r="AW720">
        <v>7</v>
      </c>
      <c r="AX720" t="s">
        <v>74</v>
      </c>
      <c r="AY720" t="s">
        <v>74</v>
      </c>
      <c r="AZ720" t="s">
        <v>74</v>
      </c>
      <c r="BA720" t="s">
        <v>74</v>
      </c>
      <c r="BB720">
        <v>470</v>
      </c>
      <c r="BC720">
        <v>476</v>
      </c>
      <c r="BD720" t="s">
        <v>74</v>
      </c>
      <c r="BE720" t="s">
        <v>13845</v>
      </c>
      <c r="BF720" t="str">
        <f>HYPERLINK("http://dx.doi.org/10.3103/S1068373915070055","http://dx.doi.org/10.3103/S1068373915070055")</f>
        <v>http://dx.doi.org/10.3103/S1068373915070055</v>
      </c>
      <c r="BG720" t="s">
        <v>74</v>
      </c>
      <c r="BH720" t="s">
        <v>74</v>
      </c>
      <c r="BI720">
        <v>7</v>
      </c>
      <c r="BJ720" t="s">
        <v>271</v>
      </c>
      <c r="BK720" t="s">
        <v>101</v>
      </c>
      <c r="BL720" t="s">
        <v>271</v>
      </c>
      <c r="BM720" t="s">
        <v>13846</v>
      </c>
      <c r="BN720" t="s">
        <v>74</v>
      </c>
      <c r="BO720" t="s">
        <v>74</v>
      </c>
      <c r="BP720" t="s">
        <v>74</v>
      </c>
      <c r="BQ720" t="s">
        <v>74</v>
      </c>
      <c r="BR720" t="s">
        <v>103</v>
      </c>
      <c r="BS720" t="s">
        <v>13847</v>
      </c>
      <c r="BT720" t="str">
        <f>HYPERLINK("https%3A%2F%2Fwww.webofscience.com%2Fwos%2Fwoscc%2Ffull-record%2FWOS:000358942100005","View Full Record in Web of Science")</f>
        <v>View Full Record in Web of Science</v>
      </c>
    </row>
    <row r="721" spans="1:72" x14ac:dyDescent="0.15">
      <c r="A721" t="s">
        <v>72</v>
      </c>
      <c r="B721" t="s">
        <v>13848</v>
      </c>
      <c r="C721" t="s">
        <v>74</v>
      </c>
      <c r="D721" t="s">
        <v>74</v>
      </c>
      <c r="E721" t="s">
        <v>74</v>
      </c>
      <c r="F721" t="s">
        <v>13849</v>
      </c>
      <c r="G721" t="s">
        <v>74</v>
      </c>
      <c r="H721" t="s">
        <v>74</v>
      </c>
      <c r="I721" t="s">
        <v>13850</v>
      </c>
      <c r="J721" t="s">
        <v>13851</v>
      </c>
      <c r="K721" t="s">
        <v>74</v>
      </c>
      <c r="L721" t="s">
        <v>74</v>
      </c>
      <c r="M721" t="s">
        <v>78</v>
      </c>
      <c r="N721" t="s">
        <v>79</v>
      </c>
      <c r="O721" t="s">
        <v>74</v>
      </c>
      <c r="P721" t="s">
        <v>74</v>
      </c>
      <c r="Q721" t="s">
        <v>74</v>
      </c>
      <c r="R721" t="s">
        <v>74</v>
      </c>
      <c r="S721" t="s">
        <v>74</v>
      </c>
      <c r="T721" t="s">
        <v>13852</v>
      </c>
      <c r="U721" t="s">
        <v>13853</v>
      </c>
      <c r="V721" t="s">
        <v>13854</v>
      </c>
      <c r="W721" t="s">
        <v>13855</v>
      </c>
      <c r="X721" t="s">
        <v>13856</v>
      </c>
      <c r="Y721" t="s">
        <v>13857</v>
      </c>
      <c r="Z721" t="s">
        <v>13858</v>
      </c>
      <c r="AA721" t="s">
        <v>13859</v>
      </c>
      <c r="AB721" t="s">
        <v>13860</v>
      </c>
      <c r="AC721" t="s">
        <v>13861</v>
      </c>
      <c r="AD721" t="s">
        <v>13862</v>
      </c>
      <c r="AE721" t="s">
        <v>13863</v>
      </c>
      <c r="AF721" t="s">
        <v>74</v>
      </c>
      <c r="AG721">
        <v>68</v>
      </c>
      <c r="AH721">
        <v>7</v>
      </c>
      <c r="AI721">
        <v>8</v>
      </c>
      <c r="AJ721">
        <v>0</v>
      </c>
      <c r="AK721">
        <v>54</v>
      </c>
      <c r="AL721" t="s">
        <v>2841</v>
      </c>
      <c r="AM721" t="s">
        <v>2842</v>
      </c>
      <c r="AN721" t="s">
        <v>2843</v>
      </c>
      <c r="AO721" t="s">
        <v>13864</v>
      </c>
      <c r="AP721" t="s">
        <v>74</v>
      </c>
      <c r="AQ721" t="s">
        <v>74</v>
      </c>
      <c r="AR721" t="s">
        <v>13865</v>
      </c>
      <c r="AS721" t="s">
        <v>13866</v>
      </c>
      <c r="AT721" t="s">
        <v>13267</v>
      </c>
      <c r="AU721">
        <v>2015</v>
      </c>
      <c r="AV721">
        <v>4</v>
      </c>
      <c r="AW721">
        <v>1</v>
      </c>
      <c r="AX721" t="s">
        <v>74</v>
      </c>
      <c r="AY721" t="s">
        <v>74</v>
      </c>
      <c r="AZ721" t="s">
        <v>74</v>
      </c>
      <c r="BA721" t="s">
        <v>74</v>
      </c>
      <c r="BB721">
        <v>209</v>
      </c>
      <c r="BC721">
        <v>217</v>
      </c>
      <c r="BD721" t="s">
        <v>74</v>
      </c>
      <c r="BE721" t="s">
        <v>13867</v>
      </c>
      <c r="BF721" t="str">
        <f>HYPERLINK("http://dx.doi.org/10.1089/biores.2015.0008","http://dx.doi.org/10.1089/biores.2015.0008")</f>
        <v>http://dx.doi.org/10.1089/biores.2015.0008</v>
      </c>
      <c r="BG721" t="s">
        <v>74</v>
      </c>
      <c r="BH721" t="s">
        <v>74</v>
      </c>
      <c r="BI721">
        <v>9</v>
      </c>
      <c r="BJ721" t="s">
        <v>2921</v>
      </c>
      <c r="BK721" t="s">
        <v>831</v>
      </c>
      <c r="BL721" t="s">
        <v>2921</v>
      </c>
      <c r="BM721" t="s">
        <v>13868</v>
      </c>
      <c r="BN721">
        <v>26309797</v>
      </c>
      <c r="BO721" t="s">
        <v>1430</v>
      </c>
      <c r="BP721" t="s">
        <v>74</v>
      </c>
      <c r="BQ721" t="s">
        <v>74</v>
      </c>
      <c r="BR721" t="s">
        <v>103</v>
      </c>
      <c r="BS721" t="s">
        <v>13869</v>
      </c>
      <c r="BT721" t="str">
        <f>HYPERLINK("https%3A%2F%2Fwww.webofscience.com%2Fwos%2Fwoscc%2Ffull-record%2FWOS:000357312300020","View Full Record in Web of Science")</f>
        <v>View Full Record in Web of Science</v>
      </c>
    </row>
    <row r="722" spans="1:72" x14ac:dyDescent="0.15">
      <c r="A722" t="s">
        <v>72</v>
      </c>
      <c r="B722" t="s">
        <v>13870</v>
      </c>
      <c r="C722" t="s">
        <v>74</v>
      </c>
      <c r="D722" t="s">
        <v>74</v>
      </c>
      <c r="E722" t="s">
        <v>74</v>
      </c>
      <c r="F722" t="s">
        <v>13871</v>
      </c>
      <c r="G722" t="s">
        <v>74</v>
      </c>
      <c r="H722" t="s">
        <v>74</v>
      </c>
      <c r="I722" t="s">
        <v>13872</v>
      </c>
      <c r="J722" t="s">
        <v>13873</v>
      </c>
      <c r="K722" t="s">
        <v>74</v>
      </c>
      <c r="L722" t="s">
        <v>74</v>
      </c>
      <c r="M722" t="s">
        <v>78</v>
      </c>
      <c r="N722" t="s">
        <v>79</v>
      </c>
      <c r="O722" t="s">
        <v>74</v>
      </c>
      <c r="P722" t="s">
        <v>74</v>
      </c>
      <c r="Q722" t="s">
        <v>74</v>
      </c>
      <c r="R722" t="s">
        <v>74</v>
      </c>
      <c r="S722" t="s">
        <v>74</v>
      </c>
      <c r="T722" t="s">
        <v>13874</v>
      </c>
      <c r="U722" t="s">
        <v>13875</v>
      </c>
      <c r="V722" t="s">
        <v>13876</v>
      </c>
      <c r="W722" t="s">
        <v>13877</v>
      </c>
      <c r="X722" t="s">
        <v>13878</v>
      </c>
      <c r="Y722" t="s">
        <v>13879</v>
      </c>
      <c r="Z722" t="s">
        <v>13880</v>
      </c>
      <c r="AA722" t="s">
        <v>74</v>
      </c>
      <c r="AB722" t="s">
        <v>13881</v>
      </c>
      <c r="AC722" t="s">
        <v>13882</v>
      </c>
      <c r="AD722" t="s">
        <v>13883</v>
      </c>
      <c r="AE722" t="s">
        <v>13884</v>
      </c>
      <c r="AF722" t="s">
        <v>74</v>
      </c>
      <c r="AG722">
        <v>88</v>
      </c>
      <c r="AH722">
        <v>37</v>
      </c>
      <c r="AI722">
        <v>37</v>
      </c>
      <c r="AJ722">
        <v>0</v>
      </c>
      <c r="AK722">
        <v>11</v>
      </c>
      <c r="AL722" t="s">
        <v>9941</v>
      </c>
      <c r="AM722" t="s">
        <v>8964</v>
      </c>
      <c r="AN722" t="s">
        <v>9942</v>
      </c>
      <c r="AO722" t="s">
        <v>13885</v>
      </c>
      <c r="AP722" t="s">
        <v>13886</v>
      </c>
      <c r="AQ722" t="s">
        <v>74</v>
      </c>
      <c r="AR722" t="s">
        <v>13887</v>
      </c>
      <c r="AS722" t="s">
        <v>13888</v>
      </c>
      <c r="AT722" t="s">
        <v>13267</v>
      </c>
      <c r="AU722">
        <v>2015</v>
      </c>
      <c r="AV722">
        <v>36</v>
      </c>
      <c r="AW722">
        <v>3</v>
      </c>
      <c r="AX722" t="s">
        <v>74</v>
      </c>
      <c r="AY722" t="s">
        <v>74</v>
      </c>
      <c r="AZ722" t="s">
        <v>74</v>
      </c>
      <c r="BA722" t="s">
        <v>74</v>
      </c>
      <c r="BB722">
        <v>289</v>
      </c>
      <c r="BC722">
        <v>310</v>
      </c>
      <c r="BD722" t="s">
        <v>74</v>
      </c>
      <c r="BE722" t="s">
        <v>13889</v>
      </c>
      <c r="BF722" t="str">
        <f>HYPERLINK("http://dx.doi.org/10.7872/cryb/v36.iss3.2015.289","http://dx.doi.org/10.7872/cryb/v36.iss3.2015.289")</f>
        <v>http://dx.doi.org/10.7872/cryb/v36.iss3.2015.289</v>
      </c>
      <c r="BG722" t="s">
        <v>74</v>
      </c>
      <c r="BH722" t="s">
        <v>74</v>
      </c>
      <c r="BI722">
        <v>22</v>
      </c>
      <c r="BJ722" t="s">
        <v>429</v>
      </c>
      <c r="BK722" t="s">
        <v>101</v>
      </c>
      <c r="BL722" t="s">
        <v>429</v>
      </c>
      <c r="BM722" t="s">
        <v>13890</v>
      </c>
      <c r="BN722" t="s">
        <v>74</v>
      </c>
      <c r="BO722" t="s">
        <v>74</v>
      </c>
      <c r="BP722" t="s">
        <v>74</v>
      </c>
      <c r="BQ722" t="s">
        <v>74</v>
      </c>
      <c r="BR722" t="s">
        <v>103</v>
      </c>
      <c r="BS722" t="s">
        <v>13891</v>
      </c>
      <c r="BT722" t="str">
        <f>HYPERLINK("https%3A%2F%2Fwww.webofscience.com%2Fwos%2Fwoscc%2Ffull-record%2FWOS:000358572000009","View Full Record in Web of Science")</f>
        <v>View Full Record in Web of Science</v>
      </c>
    </row>
    <row r="723" spans="1:72" x14ac:dyDescent="0.15">
      <c r="A723" t="s">
        <v>72</v>
      </c>
      <c r="B723" t="s">
        <v>13892</v>
      </c>
      <c r="C723" t="s">
        <v>74</v>
      </c>
      <c r="D723" t="s">
        <v>74</v>
      </c>
      <c r="E723" t="s">
        <v>74</v>
      </c>
      <c r="F723" t="s">
        <v>13893</v>
      </c>
      <c r="G723" t="s">
        <v>74</v>
      </c>
      <c r="H723" t="s">
        <v>74</v>
      </c>
      <c r="I723" t="s">
        <v>13894</v>
      </c>
      <c r="J723" t="s">
        <v>3850</v>
      </c>
      <c r="K723" t="s">
        <v>74</v>
      </c>
      <c r="L723" t="s">
        <v>74</v>
      </c>
      <c r="M723" t="s">
        <v>78</v>
      </c>
      <c r="N723" t="s">
        <v>79</v>
      </c>
      <c r="O723" t="s">
        <v>74</v>
      </c>
      <c r="P723" t="s">
        <v>74</v>
      </c>
      <c r="Q723" t="s">
        <v>74</v>
      </c>
      <c r="R723" t="s">
        <v>74</v>
      </c>
      <c r="S723" t="s">
        <v>74</v>
      </c>
      <c r="T723" t="s">
        <v>74</v>
      </c>
      <c r="U723" t="s">
        <v>13895</v>
      </c>
      <c r="V723" t="s">
        <v>13896</v>
      </c>
      <c r="W723" t="s">
        <v>13897</v>
      </c>
      <c r="X723" t="s">
        <v>13898</v>
      </c>
      <c r="Y723" t="s">
        <v>13899</v>
      </c>
      <c r="Z723" t="s">
        <v>13900</v>
      </c>
      <c r="AA723" t="s">
        <v>74</v>
      </c>
      <c r="AB723" t="s">
        <v>13901</v>
      </c>
      <c r="AC723" t="s">
        <v>13902</v>
      </c>
      <c r="AD723" t="s">
        <v>13903</v>
      </c>
      <c r="AE723" t="s">
        <v>13904</v>
      </c>
      <c r="AF723" t="s">
        <v>74</v>
      </c>
      <c r="AG723">
        <v>81</v>
      </c>
      <c r="AH723">
        <v>25</v>
      </c>
      <c r="AI723">
        <v>28</v>
      </c>
      <c r="AJ723">
        <v>1</v>
      </c>
      <c r="AK723">
        <v>55</v>
      </c>
      <c r="AL723" t="s">
        <v>208</v>
      </c>
      <c r="AM723" t="s">
        <v>209</v>
      </c>
      <c r="AN723" t="s">
        <v>210</v>
      </c>
      <c r="AO723" t="s">
        <v>3862</v>
      </c>
      <c r="AP723" t="s">
        <v>3863</v>
      </c>
      <c r="AQ723" t="s">
        <v>74</v>
      </c>
      <c r="AR723" t="s">
        <v>3864</v>
      </c>
      <c r="AS723" t="s">
        <v>3865</v>
      </c>
      <c r="AT723" t="s">
        <v>13267</v>
      </c>
      <c r="AU723">
        <v>2015</v>
      </c>
      <c r="AV723">
        <v>17</v>
      </c>
      <c r="AW723">
        <v>7</v>
      </c>
      <c r="AX723" t="s">
        <v>74</v>
      </c>
      <c r="AY723" t="s">
        <v>74</v>
      </c>
      <c r="AZ723" t="s">
        <v>74</v>
      </c>
      <c r="BA723" t="s">
        <v>74</v>
      </c>
      <c r="BB723">
        <v>2319</v>
      </c>
      <c r="BC723">
        <v>2335</v>
      </c>
      <c r="BD723" t="s">
        <v>74</v>
      </c>
      <c r="BE723" t="s">
        <v>13905</v>
      </c>
      <c r="BF723" t="str">
        <f>HYPERLINK("http://dx.doi.org/10.1111/1462-2920.12691","http://dx.doi.org/10.1111/1462-2920.12691")</f>
        <v>http://dx.doi.org/10.1111/1462-2920.12691</v>
      </c>
      <c r="BG723" t="s">
        <v>74</v>
      </c>
      <c r="BH723" t="s">
        <v>74</v>
      </c>
      <c r="BI723">
        <v>17</v>
      </c>
      <c r="BJ723" t="s">
        <v>160</v>
      </c>
      <c r="BK723" t="s">
        <v>101</v>
      </c>
      <c r="BL723" t="s">
        <v>160</v>
      </c>
      <c r="BM723" t="s">
        <v>13906</v>
      </c>
      <c r="BN723">
        <v>25471130</v>
      </c>
      <c r="BO723" t="s">
        <v>559</v>
      </c>
      <c r="BP723" t="s">
        <v>74</v>
      </c>
      <c r="BQ723" t="s">
        <v>74</v>
      </c>
      <c r="BR723" t="s">
        <v>103</v>
      </c>
      <c r="BS723" t="s">
        <v>13907</v>
      </c>
      <c r="BT723" t="str">
        <f>HYPERLINK("https%3A%2F%2Fwww.webofscience.com%2Fwos%2Fwoscc%2Ffull-record%2FWOS:000358114300013","View Full Record in Web of Science")</f>
        <v>View Full Record in Web of Science</v>
      </c>
    </row>
    <row r="724" spans="1:72" x14ac:dyDescent="0.15">
      <c r="A724" t="s">
        <v>72</v>
      </c>
      <c r="B724" t="s">
        <v>13908</v>
      </c>
      <c r="C724" t="s">
        <v>74</v>
      </c>
      <c r="D724" t="s">
        <v>74</v>
      </c>
      <c r="E724" t="s">
        <v>74</v>
      </c>
      <c r="F724" t="s">
        <v>13909</v>
      </c>
      <c r="G724" t="s">
        <v>74</v>
      </c>
      <c r="H724" t="s">
        <v>74</v>
      </c>
      <c r="I724" t="s">
        <v>13910</v>
      </c>
      <c r="J724" t="s">
        <v>7460</v>
      </c>
      <c r="K724" t="s">
        <v>74</v>
      </c>
      <c r="L724" t="s">
        <v>74</v>
      </c>
      <c r="M724" t="s">
        <v>78</v>
      </c>
      <c r="N724" t="s">
        <v>79</v>
      </c>
      <c r="O724" t="s">
        <v>74</v>
      </c>
      <c r="P724" t="s">
        <v>74</v>
      </c>
      <c r="Q724" t="s">
        <v>74</v>
      </c>
      <c r="R724" t="s">
        <v>74</v>
      </c>
      <c r="S724" t="s">
        <v>74</v>
      </c>
      <c r="T724" t="s">
        <v>13911</v>
      </c>
      <c r="U724" t="s">
        <v>13912</v>
      </c>
      <c r="V724" t="s">
        <v>13913</v>
      </c>
      <c r="W724" t="s">
        <v>13914</v>
      </c>
      <c r="X724" t="s">
        <v>13915</v>
      </c>
      <c r="Y724" t="s">
        <v>13916</v>
      </c>
      <c r="Z724" t="s">
        <v>13917</v>
      </c>
      <c r="AA724" t="s">
        <v>74</v>
      </c>
      <c r="AB724" t="s">
        <v>13918</v>
      </c>
      <c r="AC724" t="s">
        <v>13919</v>
      </c>
      <c r="AD724" t="s">
        <v>13920</v>
      </c>
      <c r="AE724" t="s">
        <v>13921</v>
      </c>
      <c r="AF724" t="s">
        <v>74</v>
      </c>
      <c r="AG724">
        <v>59</v>
      </c>
      <c r="AH724">
        <v>21</v>
      </c>
      <c r="AI724">
        <v>23</v>
      </c>
      <c r="AJ724">
        <v>4</v>
      </c>
      <c r="AK724">
        <v>52</v>
      </c>
      <c r="AL724" t="s">
        <v>7473</v>
      </c>
      <c r="AM724" t="s">
        <v>7474</v>
      </c>
      <c r="AN724" t="s">
        <v>13922</v>
      </c>
      <c r="AO724" t="s">
        <v>7476</v>
      </c>
      <c r="AP724" t="s">
        <v>7477</v>
      </c>
      <c r="AQ724" t="s">
        <v>74</v>
      </c>
      <c r="AR724" t="s">
        <v>7460</v>
      </c>
      <c r="AS724" t="s">
        <v>7478</v>
      </c>
      <c r="AT724" t="s">
        <v>13267</v>
      </c>
      <c r="AU724">
        <v>2015</v>
      </c>
      <c r="AV724">
        <v>19</v>
      </c>
      <c r="AW724">
        <v>4</v>
      </c>
      <c r="AX724" t="s">
        <v>74</v>
      </c>
      <c r="AY724" t="s">
        <v>74</v>
      </c>
      <c r="AZ724" t="s">
        <v>74</v>
      </c>
      <c r="BA724" t="s">
        <v>74</v>
      </c>
      <c r="BB724">
        <v>863</v>
      </c>
      <c r="BC724">
        <v>874</v>
      </c>
      <c r="BD724" t="s">
        <v>74</v>
      </c>
      <c r="BE724" t="s">
        <v>13923</v>
      </c>
      <c r="BF724" t="str">
        <f>HYPERLINK("http://dx.doi.org/10.1007/s00792-015-0762-1","http://dx.doi.org/10.1007/s00792-015-0762-1")</f>
        <v>http://dx.doi.org/10.1007/s00792-015-0762-1</v>
      </c>
      <c r="BG724" t="s">
        <v>74</v>
      </c>
      <c r="BH724" t="s">
        <v>74</v>
      </c>
      <c r="BI724">
        <v>12</v>
      </c>
      <c r="BJ724" t="s">
        <v>7480</v>
      </c>
      <c r="BK724" t="s">
        <v>101</v>
      </c>
      <c r="BL724" t="s">
        <v>7480</v>
      </c>
      <c r="BM724" t="s">
        <v>13924</v>
      </c>
      <c r="BN724">
        <v>26101017</v>
      </c>
      <c r="BO724" t="s">
        <v>74</v>
      </c>
      <c r="BP724" t="s">
        <v>74</v>
      </c>
      <c r="BQ724" t="s">
        <v>74</v>
      </c>
      <c r="BR724" t="s">
        <v>103</v>
      </c>
      <c r="BS724" t="s">
        <v>13925</v>
      </c>
      <c r="BT724" t="str">
        <f>HYPERLINK("https%3A%2F%2Fwww.webofscience.com%2Fwos%2Fwoscc%2Ffull-record%2FWOS:000358290000015","View Full Record in Web of Science")</f>
        <v>View Full Record in Web of Science</v>
      </c>
    </row>
    <row r="725" spans="1:72" x14ac:dyDescent="0.15">
      <c r="A725" t="s">
        <v>72</v>
      </c>
      <c r="B725" t="s">
        <v>13926</v>
      </c>
      <c r="C725" t="s">
        <v>74</v>
      </c>
      <c r="D725" t="s">
        <v>74</v>
      </c>
      <c r="E725" t="s">
        <v>74</v>
      </c>
      <c r="F725" t="s">
        <v>13927</v>
      </c>
      <c r="G725" t="s">
        <v>74</v>
      </c>
      <c r="H725" t="s">
        <v>74</v>
      </c>
      <c r="I725" t="s">
        <v>13928</v>
      </c>
      <c r="J725" t="s">
        <v>3181</v>
      </c>
      <c r="K725" t="s">
        <v>74</v>
      </c>
      <c r="L725" t="s">
        <v>74</v>
      </c>
      <c r="M725" t="s">
        <v>78</v>
      </c>
      <c r="N725" t="s">
        <v>581</v>
      </c>
      <c r="O725" t="s">
        <v>74</v>
      </c>
      <c r="P725" t="s">
        <v>74</v>
      </c>
      <c r="Q725" t="s">
        <v>74</v>
      </c>
      <c r="R725" t="s">
        <v>74</v>
      </c>
      <c r="S725" t="s">
        <v>74</v>
      </c>
      <c r="T725" t="s">
        <v>74</v>
      </c>
      <c r="U725" t="s">
        <v>13929</v>
      </c>
      <c r="V725" t="s">
        <v>13930</v>
      </c>
      <c r="W725" t="s">
        <v>13931</v>
      </c>
      <c r="X725" t="s">
        <v>13932</v>
      </c>
      <c r="Y725" t="s">
        <v>13933</v>
      </c>
      <c r="Z725" t="s">
        <v>13934</v>
      </c>
      <c r="AA725" t="s">
        <v>13935</v>
      </c>
      <c r="AB725" t="s">
        <v>13936</v>
      </c>
      <c r="AC725" t="s">
        <v>13937</v>
      </c>
      <c r="AD725" t="s">
        <v>13938</v>
      </c>
      <c r="AE725" t="s">
        <v>13939</v>
      </c>
      <c r="AF725" t="s">
        <v>74</v>
      </c>
      <c r="AG725">
        <v>105</v>
      </c>
      <c r="AH725">
        <v>22</v>
      </c>
      <c r="AI725">
        <v>22</v>
      </c>
      <c r="AJ725">
        <v>1</v>
      </c>
      <c r="AK725">
        <v>8</v>
      </c>
      <c r="AL725" t="s">
        <v>236</v>
      </c>
      <c r="AM725" t="s">
        <v>209</v>
      </c>
      <c r="AN725" t="s">
        <v>210</v>
      </c>
      <c r="AO725" t="s">
        <v>3193</v>
      </c>
      <c r="AP725" t="s">
        <v>3194</v>
      </c>
      <c r="AQ725" t="s">
        <v>74</v>
      </c>
      <c r="AR725" t="s">
        <v>3195</v>
      </c>
      <c r="AS725" t="s">
        <v>3196</v>
      </c>
      <c r="AT725" t="s">
        <v>13267</v>
      </c>
      <c r="AU725">
        <v>2015</v>
      </c>
      <c r="AV725">
        <v>50</v>
      </c>
      <c r="AW725">
        <v>7</v>
      </c>
      <c r="AX725" t="s">
        <v>74</v>
      </c>
      <c r="AY725" t="s">
        <v>74</v>
      </c>
      <c r="AZ725" t="s">
        <v>74</v>
      </c>
      <c r="BA725" t="s">
        <v>74</v>
      </c>
      <c r="BB725">
        <v>1271</v>
      </c>
      <c r="BC725">
        <v>1294</v>
      </c>
      <c r="BD725" t="s">
        <v>74</v>
      </c>
      <c r="BE725" t="s">
        <v>13940</v>
      </c>
      <c r="BF725" t="str">
        <f>HYPERLINK("http://dx.doi.org/10.1111/maps.12460","http://dx.doi.org/10.1111/maps.12460")</f>
        <v>http://dx.doi.org/10.1111/maps.12460</v>
      </c>
      <c r="BG725" t="s">
        <v>74</v>
      </c>
      <c r="BH725" t="s">
        <v>74</v>
      </c>
      <c r="BI725">
        <v>24</v>
      </c>
      <c r="BJ725" t="s">
        <v>1707</v>
      </c>
      <c r="BK725" t="s">
        <v>101</v>
      </c>
      <c r="BL725" t="s">
        <v>1707</v>
      </c>
      <c r="BM725" t="s">
        <v>13941</v>
      </c>
      <c r="BN725" t="s">
        <v>74</v>
      </c>
      <c r="BO725" t="s">
        <v>162</v>
      </c>
      <c r="BP725" t="s">
        <v>74</v>
      </c>
      <c r="BQ725" t="s">
        <v>74</v>
      </c>
      <c r="BR725" t="s">
        <v>103</v>
      </c>
      <c r="BS725" t="s">
        <v>13942</v>
      </c>
      <c r="BT725" t="str">
        <f>HYPERLINK("https%3A%2F%2Fwww.webofscience.com%2Fwos%2Fwoscc%2Ffull-record%2FWOS:000358126000008","View Full Record in Web of Science")</f>
        <v>View Full Record in Web of Science</v>
      </c>
    </row>
    <row r="726" spans="1:72" x14ac:dyDescent="0.15">
      <c r="A726" t="s">
        <v>72</v>
      </c>
      <c r="B726" t="s">
        <v>13943</v>
      </c>
      <c r="C726" t="s">
        <v>74</v>
      </c>
      <c r="D726" t="s">
        <v>74</v>
      </c>
      <c r="E726" t="s">
        <v>74</v>
      </c>
      <c r="F726" t="s">
        <v>13944</v>
      </c>
      <c r="G726" t="s">
        <v>74</v>
      </c>
      <c r="H726" t="s">
        <v>74</v>
      </c>
      <c r="I726" t="s">
        <v>13945</v>
      </c>
      <c r="J726" t="s">
        <v>3702</v>
      </c>
      <c r="K726" t="s">
        <v>74</v>
      </c>
      <c r="L726" t="s">
        <v>74</v>
      </c>
      <c r="M726" t="s">
        <v>78</v>
      </c>
      <c r="N726" t="s">
        <v>79</v>
      </c>
      <c r="O726" t="s">
        <v>74</v>
      </c>
      <c r="P726" t="s">
        <v>74</v>
      </c>
      <c r="Q726" t="s">
        <v>74</v>
      </c>
      <c r="R726" t="s">
        <v>74</v>
      </c>
      <c r="S726" t="s">
        <v>74</v>
      </c>
      <c r="T726" t="s">
        <v>13946</v>
      </c>
      <c r="U726" t="s">
        <v>13947</v>
      </c>
      <c r="V726" t="s">
        <v>13948</v>
      </c>
      <c r="W726" t="s">
        <v>13949</v>
      </c>
      <c r="X726" t="s">
        <v>13950</v>
      </c>
      <c r="Y726" t="s">
        <v>13951</v>
      </c>
      <c r="Z726" t="s">
        <v>13952</v>
      </c>
      <c r="AA726" t="s">
        <v>13953</v>
      </c>
      <c r="AB726" t="s">
        <v>13954</v>
      </c>
      <c r="AC726" t="s">
        <v>11141</v>
      </c>
      <c r="AD726" t="s">
        <v>11141</v>
      </c>
      <c r="AE726" t="s">
        <v>13955</v>
      </c>
      <c r="AF726" t="s">
        <v>74</v>
      </c>
      <c r="AG726">
        <v>26</v>
      </c>
      <c r="AH726">
        <v>15</v>
      </c>
      <c r="AI726">
        <v>15</v>
      </c>
      <c r="AJ726">
        <v>0</v>
      </c>
      <c r="AK726">
        <v>19</v>
      </c>
      <c r="AL726" t="s">
        <v>236</v>
      </c>
      <c r="AM726" t="s">
        <v>209</v>
      </c>
      <c r="AN726" t="s">
        <v>210</v>
      </c>
      <c r="AO726" t="s">
        <v>3715</v>
      </c>
      <c r="AP726" t="s">
        <v>74</v>
      </c>
      <c r="AQ726" t="s">
        <v>74</v>
      </c>
      <c r="AR726" t="s">
        <v>3716</v>
      </c>
      <c r="AS726" t="s">
        <v>3717</v>
      </c>
      <c r="AT726" t="s">
        <v>13248</v>
      </c>
      <c r="AU726">
        <v>2015</v>
      </c>
      <c r="AV726">
        <v>16</v>
      </c>
      <c r="AW726">
        <v>3</v>
      </c>
      <c r="AX726" t="s">
        <v>74</v>
      </c>
      <c r="AY726" t="s">
        <v>74</v>
      </c>
      <c r="AZ726" t="s">
        <v>74</v>
      </c>
      <c r="BA726" t="s">
        <v>74</v>
      </c>
      <c r="BB726">
        <v>246</v>
      </c>
      <c r="BC726">
        <v>252</v>
      </c>
      <c r="BD726" t="s">
        <v>74</v>
      </c>
      <c r="BE726" t="s">
        <v>13956</v>
      </c>
      <c r="BF726" t="str">
        <f>HYPERLINK("http://dx.doi.org/10.1002/asl2.549","http://dx.doi.org/10.1002/asl2.549")</f>
        <v>http://dx.doi.org/10.1002/asl2.549</v>
      </c>
      <c r="BG726" t="s">
        <v>74</v>
      </c>
      <c r="BH726" t="s">
        <v>74</v>
      </c>
      <c r="BI726">
        <v>7</v>
      </c>
      <c r="BJ726" t="s">
        <v>3719</v>
      </c>
      <c r="BK726" t="s">
        <v>101</v>
      </c>
      <c r="BL726" t="s">
        <v>3719</v>
      </c>
      <c r="BM726" t="s">
        <v>13957</v>
      </c>
      <c r="BN726" t="s">
        <v>74</v>
      </c>
      <c r="BO726" t="s">
        <v>1235</v>
      </c>
      <c r="BP726" t="s">
        <v>74</v>
      </c>
      <c r="BQ726" t="s">
        <v>74</v>
      </c>
      <c r="BR726" t="s">
        <v>103</v>
      </c>
      <c r="BS726" t="s">
        <v>13958</v>
      </c>
      <c r="BT726" t="str">
        <f>HYPERLINK("https%3A%2F%2Fwww.webofscience.com%2Fwos%2Fwoscc%2Ffull-record%2FWOS:000358020000009","View Full Record in Web of Science")</f>
        <v>View Full Record in Web of Science</v>
      </c>
    </row>
    <row r="727" spans="1:72" x14ac:dyDescent="0.15">
      <c r="A727" t="s">
        <v>72</v>
      </c>
      <c r="B727" t="s">
        <v>13959</v>
      </c>
      <c r="C727" t="s">
        <v>74</v>
      </c>
      <c r="D727" t="s">
        <v>74</v>
      </c>
      <c r="E727" t="s">
        <v>74</v>
      </c>
      <c r="F727" t="s">
        <v>13960</v>
      </c>
      <c r="G727" t="s">
        <v>74</v>
      </c>
      <c r="H727" t="s">
        <v>74</v>
      </c>
      <c r="I727" t="s">
        <v>13961</v>
      </c>
      <c r="J727" t="s">
        <v>13962</v>
      </c>
      <c r="K727" t="s">
        <v>74</v>
      </c>
      <c r="L727" t="s">
        <v>74</v>
      </c>
      <c r="M727" t="s">
        <v>78</v>
      </c>
      <c r="N727" t="s">
        <v>79</v>
      </c>
      <c r="O727" t="s">
        <v>74</v>
      </c>
      <c r="P727" t="s">
        <v>74</v>
      </c>
      <c r="Q727" t="s">
        <v>74</v>
      </c>
      <c r="R727" t="s">
        <v>74</v>
      </c>
      <c r="S727" t="s">
        <v>74</v>
      </c>
      <c r="T727" t="s">
        <v>13963</v>
      </c>
      <c r="U727" t="s">
        <v>13964</v>
      </c>
      <c r="V727" t="s">
        <v>13965</v>
      </c>
      <c r="W727" t="s">
        <v>13966</v>
      </c>
      <c r="X727" t="s">
        <v>13967</v>
      </c>
      <c r="Y727" t="s">
        <v>13968</v>
      </c>
      <c r="Z727" t="s">
        <v>13969</v>
      </c>
      <c r="AA727" t="s">
        <v>13970</v>
      </c>
      <c r="AB727" t="s">
        <v>13971</v>
      </c>
      <c r="AC727" t="s">
        <v>13972</v>
      </c>
      <c r="AD727" t="s">
        <v>13973</v>
      </c>
      <c r="AE727" t="s">
        <v>13974</v>
      </c>
      <c r="AF727" t="s">
        <v>74</v>
      </c>
      <c r="AG727">
        <v>62</v>
      </c>
      <c r="AH727">
        <v>59</v>
      </c>
      <c r="AI727">
        <v>60</v>
      </c>
      <c r="AJ727">
        <v>1</v>
      </c>
      <c r="AK727">
        <v>21</v>
      </c>
      <c r="AL727" t="s">
        <v>208</v>
      </c>
      <c r="AM727" t="s">
        <v>209</v>
      </c>
      <c r="AN727" t="s">
        <v>210</v>
      </c>
      <c r="AO727" t="s">
        <v>13975</v>
      </c>
      <c r="AP727" t="s">
        <v>13976</v>
      </c>
      <c r="AQ727" t="s">
        <v>74</v>
      </c>
      <c r="AR727" t="s">
        <v>13977</v>
      </c>
      <c r="AS727" t="s">
        <v>13978</v>
      </c>
      <c r="AT727" t="s">
        <v>13267</v>
      </c>
      <c r="AU727">
        <v>2015</v>
      </c>
      <c r="AV727">
        <v>40</v>
      </c>
      <c r="AW727">
        <v>9</v>
      </c>
      <c r="AX727" t="s">
        <v>74</v>
      </c>
      <c r="AY727" t="s">
        <v>74</v>
      </c>
      <c r="AZ727" t="s">
        <v>74</v>
      </c>
      <c r="BA727" t="s">
        <v>74</v>
      </c>
      <c r="BB727">
        <v>1227</v>
      </c>
      <c r="BC727">
        <v>1238</v>
      </c>
      <c r="BD727" t="s">
        <v>74</v>
      </c>
      <c r="BE727" t="s">
        <v>13979</v>
      </c>
      <c r="BF727" t="str">
        <f>HYPERLINK("http://dx.doi.org/10.1002/esp.3716","http://dx.doi.org/10.1002/esp.3716")</f>
        <v>http://dx.doi.org/10.1002/esp.3716</v>
      </c>
      <c r="BG727" t="s">
        <v>74</v>
      </c>
      <c r="BH727" t="s">
        <v>74</v>
      </c>
      <c r="BI727">
        <v>12</v>
      </c>
      <c r="BJ727" t="s">
        <v>1778</v>
      </c>
      <c r="BK727" t="s">
        <v>101</v>
      </c>
      <c r="BL727" t="s">
        <v>1779</v>
      </c>
      <c r="BM727" t="s">
        <v>13980</v>
      </c>
      <c r="BN727" t="s">
        <v>74</v>
      </c>
      <c r="BO727" t="s">
        <v>74</v>
      </c>
      <c r="BP727" t="s">
        <v>74</v>
      </c>
      <c r="BQ727" t="s">
        <v>74</v>
      </c>
      <c r="BR727" t="s">
        <v>103</v>
      </c>
      <c r="BS727" t="s">
        <v>13981</v>
      </c>
      <c r="BT727" t="str">
        <f>HYPERLINK("https%3A%2F%2Fwww.webofscience.com%2Fwos%2Fwoscc%2Ffull-record%2FWOS:000357593600009","View Full Record in Web of Science")</f>
        <v>View Full Record in Web of Science</v>
      </c>
    </row>
    <row r="728" spans="1:72" x14ac:dyDescent="0.15">
      <c r="A728" t="s">
        <v>72</v>
      </c>
      <c r="B728" t="s">
        <v>13982</v>
      </c>
      <c r="C728" t="s">
        <v>74</v>
      </c>
      <c r="D728" t="s">
        <v>74</v>
      </c>
      <c r="E728" t="s">
        <v>74</v>
      </c>
      <c r="F728" t="s">
        <v>13983</v>
      </c>
      <c r="G728" t="s">
        <v>74</v>
      </c>
      <c r="H728" t="s">
        <v>74</v>
      </c>
      <c r="I728" t="s">
        <v>13984</v>
      </c>
      <c r="J728" t="s">
        <v>13985</v>
      </c>
      <c r="K728" t="s">
        <v>74</v>
      </c>
      <c r="L728" t="s">
        <v>74</v>
      </c>
      <c r="M728" t="s">
        <v>78</v>
      </c>
      <c r="N728" t="s">
        <v>79</v>
      </c>
      <c r="O728" t="s">
        <v>74</v>
      </c>
      <c r="P728" t="s">
        <v>74</v>
      </c>
      <c r="Q728" t="s">
        <v>74</v>
      </c>
      <c r="R728" t="s">
        <v>74</v>
      </c>
      <c r="S728" t="s">
        <v>74</v>
      </c>
      <c r="T728" t="s">
        <v>74</v>
      </c>
      <c r="U728" t="s">
        <v>13986</v>
      </c>
      <c r="V728" t="s">
        <v>13987</v>
      </c>
      <c r="W728" t="s">
        <v>13988</v>
      </c>
      <c r="X728" t="s">
        <v>13989</v>
      </c>
      <c r="Y728" t="s">
        <v>13990</v>
      </c>
      <c r="Z728" t="s">
        <v>13991</v>
      </c>
      <c r="AA728" t="s">
        <v>74</v>
      </c>
      <c r="AB728" t="s">
        <v>74</v>
      </c>
      <c r="AC728" t="s">
        <v>13992</v>
      </c>
      <c r="AD728" t="s">
        <v>6614</v>
      </c>
      <c r="AE728" t="s">
        <v>13993</v>
      </c>
      <c r="AF728" t="s">
        <v>74</v>
      </c>
      <c r="AG728">
        <v>29</v>
      </c>
      <c r="AH728">
        <v>2</v>
      </c>
      <c r="AI728">
        <v>2</v>
      </c>
      <c r="AJ728">
        <v>0</v>
      </c>
      <c r="AK728">
        <v>7</v>
      </c>
      <c r="AL728" t="s">
        <v>2638</v>
      </c>
      <c r="AM728" t="s">
        <v>550</v>
      </c>
      <c r="AN728" t="s">
        <v>2639</v>
      </c>
      <c r="AO728" t="s">
        <v>13994</v>
      </c>
      <c r="AP728" t="s">
        <v>13995</v>
      </c>
      <c r="AQ728" t="s">
        <v>74</v>
      </c>
      <c r="AR728" t="s">
        <v>13996</v>
      </c>
      <c r="AS728" t="s">
        <v>13997</v>
      </c>
      <c r="AT728" t="s">
        <v>13267</v>
      </c>
      <c r="AU728">
        <v>2015</v>
      </c>
      <c r="AV728">
        <v>51</v>
      </c>
      <c r="AW728">
        <v>4</v>
      </c>
      <c r="AX728" t="s">
        <v>74</v>
      </c>
      <c r="AY728" t="s">
        <v>74</v>
      </c>
      <c r="AZ728" t="s">
        <v>74</v>
      </c>
      <c r="BA728" t="s">
        <v>74</v>
      </c>
      <c r="BB728">
        <v>469</v>
      </c>
      <c r="BC728">
        <v>479</v>
      </c>
      <c r="BD728" t="s">
        <v>74</v>
      </c>
      <c r="BE728" t="s">
        <v>13998</v>
      </c>
      <c r="BF728" t="str">
        <f>HYPERLINK("http://dx.doi.org/10.1134/S1069351315030180","http://dx.doi.org/10.1134/S1069351315030180")</f>
        <v>http://dx.doi.org/10.1134/S1069351315030180</v>
      </c>
      <c r="BG728" t="s">
        <v>74</v>
      </c>
      <c r="BH728" t="s">
        <v>74</v>
      </c>
      <c r="BI728">
        <v>11</v>
      </c>
      <c r="BJ728" t="s">
        <v>1707</v>
      </c>
      <c r="BK728" t="s">
        <v>101</v>
      </c>
      <c r="BL728" t="s">
        <v>1707</v>
      </c>
      <c r="BM728" t="s">
        <v>13999</v>
      </c>
      <c r="BN728" t="s">
        <v>74</v>
      </c>
      <c r="BO728" t="s">
        <v>74</v>
      </c>
      <c r="BP728" t="s">
        <v>74</v>
      </c>
      <c r="BQ728" t="s">
        <v>74</v>
      </c>
      <c r="BR728" t="s">
        <v>103</v>
      </c>
      <c r="BS728" t="s">
        <v>14000</v>
      </c>
      <c r="BT728" t="str">
        <f>HYPERLINK("https%3A%2F%2Fwww.webofscience.com%2Fwos%2Fwoscc%2Ffull-record%2FWOS:000358056100002","View Full Record in Web of Science")</f>
        <v>View Full Record in Web of Science</v>
      </c>
    </row>
    <row r="729" spans="1:72" x14ac:dyDescent="0.15">
      <c r="A729" t="s">
        <v>72</v>
      </c>
      <c r="B729" t="s">
        <v>14001</v>
      </c>
      <c r="C729" t="s">
        <v>74</v>
      </c>
      <c r="D729" t="s">
        <v>74</v>
      </c>
      <c r="E729" t="s">
        <v>74</v>
      </c>
      <c r="F729" t="s">
        <v>14002</v>
      </c>
      <c r="G729" t="s">
        <v>74</v>
      </c>
      <c r="H729" t="s">
        <v>74</v>
      </c>
      <c r="I729" t="s">
        <v>14003</v>
      </c>
      <c r="J729" t="s">
        <v>7191</v>
      </c>
      <c r="K729" t="s">
        <v>74</v>
      </c>
      <c r="L729" t="s">
        <v>74</v>
      </c>
      <c r="M729" t="s">
        <v>78</v>
      </c>
      <c r="N729" t="s">
        <v>79</v>
      </c>
      <c r="O729" t="s">
        <v>74</v>
      </c>
      <c r="P729" t="s">
        <v>74</v>
      </c>
      <c r="Q729" t="s">
        <v>74</v>
      </c>
      <c r="R729" t="s">
        <v>74</v>
      </c>
      <c r="S729" t="s">
        <v>74</v>
      </c>
      <c r="T729" t="s">
        <v>74</v>
      </c>
      <c r="U729" t="s">
        <v>14004</v>
      </c>
      <c r="V729" t="s">
        <v>14005</v>
      </c>
      <c r="W729" t="s">
        <v>14006</v>
      </c>
      <c r="X729" t="s">
        <v>14007</v>
      </c>
      <c r="Y729" t="s">
        <v>14008</v>
      </c>
      <c r="Z729" t="s">
        <v>14009</v>
      </c>
      <c r="AA729" t="s">
        <v>14010</v>
      </c>
      <c r="AB729" t="s">
        <v>14011</v>
      </c>
      <c r="AC729" t="s">
        <v>14012</v>
      </c>
      <c r="AD729" t="s">
        <v>14013</v>
      </c>
      <c r="AE729" t="s">
        <v>14014</v>
      </c>
      <c r="AF729" t="s">
        <v>74</v>
      </c>
      <c r="AG729">
        <v>32</v>
      </c>
      <c r="AH729">
        <v>5</v>
      </c>
      <c r="AI729">
        <v>5</v>
      </c>
      <c r="AJ729">
        <v>0</v>
      </c>
      <c r="AK729">
        <v>9</v>
      </c>
      <c r="AL729" t="s">
        <v>263</v>
      </c>
      <c r="AM729" t="s">
        <v>264</v>
      </c>
      <c r="AN729" t="s">
        <v>265</v>
      </c>
      <c r="AO729" t="s">
        <v>7203</v>
      </c>
      <c r="AP729" t="s">
        <v>7204</v>
      </c>
      <c r="AQ729" t="s">
        <v>74</v>
      </c>
      <c r="AR729" t="s">
        <v>7205</v>
      </c>
      <c r="AS729" t="s">
        <v>7206</v>
      </c>
      <c r="AT729" t="s">
        <v>13267</v>
      </c>
      <c r="AU729">
        <v>2015</v>
      </c>
      <c r="AV729">
        <v>72</v>
      </c>
      <c r="AW729">
        <v>7</v>
      </c>
      <c r="AX729" t="s">
        <v>74</v>
      </c>
      <c r="AY729" t="s">
        <v>74</v>
      </c>
      <c r="AZ729" t="s">
        <v>74</v>
      </c>
      <c r="BA729" t="s">
        <v>74</v>
      </c>
      <c r="BB729">
        <v>2762</v>
      </c>
      <c r="BC729">
        <v>2768</v>
      </c>
      <c r="BD729" t="s">
        <v>74</v>
      </c>
      <c r="BE729" t="s">
        <v>14015</v>
      </c>
      <c r="BF729" t="str">
        <f>HYPERLINK("http://dx.doi.org/10.1175/JAS-D-15-0020.1","http://dx.doi.org/10.1175/JAS-D-15-0020.1")</f>
        <v>http://dx.doi.org/10.1175/JAS-D-15-0020.1</v>
      </c>
      <c r="BG729" t="s">
        <v>74</v>
      </c>
      <c r="BH729" t="s">
        <v>74</v>
      </c>
      <c r="BI729">
        <v>7</v>
      </c>
      <c r="BJ729" t="s">
        <v>271</v>
      </c>
      <c r="BK729" t="s">
        <v>101</v>
      </c>
      <c r="BL729" t="s">
        <v>271</v>
      </c>
      <c r="BM729" t="s">
        <v>14016</v>
      </c>
      <c r="BN729" t="s">
        <v>74</v>
      </c>
      <c r="BO729" t="s">
        <v>14017</v>
      </c>
      <c r="BP729" t="s">
        <v>74</v>
      </c>
      <c r="BQ729" t="s">
        <v>74</v>
      </c>
      <c r="BR729" t="s">
        <v>103</v>
      </c>
      <c r="BS729" t="s">
        <v>14018</v>
      </c>
      <c r="BT729" t="str">
        <f>HYPERLINK("https%3A%2F%2Fwww.webofscience.com%2Fwos%2Fwoscc%2Ffull-record%2FWOS:000357593300013","View Full Record in Web of Science")</f>
        <v>View Full Record in Web of Science</v>
      </c>
    </row>
    <row r="730" spans="1:72" x14ac:dyDescent="0.15">
      <c r="A730" t="s">
        <v>72</v>
      </c>
      <c r="B730" t="s">
        <v>14019</v>
      </c>
      <c r="C730" t="s">
        <v>74</v>
      </c>
      <c r="D730" t="s">
        <v>74</v>
      </c>
      <c r="E730" t="s">
        <v>74</v>
      </c>
      <c r="F730" t="s">
        <v>14020</v>
      </c>
      <c r="G730" t="s">
        <v>74</v>
      </c>
      <c r="H730" t="s">
        <v>74</v>
      </c>
      <c r="I730" t="s">
        <v>14021</v>
      </c>
      <c r="J730" t="s">
        <v>2972</v>
      </c>
      <c r="K730" t="s">
        <v>74</v>
      </c>
      <c r="L730" t="s">
        <v>74</v>
      </c>
      <c r="M730" t="s">
        <v>78</v>
      </c>
      <c r="N730" t="s">
        <v>79</v>
      </c>
      <c r="O730" t="s">
        <v>74</v>
      </c>
      <c r="P730" t="s">
        <v>74</v>
      </c>
      <c r="Q730" t="s">
        <v>74</v>
      </c>
      <c r="R730" t="s">
        <v>74</v>
      </c>
      <c r="S730" t="s">
        <v>74</v>
      </c>
      <c r="T730" t="s">
        <v>14022</v>
      </c>
      <c r="U730" t="s">
        <v>14023</v>
      </c>
      <c r="V730" t="s">
        <v>14024</v>
      </c>
      <c r="W730" t="s">
        <v>14025</v>
      </c>
      <c r="X730" t="s">
        <v>14026</v>
      </c>
      <c r="Y730" t="s">
        <v>14027</v>
      </c>
      <c r="Z730" t="s">
        <v>14028</v>
      </c>
      <c r="AA730" t="s">
        <v>74</v>
      </c>
      <c r="AB730" t="s">
        <v>74</v>
      </c>
      <c r="AC730" t="s">
        <v>14029</v>
      </c>
      <c r="AD730" t="s">
        <v>14029</v>
      </c>
      <c r="AE730" t="s">
        <v>14030</v>
      </c>
      <c r="AF730" t="s">
        <v>74</v>
      </c>
      <c r="AG730">
        <v>37</v>
      </c>
      <c r="AH730">
        <v>13</v>
      </c>
      <c r="AI730">
        <v>13</v>
      </c>
      <c r="AJ730">
        <v>3</v>
      </c>
      <c r="AK730">
        <v>9</v>
      </c>
      <c r="AL730" t="s">
        <v>236</v>
      </c>
      <c r="AM730" t="s">
        <v>209</v>
      </c>
      <c r="AN730" t="s">
        <v>210</v>
      </c>
      <c r="AO730" t="s">
        <v>2984</v>
      </c>
      <c r="AP730" t="s">
        <v>2985</v>
      </c>
      <c r="AQ730" t="s">
        <v>74</v>
      </c>
      <c r="AR730" t="s">
        <v>2986</v>
      </c>
      <c r="AS730" t="s">
        <v>2987</v>
      </c>
      <c r="AT730" t="s">
        <v>13267</v>
      </c>
      <c r="AU730">
        <v>2015</v>
      </c>
      <c r="AV730">
        <v>31</v>
      </c>
      <c r="AW730">
        <v>3</v>
      </c>
      <c r="AX730" t="s">
        <v>74</v>
      </c>
      <c r="AY730" t="s">
        <v>74</v>
      </c>
      <c r="AZ730" t="s">
        <v>74</v>
      </c>
      <c r="BA730" t="s">
        <v>74</v>
      </c>
      <c r="BB730">
        <v>1132</v>
      </c>
      <c r="BC730">
        <v>1152</v>
      </c>
      <c r="BD730" t="s">
        <v>74</v>
      </c>
      <c r="BE730" t="s">
        <v>14031</v>
      </c>
      <c r="BF730" t="str">
        <f>HYPERLINK("http://dx.doi.org/10.1111/mms.12213","http://dx.doi.org/10.1111/mms.12213")</f>
        <v>http://dx.doi.org/10.1111/mms.12213</v>
      </c>
      <c r="BG730" t="s">
        <v>74</v>
      </c>
      <c r="BH730" t="s">
        <v>74</v>
      </c>
      <c r="BI730">
        <v>21</v>
      </c>
      <c r="BJ730" t="s">
        <v>2581</v>
      </c>
      <c r="BK730" t="s">
        <v>101</v>
      </c>
      <c r="BL730" t="s">
        <v>2581</v>
      </c>
      <c r="BM730" t="s">
        <v>14032</v>
      </c>
      <c r="BN730" t="s">
        <v>74</v>
      </c>
      <c r="BO730" t="s">
        <v>559</v>
      </c>
      <c r="BP730" t="s">
        <v>74</v>
      </c>
      <c r="BQ730" t="s">
        <v>74</v>
      </c>
      <c r="BR730" t="s">
        <v>103</v>
      </c>
      <c r="BS730" t="s">
        <v>14033</v>
      </c>
      <c r="BT730" t="str">
        <f>HYPERLINK("https%3A%2F%2Fwww.webofscience.com%2Fwos%2Fwoscc%2Ffull-record%2FWOS:000357982300017","View Full Record in Web of Science")</f>
        <v>View Full Record in Web of Science</v>
      </c>
    </row>
    <row r="731" spans="1:72" x14ac:dyDescent="0.15">
      <c r="A731" t="s">
        <v>72</v>
      </c>
      <c r="B731" t="s">
        <v>14034</v>
      </c>
      <c r="C731" t="s">
        <v>74</v>
      </c>
      <c r="D731" t="s">
        <v>74</v>
      </c>
      <c r="E731" t="s">
        <v>74</v>
      </c>
      <c r="F731" t="s">
        <v>14035</v>
      </c>
      <c r="G731" t="s">
        <v>74</v>
      </c>
      <c r="H731" t="s">
        <v>74</v>
      </c>
      <c r="I731" t="s">
        <v>14036</v>
      </c>
      <c r="J731" t="s">
        <v>2972</v>
      </c>
      <c r="K731" t="s">
        <v>74</v>
      </c>
      <c r="L731" t="s">
        <v>74</v>
      </c>
      <c r="M731" t="s">
        <v>78</v>
      </c>
      <c r="N731" t="s">
        <v>79</v>
      </c>
      <c r="O731" t="s">
        <v>74</v>
      </c>
      <c r="P731" t="s">
        <v>74</v>
      </c>
      <c r="Q731" t="s">
        <v>74</v>
      </c>
      <c r="R731" t="s">
        <v>74</v>
      </c>
      <c r="S731" t="s">
        <v>74</v>
      </c>
      <c r="T731" t="s">
        <v>74</v>
      </c>
      <c r="U731" t="s">
        <v>14037</v>
      </c>
      <c r="V731" t="s">
        <v>74</v>
      </c>
      <c r="W731" t="s">
        <v>14038</v>
      </c>
      <c r="X731" t="s">
        <v>14039</v>
      </c>
      <c r="Y731" t="s">
        <v>14040</v>
      </c>
      <c r="Z731" t="s">
        <v>14041</v>
      </c>
      <c r="AA731" t="s">
        <v>14042</v>
      </c>
      <c r="AB731" t="s">
        <v>14043</v>
      </c>
      <c r="AC731" t="s">
        <v>14044</v>
      </c>
      <c r="AD731" t="s">
        <v>14045</v>
      </c>
      <c r="AE731" t="s">
        <v>14046</v>
      </c>
      <c r="AF731" t="s">
        <v>74</v>
      </c>
      <c r="AG731">
        <v>31</v>
      </c>
      <c r="AH731">
        <v>6</v>
      </c>
      <c r="AI731">
        <v>7</v>
      </c>
      <c r="AJ731">
        <v>1</v>
      </c>
      <c r="AK731">
        <v>13</v>
      </c>
      <c r="AL731" t="s">
        <v>208</v>
      </c>
      <c r="AM731" t="s">
        <v>209</v>
      </c>
      <c r="AN731" t="s">
        <v>210</v>
      </c>
      <c r="AO731" t="s">
        <v>2984</v>
      </c>
      <c r="AP731" t="s">
        <v>2985</v>
      </c>
      <c r="AQ731" t="s">
        <v>74</v>
      </c>
      <c r="AR731" t="s">
        <v>2986</v>
      </c>
      <c r="AS731" t="s">
        <v>2987</v>
      </c>
      <c r="AT731" t="s">
        <v>13267</v>
      </c>
      <c r="AU731">
        <v>2015</v>
      </c>
      <c r="AV731">
        <v>31</v>
      </c>
      <c r="AW731">
        <v>3</v>
      </c>
      <c r="AX731" t="s">
        <v>74</v>
      </c>
      <c r="AY731" t="s">
        <v>74</v>
      </c>
      <c r="AZ731" t="s">
        <v>74</v>
      </c>
      <c r="BA731" t="s">
        <v>74</v>
      </c>
      <c r="BB731">
        <v>1265</v>
      </c>
      <c r="BC731">
        <v>1274</v>
      </c>
      <c r="BD731" t="s">
        <v>74</v>
      </c>
      <c r="BE731" t="s">
        <v>14047</v>
      </c>
      <c r="BF731" t="str">
        <f>HYPERLINK("http://dx.doi.org/10.1111/mms.12216","http://dx.doi.org/10.1111/mms.12216")</f>
        <v>http://dx.doi.org/10.1111/mms.12216</v>
      </c>
      <c r="BG731" t="s">
        <v>74</v>
      </c>
      <c r="BH731" t="s">
        <v>74</v>
      </c>
      <c r="BI731">
        <v>10</v>
      </c>
      <c r="BJ731" t="s">
        <v>2581</v>
      </c>
      <c r="BK731" t="s">
        <v>101</v>
      </c>
      <c r="BL731" t="s">
        <v>2581</v>
      </c>
      <c r="BM731" t="s">
        <v>14032</v>
      </c>
      <c r="BN731" t="s">
        <v>74</v>
      </c>
      <c r="BO731" t="s">
        <v>1213</v>
      </c>
      <c r="BP731" t="s">
        <v>74</v>
      </c>
      <c r="BQ731" t="s">
        <v>74</v>
      </c>
      <c r="BR731" t="s">
        <v>103</v>
      </c>
      <c r="BS731" t="s">
        <v>14048</v>
      </c>
      <c r="BT731" t="str">
        <f>HYPERLINK("https%3A%2F%2Fwww.webofscience.com%2Fwos%2Fwoscc%2Ffull-record%2FWOS:000357982300025","View Full Record in Web of Science")</f>
        <v>View Full Record in Web of Science</v>
      </c>
    </row>
    <row r="732" spans="1:72" x14ac:dyDescent="0.15">
      <c r="A732" t="s">
        <v>72</v>
      </c>
      <c r="B732" t="s">
        <v>14049</v>
      </c>
      <c r="C732" t="s">
        <v>74</v>
      </c>
      <c r="D732" t="s">
        <v>74</v>
      </c>
      <c r="E732" t="s">
        <v>74</v>
      </c>
      <c r="F732" t="s">
        <v>14050</v>
      </c>
      <c r="G732" t="s">
        <v>74</v>
      </c>
      <c r="H732" t="s">
        <v>74</v>
      </c>
      <c r="I732" t="s">
        <v>14051</v>
      </c>
      <c r="J732" t="s">
        <v>732</v>
      </c>
      <c r="K732" t="s">
        <v>74</v>
      </c>
      <c r="L732" t="s">
        <v>74</v>
      </c>
      <c r="M732" t="s">
        <v>78</v>
      </c>
      <c r="N732" t="s">
        <v>79</v>
      </c>
      <c r="O732" t="s">
        <v>74</v>
      </c>
      <c r="P732" t="s">
        <v>74</v>
      </c>
      <c r="Q732" t="s">
        <v>74</v>
      </c>
      <c r="R732" t="s">
        <v>74</v>
      </c>
      <c r="S732" t="s">
        <v>74</v>
      </c>
      <c r="T732" t="s">
        <v>74</v>
      </c>
      <c r="U732" t="s">
        <v>74</v>
      </c>
      <c r="V732" t="s">
        <v>14052</v>
      </c>
      <c r="W732" t="s">
        <v>14053</v>
      </c>
      <c r="X732" t="s">
        <v>74</v>
      </c>
      <c r="Y732" t="s">
        <v>14054</v>
      </c>
      <c r="Z732" t="s">
        <v>14055</v>
      </c>
      <c r="AA732" t="s">
        <v>74</v>
      </c>
      <c r="AB732" t="s">
        <v>74</v>
      </c>
      <c r="AC732" t="s">
        <v>74</v>
      </c>
      <c r="AD732" t="s">
        <v>74</v>
      </c>
      <c r="AE732" t="s">
        <v>74</v>
      </c>
      <c r="AF732" t="s">
        <v>74</v>
      </c>
      <c r="AG732">
        <v>95</v>
      </c>
      <c r="AH732">
        <v>4</v>
      </c>
      <c r="AI732">
        <v>4</v>
      </c>
      <c r="AJ732">
        <v>0</v>
      </c>
      <c r="AK732">
        <v>5</v>
      </c>
      <c r="AL732" t="s">
        <v>741</v>
      </c>
      <c r="AM732" t="s">
        <v>550</v>
      </c>
      <c r="AN732" t="s">
        <v>742</v>
      </c>
      <c r="AO732" t="s">
        <v>743</v>
      </c>
      <c r="AP732" t="s">
        <v>744</v>
      </c>
      <c r="AQ732" t="s">
        <v>74</v>
      </c>
      <c r="AR732" t="s">
        <v>745</v>
      </c>
      <c r="AS732" t="s">
        <v>746</v>
      </c>
      <c r="AT732" t="s">
        <v>13267</v>
      </c>
      <c r="AU732">
        <v>2015</v>
      </c>
      <c r="AV732">
        <v>51</v>
      </c>
      <c r="AW732">
        <v>4</v>
      </c>
      <c r="AX732" t="s">
        <v>74</v>
      </c>
      <c r="AY732" t="s">
        <v>74</v>
      </c>
      <c r="AZ732" t="s">
        <v>74</v>
      </c>
      <c r="BA732" t="s">
        <v>74</v>
      </c>
      <c r="BB732">
        <v>343</v>
      </c>
      <c r="BC732">
        <v>365</v>
      </c>
      <c r="BD732" t="s">
        <v>74</v>
      </c>
      <c r="BE732" t="s">
        <v>14056</v>
      </c>
      <c r="BF732" t="str">
        <f>HYPERLINK("http://dx.doi.org/10.1017/S0032247414000795","http://dx.doi.org/10.1017/S0032247414000795")</f>
        <v>http://dx.doi.org/10.1017/S0032247414000795</v>
      </c>
      <c r="BG732" t="s">
        <v>74</v>
      </c>
      <c r="BH732" t="s">
        <v>74</v>
      </c>
      <c r="BI732">
        <v>23</v>
      </c>
      <c r="BJ732" t="s">
        <v>748</v>
      </c>
      <c r="BK732" t="s">
        <v>101</v>
      </c>
      <c r="BL732" t="s">
        <v>644</v>
      </c>
      <c r="BM732" t="s">
        <v>14057</v>
      </c>
      <c r="BN732" t="s">
        <v>74</v>
      </c>
      <c r="BO732" t="s">
        <v>74</v>
      </c>
      <c r="BP732" t="s">
        <v>74</v>
      </c>
      <c r="BQ732" t="s">
        <v>74</v>
      </c>
      <c r="BR732" t="s">
        <v>103</v>
      </c>
      <c r="BS732" t="s">
        <v>14058</v>
      </c>
      <c r="BT732" t="str">
        <f>HYPERLINK("https%3A%2F%2Fwww.webofscience.com%2Fwos%2Fwoscc%2Ffull-record%2FWOS:000357607600001","View Full Record in Web of Science")</f>
        <v>View Full Record in Web of Science</v>
      </c>
    </row>
    <row r="733" spans="1:72" x14ac:dyDescent="0.15">
      <c r="A733" t="s">
        <v>72</v>
      </c>
      <c r="B733" t="s">
        <v>14059</v>
      </c>
      <c r="C733" t="s">
        <v>74</v>
      </c>
      <c r="D733" t="s">
        <v>74</v>
      </c>
      <c r="E733" t="s">
        <v>74</v>
      </c>
      <c r="F733" t="s">
        <v>14060</v>
      </c>
      <c r="G733" t="s">
        <v>74</v>
      </c>
      <c r="H733" t="s">
        <v>74</v>
      </c>
      <c r="I733" t="s">
        <v>14061</v>
      </c>
      <c r="J733" t="s">
        <v>732</v>
      </c>
      <c r="K733" t="s">
        <v>74</v>
      </c>
      <c r="L733" t="s">
        <v>74</v>
      </c>
      <c r="M733" t="s">
        <v>78</v>
      </c>
      <c r="N733" t="s">
        <v>79</v>
      </c>
      <c r="O733" t="s">
        <v>74</v>
      </c>
      <c r="P733" t="s">
        <v>74</v>
      </c>
      <c r="Q733" t="s">
        <v>74</v>
      </c>
      <c r="R733" t="s">
        <v>74</v>
      </c>
      <c r="S733" t="s">
        <v>74</v>
      </c>
      <c r="T733" t="s">
        <v>74</v>
      </c>
      <c r="U733" t="s">
        <v>74</v>
      </c>
      <c r="V733" t="s">
        <v>14062</v>
      </c>
      <c r="W733" t="s">
        <v>74</v>
      </c>
      <c r="X733" t="s">
        <v>74</v>
      </c>
      <c r="Y733" t="s">
        <v>74</v>
      </c>
      <c r="Z733" t="s">
        <v>14063</v>
      </c>
      <c r="AA733" t="s">
        <v>74</v>
      </c>
      <c r="AB733" t="s">
        <v>14064</v>
      </c>
      <c r="AC733" t="s">
        <v>74</v>
      </c>
      <c r="AD733" t="s">
        <v>74</v>
      </c>
      <c r="AE733" t="s">
        <v>74</v>
      </c>
      <c r="AF733" t="s">
        <v>74</v>
      </c>
      <c r="AG733">
        <v>74</v>
      </c>
      <c r="AH733">
        <v>2</v>
      </c>
      <c r="AI733">
        <v>2</v>
      </c>
      <c r="AJ733">
        <v>0</v>
      </c>
      <c r="AK733">
        <v>0</v>
      </c>
      <c r="AL733" t="s">
        <v>741</v>
      </c>
      <c r="AM733" t="s">
        <v>550</v>
      </c>
      <c r="AN733" t="s">
        <v>742</v>
      </c>
      <c r="AO733" t="s">
        <v>743</v>
      </c>
      <c r="AP733" t="s">
        <v>744</v>
      </c>
      <c r="AQ733" t="s">
        <v>74</v>
      </c>
      <c r="AR733" t="s">
        <v>745</v>
      </c>
      <c r="AS733" t="s">
        <v>746</v>
      </c>
      <c r="AT733" t="s">
        <v>13267</v>
      </c>
      <c r="AU733">
        <v>2015</v>
      </c>
      <c r="AV733">
        <v>51</v>
      </c>
      <c r="AW733">
        <v>4</v>
      </c>
      <c r="AX733" t="s">
        <v>74</v>
      </c>
      <c r="AY733" t="s">
        <v>74</v>
      </c>
      <c r="AZ733" t="s">
        <v>74</v>
      </c>
      <c r="BA733" t="s">
        <v>74</v>
      </c>
      <c r="BB733">
        <v>432</v>
      </c>
      <c r="BC733">
        <v>443</v>
      </c>
      <c r="BD733" t="s">
        <v>74</v>
      </c>
      <c r="BE733" t="s">
        <v>14065</v>
      </c>
      <c r="BF733" t="str">
        <f>HYPERLINK("http://dx.doi.org/10.1017/S0032247414000424","http://dx.doi.org/10.1017/S0032247414000424")</f>
        <v>http://dx.doi.org/10.1017/S0032247414000424</v>
      </c>
      <c r="BG733" t="s">
        <v>74</v>
      </c>
      <c r="BH733" t="s">
        <v>74</v>
      </c>
      <c r="BI733">
        <v>12</v>
      </c>
      <c r="BJ733" t="s">
        <v>748</v>
      </c>
      <c r="BK733" t="s">
        <v>101</v>
      </c>
      <c r="BL733" t="s">
        <v>644</v>
      </c>
      <c r="BM733" t="s">
        <v>14057</v>
      </c>
      <c r="BN733" t="s">
        <v>74</v>
      </c>
      <c r="BO733" t="s">
        <v>74</v>
      </c>
      <c r="BP733" t="s">
        <v>74</v>
      </c>
      <c r="BQ733" t="s">
        <v>74</v>
      </c>
      <c r="BR733" t="s">
        <v>103</v>
      </c>
      <c r="BS733" t="s">
        <v>14066</v>
      </c>
      <c r="BT733" t="str">
        <f>HYPERLINK("https%3A%2F%2Fwww.webofscience.com%2Fwos%2Fwoscc%2Ffull-record%2FWOS:000357607600008","View Full Record in Web of Science")</f>
        <v>View Full Record in Web of Science</v>
      </c>
    </row>
    <row r="734" spans="1:72" x14ac:dyDescent="0.15">
      <c r="A734" t="s">
        <v>72</v>
      </c>
      <c r="B734" t="s">
        <v>14067</v>
      </c>
      <c r="C734" t="s">
        <v>74</v>
      </c>
      <c r="D734" t="s">
        <v>74</v>
      </c>
      <c r="E734" t="s">
        <v>74</v>
      </c>
      <c r="F734" t="s">
        <v>14068</v>
      </c>
      <c r="G734" t="s">
        <v>74</v>
      </c>
      <c r="H734" t="s">
        <v>74</v>
      </c>
      <c r="I734" t="s">
        <v>14069</v>
      </c>
      <c r="J734" t="s">
        <v>14070</v>
      </c>
      <c r="K734" t="s">
        <v>74</v>
      </c>
      <c r="L734" t="s">
        <v>74</v>
      </c>
      <c r="M734" t="s">
        <v>78</v>
      </c>
      <c r="N734" t="s">
        <v>79</v>
      </c>
      <c r="O734" t="s">
        <v>74</v>
      </c>
      <c r="P734" t="s">
        <v>74</v>
      </c>
      <c r="Q734" t="s">
        <v>74</v>
      </c>
      <c r="R734" t="s">
        <v>74</v>
      </c>
      <c r="S734" t="s">
        <v>74</v>
      </c>
      <c r="T734" t="s">
        <v>14071</v>
      </c>
      <c r="U734" t="s">
        <v>14072</v>
      </c>
      <c r="V734" t="s">
        <v>14073</v>
      </c>
      <c r="W734" t="s">
        <v>14074</v>
      </c>
      <c r="X734" t="s">
        <v>14075</v>
      </c>
      <c r="Y734" t="s">
        <v>14076</v>
      </c>
      <c r="Z734" t="s">
        <v>14077</v>
      </c>
      <c r="AA734" t="s">
        <v>14078</v>
      </c>
      <c r="AB734" t="s">
        <v>74</v>
      </c>
      <c r="AC734" t="s">
        <v>74</v>
      </c>
      <c r="AD734" t="s">
        <v>74</v>
      </c>
      <c r="AE734" t="s">
        <v>74</v>
      </c>
      <c r="AF734" t="s">
        <v>74</v>
      </c>
      <c r="AG734">
        <v>38</v>
      </c>
      <c r="AH734">
        <v>0</v>
      </c>
      <c r="AI734">
        <v>0</v>
      </c>
      <c r="AJ734">
        <v>2</v>
      </c>
      <c r="AK734">
        <v>23</v>
      </c>
      <c r="AL734" t="s">
        <v>14079</v>
      </c>
      <c r="AM734" t="s">
        <v>14080</v>
      </c>
      <c r="AN734" t="s">
        <v>14081</v>
      </c>
      <c r="AO734" t="s">
        <v>14082</v>
      </c>
      <c r="AP734" t="s">
        <v>14083</v>
      </c>
      <c r="AQ734" t="s">
        <v>74</v>
      </c>
      <c r="AR734" t="s">
        <v>14084</v>
      </c>
      <c r="AS734" t="s">
        <v>14085</v>
      </c>
      <c r="AT734" t="s">
        <v>13267</v>
      </c>
      <c r="AU734">
        <v>2015</v>
      </c>
      <c r="AV734">
        <v>56</v>
      </c>
      <c r="AW734">
        <v>7</v>
      </c>
      <c r="AX734" t="s">
        <v>74</v>
      </c>
      <c r="AY734" t="s">
        <v>74</v>
      </c>
      <c r="AZ734" t="s">
        <v>74</v>
      </c>
      <c r="BA734" t="s">
        <v>74</v>
      </c>
      <c r="BB734">
        <v>996</v>
      </c>
      <c r="BC734">
        <v>1015</v>
      </c>
      <c r="BD734" t="s">
        <v>74</v>
      </c>
      <c r="BE734" t="s">
        <v>14086</v>
      </c>
      <c r="BF734" t="str">
        <f>HYPERLINK("http://dx.doi.org/10.1016/j.rgg.2015.06.003","http://dx.doi.org/10.1016/j.rgg.2015.06.003")</f>
        <v>http://dx.doi.org/10.1016/j.rgg.2015.06.003</v>
      </c>
      <c r="BG734" t="s">
        <v>74</v>
      </c>
      <c r="BH734" t="s">
        <v>74</v>
      </c>
      <c r="BI734">
        <v>20</v>
      </c>
      <c r="BJ734" t="s">
        <v>314</v>
      </c>
      <c r="BK734" t="s">
        <v>101</v>
      </c>
      <c r="BL734" t="s">
        <v>315</v>
      </c>
      <c r="BM734" t="s">
        <v>14087</v>
      </c>
      <c r="BN734" t="s">
        <v>74</v>
      </c>
      <c r="BO734" t="s">
        <v>74</v>
      </c>
      <c r="BP734" t="s">
        <v>74</v>
      </c>
      <c r="BQ734" t="s">
        <v>74</v>
      </c>
      <c r="BR734" t="s">
        <v>103</v>
      </c>
      <c r="BS734" t="s">
        <v>14088</v>
      </c>
      <c r="BT734" t="str">
        <f>HYPERLINK("https%3A%2F%2Fwww.webofscience.com%2Fwos%2Fwoscc%2Ffull-record%2FWOS:000357880500003","View Full Record in Web of Science")</f>
        <v>View Full Record in Web of Science</v>
      </c>
    </row>
    <row r="735" spans="1:72" x14ac:dyDescent="0.15">
      <c r="A735" t="s">
        <v>72</v>
      </c>
      <c r="B735" t="s">
        <v>14089</v>
      </c>
      <c r="C735" t="s">
        <v>74</v>
      </c>
      <c r="D735" t="s">
        <v>74</v>
      </c>
      <c r="E735" t="s">
        <v>74</v>
      </c>
      <c r="F735" t="s">
        <v>14090</v>
      </c>
      <c r="G735" t="s">
        <v>74</v>
      </c>
      <c r="H735" t="s">
        <v>74</v>
      </c>
      <c r="I735" t="s">
        <v>14091</v>
      </c>
      <c r="J735" t="s">
        <v>14092</v>
      </c>
      <c r="K735" t="s">
        <v>74</v>
      </c>
      <c r="L735" t="s">
        <v>74</v>
      </c>
      <c r="M735" t="s">
        <v>78</v>
      </c>
      <c r="N735" t="s">
        <v>79</v>
      </c>
      <c r="O735" t="s">
        <v>74</v>
      </c>
      <c r="P735" t="s">
        <v>74</v>
      </c>
      <c r="Q735" t="s">
        <v>74</v>
      </c>
      <c r="R735" t="s">
        <v>74</v>
      </c>
      <c r="S735" t="s">
        <v>74</v>
      </c>
      <c r="T735" t="s">
        <v>14093</v>
      </c>
      <c r="U735" t="s">
        <v>14094</v>
      </c>
      <c r="V735" t="s">
        <v>14095</v>
      </c>
      <c r="W735" t="s">
        <v>14096</v>
      </c>
      <c r="X735" t="s">
        <v>14097</v>
      </c>
      <c r="Y735" t="s">
        <v>14098</v>
      </c>
      <c r="Z735" t="s">
        <v>14099</v>
      </c>
      <c r="AA735" t="s">
        <v>14100</v>
      </c>
      <c r="AB735" t="s">
        <v>14101</v>
      </c>
      <c r="AC735" t="s">
        <v>2956</v>
      </c>
      <c r="AD735" t="s">
        <v>2956</v>
      </c>
      <c r="AE735" t="s">
        <v>14102</v>
      </c>
      <c r="AF735" t="s">
        <v>74</v>
      </c>
      <c r="AG735">
        <v>49</v>
      </c>
      <c r="AH735">
        <v>11</v>
      </c>
      <c r="AI735">
        <v>12</v>
      </c>
      <c r="AJ735">
        <v>0</v>
      </c>
      <c r="AK735">
        <v>38</v>
      </c>
      <c r="AL735" t="s">
        <v>208</v>
      </c>
      <c r="AM735" t="s">
        <v>209</v>
      </c>
      <c r="AN735" t="s">
        <v>210</v>
      </c>
      <c r="AO735" t="s">
        <v>14103</v>
      </c>
      <c r="AP735" t="s">
        <v>14104</v>
      </c>
      <c r="AQ735" t="s">
        <v>74</v>
      </c>
      <c r="AR735" t="s">
        <v>14105</v>
      </c>
      <c r="AS735" t="s">
        <v>14106</v>
      </c>
      <c r="AT735" t="s">
        <v>13267</v>
      </c>
      <c r="AU735">
        <v>2015</v>
      </c>
      <c r="AV735">
        <v>59</v>
      </c>
      <c r="AW735">
        <v>3</v>
      </c>
      <c r="AX735" t="s">
        <v>74</v>
      </c>
      <c r="AY735" t="s">
        <v>74</v>
      </c>
      <c r="AZ735" t="s">
        <v>74</v>
      </c>
      <c r="BA735" t="s">
        <v>74</v>
      </c>
      <c r="BB735">
        <v>334</v>
      </c>
      <c r="BC735">
        <v>354</v>
      </c>
      <c r="BD735" t="s">
        <v>74</v>
      </c>
      <c r="BE735" t="s">
        <v>14107</v>
      </c>
      <c r="BF735" t="str">
        <f>HYPERLINK("http://dx.doi.org/10.1111/1467-8489.12078","http://dx.doi.org/10.1111/1467-8489.12078")</f>
        <v>http://dx.doi.org/10.1111/1467-8489.12078</v>
      </c>
      <c r="BG735" t="s">
        <v>74</v>
      </c>
      <c r="BH735" t="s">
        <v>74</v>
      </c>
      <c r="BI735">
        <v>21</v>
      </c>
      <c r="BJ735" t="s">
        <v>14108</v>
      </c>
      <c r="BK735" t="s">
        <v>1482</v>
      </c>
      <c r="BL735" t="s">
        <v>14109</v>
      </c>
      <c r="BM735" t="s">
        <v>14110</v>
      </c>
      <c r="BN735" t="s">
        <v>74</v>
      </c>
      <c r="BO735" t="s">
        <v>908</v>
      </c>
      <c r="BP735" t="s">
        <v>74</v>
      </c>
      <c r="BQ735" t="s">
        <v>74</v>
      </c>
      <c r="BR735" t="s">
        <v>103</v>
      </c>
      <c r="BS735" t="s">
        <v>14111</v>
      </c>
      <c r="BT735" t="str">
        <f>HYPERLINK("https%3A%2F%2Fwww.webofscience.com%2Fwos%2Fwoscc%2Ffull-record%2FWOS:000357431000002","View Full Record in Web of Science")</f>
        <v>View Full Record in Web of Science</v>
      </c>
    </row>
    <row r="736" spans="1:72" x14ac:dyDescent="0.15">
      <c r="A736" t="s">
        <v>72</v>
      </c>
      <c r="B736" t="s">
        <v>14112</v>
      </c>
      <c r="C736" t="s">
        <v>74</v>
      </c>
      <c r="D736" t="s">
        <v>74</v>
      </c>
      <c r="E736" t="s">
        <v>74</v>
      </c>
      <c r="F736" t="s">
        <v>14113</v>
      </c>
      <c r="G736" t="s">
        <v>74</v>
      </c>
      <c r="H736" t="s">
        <v>74</v>
      </c>
      <c r="I736" t="s">
        <v>14114</v>
      </c>
      <c r="J736" t="s">
        <v>14115</v>
      </c>
      <c r="K736" t="s">
        <v>74</v>
      </c>
      <c r="L736" t="s">
        <v>74</v>
      </c>
      <c r="M736" t="s">
        <v>78</v>
      </c>
      <c r="N736" t="s">
        <v>79</v>
      </c>
      <c r="O736" t="s">
        <v>74</v>
      </c>
      <c r="P736" t="s">
        <v>74</v>
      </c>
      <c r="Q736" t="s">
        <v>74</v>
      </c>
      <c r="R736" t="s">
        <v>74</v>
      </c>
      <c r="S736" t="s">
        <v>74</v>
      </c>
      <c r="T736" t="s">
        <v>14116</v>
      </c>
      <c r="U736" t="s">
        <v>14117</v>
      </c>
      <c r="V736" t="s">
        <v>14118</v>
      </c>
      <c r="W736" t="s">
        <v>14119</v>
      </c>
      <c r="X736" t="s">
        <v>14120</v>
      </c>
      <c r="Y736" t="s">
        <v>14121</v>
      </c>
      <c r="Z736" t="s">
        <v>14122</v>
      </c>
      <c r="AA736" t="s">
        <v>14123</v>
      </c>
      <c r="AB736" t="s">
        <v>14124</v>
      </c>
      <c r="AC736" t="s">
        <v>74</v>
      </c>
      <c r="AD736" t="s">
        <v>74</v>
      </c>
      <c r="AE736" t="s">
        <v>74</v>
      </c>
      <c r="AF736" t="s">
        <v>74</v>
      </c>
      <c r="AG736">
        <v>36</v>
      </c>
      <c r="AH736">
        <v>21</v>
      </c>
      <c r="AI736">
        <v>21</v>
      </c>
      <c r="AJ736">
        <v>0</v>
      </c>
      <c r="AK736">
        <v>9</v>
      </c>
      <c r="AL736" t="s">
        <v>92</v>
      </c>
      <c r="AM736" t="s">
        <v>550</v>
      </c>
      <c r="AN736" t="s">
        <v>4772</v>
      </c>
      <c r="AO736" t="s">
        <v>14125</v>
      </c>
      <c r="AP736" t="s">
        <v>14126</v>
      </c>
      <c r="AQ736" t="s">
        <v>74</v>
      </c>
      <c r="AR736" t="s">
        <v>14127</v>
      </c>
      <c r="AS736" t="s">
        <v>14128</v>
      </c>
      <c r="AT736" t="s">
        <v>13267</v>
      </c>
      <c r="AU736">
        <v>2015</v>
      </c>
      <c r="AV736">
        <v>77</v>
      </c>
      <c r="AW736">
        <v>7</v>
      </c>
      <c r="AX736" t="s">
        <v>74</v>
      </c>
      <c r="AY736" t="s">
        <v>74</v>
      </c>
      <c r="AZ736" t="s">
        <v>74</v>
      </c>
      <c r="BA736" t="s">
        <v>74</v>
      </c>
      <c r="BB736" t="s">
        <v>74</v>
      </c>
      <c r="BC736" t="s">
        <v>74</v>
      </c>
      <c r="BD736">
        <v>65</v>
      </c>
      <c r="BE736" t="s">
        <v>14129</v>
      </c>
      <c r="BF736" t="str">
        <f>HYPERLINK("http://dx.doi.org/10.1007/s00445-015-0954-7","http://dx.doi.org/10.1007/s00445-015-0954-7")</f>
        <v>http://dx.doi.org/10.1007/s00445-015-0954-7</v>
      </c>
      <c r="BG736" t="s">
        <v>74</v>
      </c>
      <c r="BH736" t="s">
        <v>74</v>
      </c>
      <c r="BI736">
        <v>7</v>
      </c>
      <c r="BJ736" t="s">
        <v>314</v>
      </c>
      <c r="BK736" t="s">
        <v>101</v>
      </c>
      <c r="BL736" t="s">
        <v>315</v>
      </c>
      <c r="BM736" t="s">
        <v>14130</v>
      </c>
      <c r="BN736" t="s">
        <v>74</v>
      </c>
      <c r="BO736" t="s">
        <v>290</v>
      </c>
      <c r="BP736" t="s">
        <v>74</v>
      </c>
      <c r="BQ736" t="s">
        <v>74</v>
      </c>
      <c r="BR736" t="s">
        <v>103</v>
      </c>
      <c r="BS736" t="s">
        <v>14131</v>
      </c>
      <c r="BT736" t="str">
        <f>HYPERLINK("https%3A%2F%2Fwww.webofscience.com%2Fwos%2Fwoscc%2Ffull-record%2FWOS:000357427200008","View Full Record in Web of Science")</f>
        <v>View Full Record in Web of Science</v>
      </c>
    </row>
    <row r="737" spans="1:72" x14ac:dyDescent="0.15">
      <c r="A737" t="s">
        <v>72</v>
      </c>
      <c r="B737" t="s">
        <v>14132</v>
      </c>
      <c r="C737" t="s">
        <v>74</v>
      </c>
      <c r="D737" t="s">
        <v>74</v>
      </c>
      <c r="E737" t="s">
        <v>74</v>
      </c>
      <c r="F737" t="s">
        <v>14133</v>
      </c>
      <c r="G737" t="s">
        <v>74</v>
      </c>
      <c r="H737" t="s">
        <v>74</v>
      </c>
      <c r="I737" t="s">
        <v>14134</v>
      </c>
      <c r="J737" t="s">
        <v>7435</v>
      </c>
      <c r="K737" t="s">
        <v>74</v>
      </c>
      <c r="L737" t="s">
        <v>74</v>
      </c>
      <c r="M737" t="s">
        <v>78</v>
      </c>
      <c r="N737" t="s">
        <v>79</v>
      </c>
      <c r="O737" t="s">
        <v>74</v>
      </c>
      <c r="P737" t="s">
        <v>74</v>
      </c>
      <c r="Q737" t="s">
        <v>74</v>
      </c>
      <c r="R737" t="s">
        <v>74</v>
      </c>
      <c r="S737" t="s">
        <v>74</v>
      </c>
      <c r="T737" t="s">
        <v>14135</v>
      </c>
      <c r="U737" t="s">
        <v>14136</v>
      </c>
      <c r="V737" t="s">
        <v>14137</v>
      </c>
      <c r="W737" t="s">
        <v>14138</v>
      </c>
      <c r="X737" t="s">
        <v>14139</v>
      </c>
      <c r="Y737" t="s">
        <v>14140</v>
      </c>
      <c r="Z737" t="s">
        <v>14141</v>
      </c>
      <c r="AA737" t="s">
        <v>14142</v>
      </c>
      <c r="AB737" t="s">
        <v>14143</v>
      </c>
      <c r="AC737" t="s">
        <v>14144</v>
      </c>
      <c r="AD737" t="s">
        <v>14145</v>
      </c>
      <c r="AE737" t="s">
        <v>14146</v>
      </c>
      <c r="AF737" t="s">
        <v>74</v>
      </c>
      <c r="AG737">
        <v>50</v>
      </c>
      <c r="AH737">
        <v>21</v>
      </c>
      <c r="AI737">
        <v>22</v>
      </c>
      <c r="AJ737">
        <v>1</v>
      </c>
      <c r="AK737">
        <v>28</v>
      </c>
      <c r="AL737" t="s">
        <v>208</v>
      </c>
      <c r="AM737" t="s">
        <v>209</v>
      </c>
      <c r="AN737" t="s">
        <v>210</v>
      </c>
      <c r="AO737" t="s">
        <v>7448</v>
      </c>
      <c r="AP737" t="s">
        <v>7449</v>
      </c>
      <c r="AQ737" t="s">
        <v>74</v>
      </c>
      <c r="AR737" t="s">
        <v>7450</v>
      </c>
      <c r="AS737" t="s">
        <v>7451</v>
      </c>
      <c r="AT737" t="s">
        <v>13267</v>
      </c>
      <c r="AU737">
        <v>2015</v>
      </c>
      <c r="AV737">
        <v>34</v>
      </c>
      <c r="AW737">
        <v>7</v>
      </c>
      <c r="AX737" t="s">
        <v>74</v>
      </c>
      <c r="AY737" t="s">
        <v>74</v>
      </c>
      <c r="AZ737" t="s">
        <v>74</v>
      </c>
      <c r="BA737" t="s">
        <v>74</v>
      </c>
      <c r="BB737">
        <v>1578</v>
      </c>
      <c r="BC737">
        <v>1587</v>
      </c>
      <c r="BD737" t="s">
        <v>74</v>
      </c>
      <c r="BE737" t="s">
        <v>14147</v>
      </c>
      <c r="BF737" t="str">
        <f>HYPERLINK("http://dx.doi.org/10.1002/etc.2949","http://dx.doi.org/10.1002/etc.2949")</f>
        <v>http://dx.doi.org/10.1002/etc.2949</v>
      </c>
      <c r="BG737" t="s">
        <v>74</v>
      </c>
      <c r="BH737" t="s">
        <v>74</v>
      </c>
      <c r="BI737">
        <v>10</v>
      </c>
      <c r="BJ737" t="s">
        <v>7453</v>
      </c>
      <c r="BK737" t="s">
        <v>101</v>
      </c>
      <c r="BL737" t="s">
        <v>7454</v>
      </c>
      <c r="BM737" t="s">
        <v>14148</v>
      </c>
      <c r="BN737">
        <v>25703718</v>
      </c>
      <c r="BO737" t="s">
        <v>74</v>
      </c>
      <c r="BP737" t="s">
        <v>74</v>
      </c>
      <c r="BQ737" t="s">
        <v>74</v>
      </c>
      <c r="BR737" t="s">
        <v>103</v>
      </c>
      <c r="BS737" t="s">
        <v>14149</v>
      </c>
      <c r="BT737" t="str">
        <f>HYPERLINK("https%3A%2F%2Fwww.webofscience.com%2Fwos%2Fwoscc%2Ffull-record%2FWOS:000357013700020","View Full Record in Web of Science")</f>
        <v>View Full Record in Web of Science</v>
      </c>
    </row>
    <row r="738" spans="1:72" x14ac:dyDescent="0.15">
      <c r="A738" t="s">
        <v>72</v>
      </c>
      <c r="B738" t="s">
        <v>14150</v>
      </c>
      <c r="C738" t="s">
        <v>74</v>
      </c>
      <c r="D738" t="s">
        <v>74</v>
      </c>
      <c r="E738" t="s">
        <v>74</v>
      </c>
      <c r="F738" t="s">
        <v>14151</v>
      </c>
      <c r="G738" t="s">
        <v>74</v>
      </c>
      <c r="H738" t="s">
        <v>74</v>
      </c>
      <c r="I738" t="s">
        <v>14152</v>
      </c>
      <c r="J738" t="s">
        <v>14153</v>
      </c>
      <c r="K738" t="s">
        <v>74</v>
      </c>
      <c r="L738" t="s">
        <v>74</v>
      </c>
      <c r="M738" t="s">
        <v>78</v>
      </c>
      <c r="N738" t="s">
        <v>79</v>
      </c>
      <c r="O738" t="s">
        <v>74</v>
      </c>
      <c r="P738" t="s">
        <v>74</v>
      </c>
      <c r="Q738" t="s">
        <v>74</v>
      </c>
      <c r="R738" t="s">
        <v>74</v>
      </c>
      <c r="S738" t="s">
        <v>74</v>
      </c>
      <c r="T738" t="s">
        <v>14154</v>
      </c>
      <c r="U738" t="s">
        <v>14155</v>
      </c>
      <c r="V738" t="s">
        <v>14156</v>
      </c>
      <c r="W738" t="s">
        <v>14157</v>
      </c>
      <c r="X738" t="s">
        <v>14158</v>
      </c>
      <c r="Y738" t="s">
        <v>14159</v>
      </c>
      <c r="Z738" t="s">
        <v>14160</v>
      </c>
      <c r="AA738" t="s">
        <v>14161</v>
      </c>
      <c r="AB738" t="s">
        <v>14162</v>
      </c>
      <c r="AC738" t="s">
        <v>14163</v>
      </c>
      <c r="AD738" t="s">
        <v>14164</v>
      </c>
      <c r="AE738" t="s">
        <v>14165</v>
      </c>
      <c r="AF738" t="s">
        <v>74</v>
      </c>
      <c r="AG738">
        <v>107</v>
      </c>
      <c r="AH738">
        <v>6</v>
      </c>
      <c r="AI738">
        <v>7</v>
      </c>
      <c r="AJ738">
        <v>0</v>
      </c>
      <c r="AK738">
        <v>3</v>
      </c>
      <c r="AL738" t="s">
        <v>14166</v>
      </c>
      <c r="AM738" t="s">
        <v>14167</v>
      </c>
      <c r="AN738" t="s">
        <v>14168</v>
      </c>
      <c r="AO738" t="s">
        <v>14169</v>
      </c>
      <c r="AP738" t="s">
        <v>14170</v>
      </c>
      <c r="AQ738" t="s">
        <v>74</v>
      </c>
      <c r="AR738" t="s">
        <v>14171</v>
      </c>
      <c r="AS738" t="s">
        <v>14172</v>
      </c>
      <c r="AT738" t="s">
        <v>13267</v>
      </c>
      <c r="AU738">
        <v>2015</v>
      </c>
      <c r="AV738">
        <v>34</v>
      </c>
      <c r="AW738" t="s">
        <v>74</v>
      </c>
      <c r="AX738">
        <v>2</v>
      </c>
      <c r="AY738" t="s">
        <v>74</v>
      </c>
      <c r="AZ738" t="s">
        <v>74</v>
      </c>
      <c r="BA738" t="s">
        <v>74</v>
      </c>
      <c r="BB738">
        <v>181</v>
      </c>
      <c r="BC738">
        <v>209</v>
      </c>
      <c r="BD738" t="s">
        <v>74</v>
      </c>
      <c r="BE738" t="s">
        <v>14173</v>
      </c>
      <c r="BF738" t="str">
        <f>HYPERLINK("http://dx.doi.org/10.1144/jmpaleo2013-034","http://dx.doi.org/10.1144/jmpaleo2013-034")</f>
        <v>http://dx.doi.org/10.1144/jmpaleo2013-034</v>
      </c>
      <c r="BG738" t="s">
        <v>74</v>
      </c>
      <c r="BH738" t="s">
        <v>74</v>
      </c>
      <c r="BI738">
        <v>29</v>
      </c>
      <c r="BJ738" t="s">
        <v>2149</v>
      </c>
      <c r="BK738" t="s">
        <v>101</v>
      </c>
      <c r="BL738" t="s">
        <v>2149</v>
      </c>
      <c r="BM738" t="s">
        <v>14174</v>
      </c>
      <c r="BN738" t="s">
        <v>74</v>
      </c>
      <c r="BO738" t="s">
        <v>1235</v>
      </c>
      <c r="BP738" t="s">
        <v>74</v>
      </c>
      <c r="BQ738" t="s">
        <v>74</v>
      </c>
      <c r="BR738" t="s">
        <v>103</v>
      </c>
      <c r="BS738" t="s">
        <v>14175</v>
      </c>
      <c r="BT738" t="str">
        <f>HYPERLINK("https%3A%2F%2Fwww.webofscience.com%2Fwos%2Fwoscc%2Ffull-record%2FWOS:000357431200005","View Full Record in Web of Science")</f>
        <v>View Full Record in Web of Science</v>
      </c>
    </row>
    <row r="739" spans="1:72" x14ac:dyDescent="0.15">
      <c r="A739" t="s">
        <v>72</v>
      </c>
      <c r="B739" t="s">
        <v>14176</v>
      </c>
      <c r="C739" t="s">
        <v>74</v>
      </c>
      <c r="D739" t="s">
        <v>74</v>
      </c>
      <c r="E739" t="s">
        <v>74</v>
      </c>
      <c r="F739" t="s">
        <v>14177</v>
      </c>
      <c r="G739" t="s">
        <v>74</v>
      </c>
      <c r="H739" t="s">
        <v>74</v>
      </c>
      <c r="I739" t="s">
        <v>14178</v>
      </c>
      <c r="J739" t="s">
        <v>14179</v>
      </c>
      <c r="K739" t="s">
        <v>74</v>
      </c>
      <c r="L739" t="s">
        <v>74</v>
      </c>
      <c r="M739" t="s">
        <v>78</v>
      </c>
      <c r="N739" t="s">
        <v>79</v>
      </c>
      <c r="O739" t="s">
        <v>74</v>
      </c>
      <c r="P739" t="s">
        <v>74</v>
      </c>
      <c r="Q739" t="s">
        <v>74</v>
      </c>
      <c r="R739" t="s">
        <v>74</v>
      </c>
      <c r="S739" t="s">
        <v>74</v>
      </c>
      <c r="T739" t="s">
        <v>14180</v>
      </c>
      <c r="U739" t="s">
        <v>14181</v>
      </c>
      <c r="V739" t="s">
        <v>14182</v>
      </c>
      <c r="W739" t="s">
        <v>14183</v>
      </c>
      <c r="X739" t="s">
        <v>14184</v>
      </c>
      <c r="Y739" t="s">
        <v>14185</v>
      </c>
      <c r="Z739" t="s">
        <v>14186</v>
      </c>
      <c r="AA739" t="s">
        <v>14187</v>
      </c>
      <c r="AB739" t="s">
        <v>74</v>
      </c>
      <c r="AC739" t="s">
        <v>74</v>
      </c>
      <c r="AD739" t="s">
        <v>74</v>
      </c>
      <c r="AE739" t="s">
        <v>74</v>
      </c>
      <c r="AF739" t="s">
        <v>74</v>
      </c>
      <c r="AG739">
        <v>28</v>
      </c>
      <c r="AH739">
        <v>8</v>
      </c>
      <c r="AI739">
        <v>10</v>
      </c>
      <c r="AJ739">
        <v>1</v>
      </c>
      <c r="AK739">
        <v>26</v>
      </c>
      <c r="AL739" t="s">
        <v>14188</v>
      </c>
      <c r="AM739" t="s">
        <v>2164</v>
      </c>
      <c r="AN739" t="s">
        <v>14189</v>
      </c>
      <c r="AO739" t="s">
        <v>14190</v>
      </c>
      <c r="AP739" t="s">
        <v>14191</v>
      </c>
      <c r="AQ739" t="s">
        <v>74</v>
      </c>
      <c r="AR739" t="s">
        <v>14192</v>
      </c>
      <c r="AS739" t="s">
        <v>14193</v>
      </c>
      <c r="AT739" t="s">
        <v>13267</v>
      </c>
      <c r="AU739">
        <v>2015</v>
      </c>
      <c r="AV739">
        <v>24</v>
      </c>
      <c r="AW739">
        <v>3</v>
      </c>
      <c r="AX739" t="s">
        <v>74</v>
      </c>
      <c r="AY739" t="s">
        <v>74</v>
      </c>
      <c r="AZ739" t="s">
        <v>74</v>
      </c>
      <c r="BA739" t="s">
        <v>74</v>
      </c>
      <c r="BB739">
        <v>276</v>
      </c>
      <c r="BC739">
        <v>282</v>
      </c>
      <c r="BD739" t="s">
        <v>74</v>
      </c>
      <c r="BE739" t="s">
        <v>14194</v>
      </c>
      <c r="BF739" t="str">
        <f>HYPERLINK("http://dx.doi.org/10.1007/s13562-014-0268-4","http://dx.doi.org/10.1007/s13562-014-0268-4")</f>
        <v>http://dx.doi.org/10.1007/s13562-014-0268-4</v>
      </c>
      <c r="BG739" t="s">
        <v>74</v>
      </c>
      <c r="BH739" t="s">
        <v>74</v>
      </c>
      <c r="BI739">
        <v>7</v>
      </c>
      <c r="BJ739" t="s">
        <v>10369</v>
      </c>
      <c r="BK739" t="s">
        <v>101</v>
      </c>
      <c r="BL739" t="s">
        <v>10369</v>
      </c>
      <c r="BM739" t="s">
        <v>14195</v>
      </c>
      <c r="BN739" t="s">
        <v>74</v>
      </c>
      <c r="BO739" t="s">
        <v>74</v>
      </c>
      <c r="BP739" t="s">
        <v>74</v>
      </c>
      <c r="BQ739" t="s">
        <v>74</v>
      </c>
      <c r="BR739" t="s">
        <v>103</v>
      </c>
      <c r="BS739" t="s">
        <v>14196</v>
      </c>
      <c r="BT739" t="str">
        <f>HYPERLINK("https%3A%2F%2Fwww.webofscience.com%2Fwos%2Fwoscc%2Ffull-record%2FWOS:000357108700004","View Full Record in Web of Science")</f>
        <v>View Full Record in Web of Science</v>
      </c>
    </row>
    <row r="740" spans="1:72" x14ac:dyDescent="0.15">
      <c r="A740" t="s">
        <v>72</v>
      </c>
      <c r="B740" t="s">
        <v>14197</v>
      </c>
      <c r="C740" t="s">
        <v>74</v>
      </c>
      <c r="D740" t="s">
        <v>74</v>
      </c>
      <c r="E740" t="s">
        <v>74</v>
      </c>
      <c r="F740" t="s">
        <v>14198</v>
      </c>
      <c r="G740" t="s">
        <v>74</v>
      </c>
      <c r="H740" t="s">
        <v>74</v>
      </c>
      <c r="I740" t="s">
        <v>14199</v>
      </c>
      <c r="J740" t="s">
        <v>1287</v>
      </c>
      <c r="K740" t="s">
        <v>74</v>
      </c>
      <c r="L740" t="s">
        <v>74</v>
      </c>
      <c r="M740" t="s">
        <v>78</v>
      </c>
      <c r="N740" t="s">
        <v>79</v>
      </c>
      <c r="O740" t="s">
        <v>74</v>
      </c>
      <c r="P740" t="s">
        <v>74</v>
      </c>
      <c r="Q740" t="s">
        <v>74</v>
      </c>
      <c r="R740" t="s">
        <v>74</v>
      </c>
      <c r="S740" t="s">
        <v>74</v>
      </c>
      <c r="T740" t="s">
        <v>74</v>
      </c>
      <c r="U740" t="s">
        <v>14200</v>
      </c>
      <c r="V740" t="s">
        <v>14201</v>
      </c>
      <c r="W740" t="s">
        <v>14202</v>
      </c>
      <c r="X740" t="s">
        <v>14203</v>
      </c>
      <c r="Y740" t="s">
        <v>14204</v>
      </c>
      <c r="Z740" t="s">
        <v>14205</v>
      </c>
      <c r="AA740" t="s">
        <v>14206</v>
      </c>
      <c r="AB740" t="s">
        <v>14207</v>
      </c>
      <c r="AC740" t="s">
        <v>14208</v>
      </c>
      <c r="AD740" t="s">
        <v>14209</v>
      </c>
      <c r="AE740" t="s">
        <v>14210</v>
      </c>
      <c r="AF740" t="s">
        <v>74</v>
      </c>
      <c r="AG740">
        <v>59</v>
      </c>
      <c r="AH740">
        <v>34</v>
      </c>
      <c r="AI740">
        <v>38</v>
      </c>
      <c r="AJ740">
        <v>1</v>
      </c>
      <c r="AK740">
        <v>27</v>
      </c>
      <c r="AL740" t="s">
        <v>523</v>
      </c>
      <c r="AM740" t="s">
        <v>524</v>
      </c>
      <c r="AN740" t="s">
        <v>525</v>
      </c>
      <c r="AO740" t="s">
        <v>1299</v>
      </c>
      <c r="AP740" t="s">
        <v>74</v>
      </c>
      <c r="AQ740" t="s">
        <v>74</v>
      </c>
      <c r="AR740" t="s">
        <v>1300</v>
      </c>
      <c r="AS740" t="s">
        <v>1301</v>
      </c>
      <c r="AT740" t="s">
        <v>13421</v>
      </c>
      <c r="AU740">
        <v>2015</v>
      </c>
      <c r="AV740">
        <v>5</v>
      </c>
      <c r="AW740" t="s">
        <v>74</v>
      </c>
      <c r="AX740" t="s">
        <v>74</v>
      </c>
      <c r="AY740" t="s">
        <v>74</v>
      </c>
      <c r="AZ740" t="s">
        <v>74</v>
      </c>
      <c r="BA740" t="s">
        <v>74</v>
      </c>
      <c r="BB740" t="s">
        <v>74</v>
      </c>
      <c r="BC740" t="s">
        <v>74</v>
      </c>
      <c r="BD740">
        <v>11670</v>
      </c>
      <c r="BE740" t="s">
        <v>14211</v>
      </c>
      <c r="BF740" t="str">
        <f>HYPERLINK("http://dx.doi.org/10.1038/srep11670","http://dx.doi.org/10.1038/srep11670")</f>
        <v>http://dx.doi.org/10.1038/srep11670</v>
      </c>
      <c r="BG740" t="s">
        <v>74</v>
      </c>
      <c r="BH740" t="s">
        <v>74</v>
      </c>
      <c r="BI740">
        <v>10</v>
      </c>
      <c r="BJ740" t="s">
        <v>530</v>
      </c>
      <c r="BK740" t="s">
        <v>101</v>
      </c>
      <c r="BL740" t="s">
        <v>531</v>
      </c>
      <c r="BM740" t="s">
        <v>14212</v>
      </c>
      <c r="BN740">
        <v>26126739</v>
      </c>
      <c r="BO740" t="s">
        <v>14213</v>
      </c>
      <c r="BP740" t="s">
        <v>74</v>
      </c>
      <c r="BQ740" t="s">
        <v>74</v>
      </c>
      <c r="BR740" t="s">
        <v>103</v>
      </c>
      <c r="BS740" t="s">
        <v>14214</v>
      </c>
      <c r="BT740" t="str">
        <f>HYPERLINK("https%3A%2F%2Fwww.webofscience.com%2Fwos%2Fwoscc%2Ffull-record%2FWOS:000357167000002","View Full Record in Web of Science")</f>
        <v>View Full Record in Web of Science</v>
      </c>
    </row>
    <row r="741" spans="1:72" x14ac:dyDescent="0.15">
      <c r="A741" t="s">
        <v>72</v>
      </c>
      <c r="B741" t="s">
        <v>14215</v>
      </c>
      <c r="C741" t="s">
        <v>74</v>
      </c>
      <c r="D741" t="s">
        <v>74</v>
      </c>
      <c r="E741" t="s">
        <v>74</v>
      </c>
      <c r="F741" t="s">
        <v>14216</v>
      </c>
      <c r="G741" t="s">
        <v>74</v>
      </c>
      <c r="H741" t="s">
        <v>74</v>
      </c>
      <c r="I741" t="s">
        <v>14217</v>
      </c>
      <c r="J741" t="s">
        <v>14218</v>
      </c>
      <c r="K741" t="s">
        <v>74</v>
      </c>
      <c r="L741" t="s">
        <v>74</v>
      </c>
      <c r="M741" t="s">
        <v>78</v>
      </c>
      <c r="N741" t="s">
        <v>79</v>
      </c>
      <c r="O741" t="s">
        <v>74</v>
      </c>
      <c r="P741" t="s">
        <v>74</v>
      </c>
      <c r="Q741" t="s">
        <v>74</v>
      </c>
      <c r="R741" t="s">
        <v>74</v>
      </c>
      <c r="S741" t="s">
        <v>74</v>
      </c>
      <c r="T741" t="s">
        <v>14219</v>
      </c>
      <c r="U741" t="s">
        <v>14220</v>
      </c>
      <c r="V741" t="s">
        <v>14221</v>
      </c>
      <c r="W741" t="s">
        <v>14222</v>
      </c>
      <c r="X741" t="s">
        <v>14223</v>
      </c>
      <c r="Y741" t="s">
        <v>14224</v>
      </c>
      <c r="Z741" t="s">
        <v>14225</v>
      </c>
      <c r="AA741" t="s">
        <v>74</v>
      </c>
      <c r="AB741" t="s">
        <v>74</v>
      </c>
      <c r="AC741" t="s">
        <v>14226</v>
      </c>
      <c r="AD741" t="s">
        <v>14227</v>
      </c>
      <c r="AE741" t="s">
        <v>14228</v>
      </c>
      <c r="AF741" t="s">
        <v>74</v>
      </c>
      <c r="AG741">
        <v>22</v>
      </c>
      <c r="AH741">
        <v>4</v>
      </c>
      <c r="AI741">
        <v>4</v>
      </c>
      <c r="AJ741">
        <v>0</v>
      </c>
      <c r="AK741">
        <v>4</v>
      </c>
      <c r="AL741" t="s">
        <v>92</v>
      </c>
      <c r="AM741" t="s">
        <v>550</v>
      </c>
      <c r="AN741" t="s">
        <v>1398</v>
      </c>
      <c r="AO741" t="s">
        <v>14229</v>
      </c>
      <c r="AP741" t="s">
        <v>14230</v>
      </c>
      <c r="AQ741" t="s">
        <v>74</v>
      </c>
      <c r="AR741" t="s">
        <v>14231</v>
      </c>
      <c r="AS741" t="s">
        <v>14232</v>
      </c>
      <c r="AT741" t="s">
        <v>13267</v>
      </c>
      <c r="AU741">
        <v>2015</v>
      </c>
      <c r="AV741">
        <v>74</v>
      </c>
      <c r="AW741">
        <v>1</v>
      </c>
      <c r="AX741" t="s">
        <v>74</v>
      </c>
      <c r="AY741" t="s">
        <v>74</v>
      </c>
      <c r="AZ741" t="s">
        <v>74</v>
      </c>
      <c r="BA741" t="s">
        <v>74</v>
      </c>
      <c r="BB741">
        <v>439</v>
      </c>
      <c r="BC741">
        <v>449</v>
      </c>
      <c r="BD741" t="s">
        <v>74</v>
      </c>
      <c r="BE741" t="s">
        <v>14233</v>
      </c>
      <c r="BF741" t="str">
        <f>HYPERLINK("http://dx.doi.org/10.1007/s12665-015-4052-0","http://dx.doi.org/10.1007/s12665-015-4052-0")</f>
        <v>http://dx.doi.org/10.1007/s12665-015-4052-0</v>
      </c>
      <c r="BG741" t="s">
        <v>74</v>
      </c>
      <c r="BH741" t="s">
        <v>74</v>
      </c>
      <c r="BI741">
        <v>11</v>
      </c>
      <c r="BJ741" t="s">
        <v>14234</v>
      </c>
      <c r="BK741" t="s">
        <v>101</v>
      </c>
      <c r="BL741" t="s">
        <v>14235</v>
      </c>
      <c r="BM741" t="s">
        <v>14236</v>
      </c>
      <c r="BN741" t="s">
        <v>74</v>
      </c>
      <c r="BO741" t="s">
        <v>1213</v>
      </c>
      <c r="BP741" t="s">
        <v>74</v>
      </c>
      <c r="BQ741" t="s">
        <v>74</v>
      </c>
      <c r="BR741" t="s">
        <v>103</v>
      </c>
      <c r="BS741" t="s">
        <v>14237</v>
      </c>
      <c r="BT741" t="str">
        <f>HYPERLINK("https%3A%2F%2Fwww.webofscience.com%2Fwos%2Fwoscc%2Ffull-record%2FWOS:000356347800033","View Full Record in Web of Science")</f>
        <v>View Full Record in Web of Science</v>
      </c>
    </row>
    <row r="742" spans="1:72" x14ac:dyDescent="0.15">
      <c r="A742" t="s">
        <v>72</v>
      </c>
      <c r="B742" t="s">
        <v>14238</v>
      </c>
      <c r="C742" t="s">
        <v>74</v>
      </c>
      <c r="D742" t="s">
        <v>74</v>
      </c>
      <c r="E742" t="s">
        <v>74</v>
      </c>
      <c r="F742" t="s">
        <v>14239</v>
      </c>
      <c r="G742" t="s">
        <v>74</v>
      </c>
      <c r="H742" t="s">
        <v>74</v>
      </c>
      <c r="I742" t="s">
        <v>14240</v>
      </c>
      <c r="J742" t="s">
        <v>435</v>
      </c>
      <c r="K742" t="s">
        <v>74</v>
      </c>
      <c r="L742" t="s">
        <v>74</v>
      </c>
      <c r="M742" t="s">
        <v>78</v>
      </c>
      <c r="N742" t="s">
        <v>79</v>
      </c>
      <c r="O742" t="s">
        <v>74</v>
      </c>
      <c r="P742" t="s">
        <v>74</v>
      </c>
      <c r="Q742" t="s">
        <v>74</v>
      </c>
      <c r="R742" t="s">
        <v>74</v>
      </c>
      <c r="S742" t="s">
        <v>74</v>
      </c>
      <c r="T742" t="s">
        <v>74</v>
      </c>
      <c r="U742" t="s">
        <v>14241</v>
      </c>
      <c r="V742" t="s">
        <v>14242</v>
      </c>
      <c r="W742" t="s">
        <v>14243</v>
      </c>
      <c r="X742" t="s">
        <v>14244</v>
      </c>
      <c r="Y742" t="s">
        <v>14245</v>
      </c>
      <c r="Z742" t="s">
        <v>14246</v>
      </c>
      <c r="AA742" t="s">
        <v>14247</v>
      </c>
      <c r="AB742" t="s">
        <v>14248</v>
      </c>
      <c r="AC742" t="s">
        <v>14249</v>
      </c>
      <c r="AD742" t="s">
        <v>14249</v>
      </c>
      <c r="AE742" t="s">
        <v>14250</v>
      </c>
      <c r="AF742" t="s">
        <v>74</v>
      </c>
      <c r="AG742">
        <v>84</v>
      </c>
      <c r="AH742">
        <v>12</v>
      </c>
      <c r="AI742">
        <v>12</v>
      </c>
      <c r="AJ742">
        <v>0</v>
      </c>
      <c r="AK742">
        <v>7</v>
      </c>
      <c r="AL742" t="s">
        <v>446</v>
      </c>
      <c r="AM742" t="s">
        <v>447</v>
      </c>
      <c r="AN742" t="s">
        <v>448</v>
      </c>
      <c r="AO742" t="s">
        <v>449</v>
      </c>
      <c r="AP742" t="s">
        <v>450</v>
      </c>
      <c r="AQ742" t="s">
        <v>74</v>
      </c>
      <c r="AR742" t="s">
        <v>451</v>
      </c>
      <c r="AS742" t="s">
        <v>452</v>
      </c>
      <c r="AT742" t="s">
        <v>13267</v>
      </c>
      <c r="AU742">
        <v>2015</v>
      </c>
      <c r="AV742">
        <v>172</v>
      </c>
      <c r="AW742">
        <v>4</v>
      </c>
      <c r="AX742" t="s">
        <v>74</v>
      </c>
      <c r="AY742" t="s">
        <v>74</v>
      </c>
      <c r="AZ742" t="s">
        <v>74</v>
      </c>
      <c r="BA742" t="s">
        <v>74</v>
      </c>
      <c r="BB742">
        <v>499</v>
      </c>
      <c r="BC742">
        <v>518</v>
      </c>
      <c r="BD742" t="s">
        <v>74</v>
      </c>
      <c r="BE742" t="s">
        <v>14251</v>
      </c>
      <c r="BF742" t="str">
        <f>HYPERLINK("http://dx.doi.org/10.1144/jgs2014-090","http://dx.doi.org/10.1144/jgs2014-090")</f>
        <v>http://dx.doi.org/10.1144/jgs2014-090</v>
      </c>
      <c r="BG742" t="s">
        <v>74</v>
      </c>
      <c r="BH742" t="s">
        <v>74</v>
      </c>
      <c r="BI742">
        <v>20</v>
      </c>
      <c r="BJ742" t="s">
        <v>314</v>
      </c>
      <c r="BK742" t="s">
        <v>101</v>
      </c>
      <c r="BL742" t="s">
        <v>315</v>
      </c>
      <c r="BM742" t="s">
        <v>14252</v>
      </c>
      <c r="BN742" t="s">
        <v>74</v>
      </c>
      <c r="BO742" t="s">
        <v>74</v>
      </c>
      <c r="BP742" t="s">
        <v>74</v>
      </c>
      <c r="BQ742" t="s">
        <v>74</v>
      </c>
      <c r="BR742" t="s">
        <v>103</v>
      </c>
      <c r="BS742" t="s">
        <v>14253</v>
      </c>
      <c r="BT742" t="str">
        <f>HYPERLINK("https%3A%2F%2Fwww.webofscience.com%2Fwos%2Fwoscc%2Ffull-record%2FWOS:000356630500008","View Full Record in Web of Science")</f>
        <v>View Full Record in Web of Science</v>
      </c>
    </row>
    <row r="743" spans="1:72" x14ac:dyDescent="0.15">
      <c r="A743" t="s">
        <v>72</v>
      </c>
      <c r="B743" t="s">
        <v>14254</v>
      </c>
      <c r="C743" t="s">
        <v>74</v>
      </c>
      <c r="D743" t="s">
        <v>74</v>
      </c>
      <c r="E743" t="s">
        <v>74</v>
      </c>
      <c r="F743" t="s">
        <v>14255</v>
      </c>
      <c r="G743" t="s">
        <v>74</v>
      </c>
      <c r="H743" t="s">
        <v>74</v>
      </c>
      <c r="I743" t="s">
        <v>14256</v>
      </c>
      <c r="J743" t="s">
        <v>484</v>
      </c>
      <c r="K743" t="s">
        <v>74</v>
      </c>
      <c r="L743" t="s">
        <v>74</v>
      </c>
      <c r="M743" t="s">
        <v>78</v>
      </c>
      <c r="N743" t="s">
        <v>79</v>
      </c>
      <c r="O743" t="s">
        <v>74</v>
      </c>
      <c r="P743" t="s">
        <v>74</v>
      </c>
      <c r="Q743" t="s">
        <v>74</v>
      </c>
      <c r="R743" t="s">
        <v>74</v>
      </c>
      <c r="S743" t="s">
        <v>74</v>
      </c>
      <c r="T743" t="s">
        <v>14257</v>
      </c>
      <c r="U743" t="s">
        <v>14258</v>
      </c>
      <c r="V743" t="s">
        <v>14259</v>
      </c>
      <c r="W743" t="s">
        <v>14260</v>
      </c>
      <c r="X743" t="s">
        <v>14261</v>
      </c>
      <c r="Y743" t="s">
        <v>14262</v>
      </c>
      <c r="Z743" t="s">
        <v>14263</v>
      </c>
      <c r="AA743" t="s">
        <v>14264</v>
      </c>
      <c r="AB743" t="s">
        <v>14265</v>
      </c>
      <c r="AC743" t="s">
        <v>74</v>
      </c>
      <c r="AD743" t="s">
        <v>74</v>
      </c>
      <c r="AE743" t="s">
        <v>74</v>
      </c>
      <c r="AF743" t="s">
        <v>74</v>
      </c>
      <c r="AG743">
        <v>79</v>
      </c>
      <c r="AH743">
        <v>34</v>
      </c>
      <c r="AI743">
        <v>39</v>
      </c>
      <c r="AJ743">
        <v>3</v>
      </c>
      <c r="AK743">
        <v>38</v>
      </c>
      <c r="AL743" t="s">
        <v>496</v>
      </c>
      <c r="AM743" t="s">
        <v>398</v>
      </c>
      <c r="AN743" t="s">
        <v>497</v>
      </c>
      <c r="AO743" t="s">
        <v>498</v>
      </c>
      <c r="AP743" t="s">
        <v>499</v>
      </c>
      <c r="AQ743" t="s">
        <v>74</v>
      </c>
      <c r="AR743" t="s">
        <v>500</v>
      </c>
      <c r="AS743" t="s">
        <v>501</v>
      </c>
      <c r="AT743" t="s">
        <v>13267</v>
      </c>
      <c r="AU743">
        <v>2015</v>
      </c>
      <c r="AV743">
        <v>57</v>
      </c>
      <c r="AW743" t="s">
        <v>74</v>
      </c>
      <c r="AX743" t="s">
        <v>74</v>
      </c>
      <c r="AY743" t="s">
        <v>74</v>
      </c>
      <c r="AZ743" t="s">
        <v>74</v>
      </c>
      <c r="BA743" t="s">
        <v>74</v>
      </c>
      <c r="BB743">
        <v>1</v>
      </c>
      <c r="BC743">
        <v>8</v>
      </c>
      <c r="BD743" t="s">
        <v>74</v>
      </c>
      <c r="BE743" t="s">
        <v>14266</v>
      </c>
      <c r="BF743" t="str">
        <f>HYPERLINK("http://dx.doi.org/10.1016/j.marpol.2015.02.014","http://dx.doi.org/10.1016/j.marpol.2015.02.014")</f>
        <v>http://dx.doi.org/10.1016/j.marpol.2015.02.014</v>
      </c>
      <c r="BG743" t="s">
        <v>74</v>
      </c>
      <c r="BH743" t="s">
        <v>74</v>
      </c>
      <c r="BI743">
        <v>8</v>
      </c>
      <c r="BJ743" t="s">
        <v>503</v>
      </c>
      <c r="BK743" t="s">
        <v>504</v>
      </c>
      <c r="BL743" t="s">
        <v>505</v>
      </c>
      <c r="BM743" t="s">
        <v>14267</v>
      </c>
      <c r="BN743" t="s">
        <v>74</v>
      </c>
      <c r="BO743" t="s">
        <v>74</v>
      </c>
      <c r="BP743" t="s">
        <v>74</v>
      </c>
      <c r="BQ743" t="s">
        <v>74</v>
      </c>
      <c r="BR743" t="s">
        <v>103</v>
      </c>
      <c r="BS743" t="s">
        <v>14268</v>
      </c>
      <c r="BT743" t="str">
        <f>HYPERLINK("https%3A%2F%2Fwww.webofscience.com%2Fwos%2Fwoscc%2Ffull-record%2FWOS:000356740100001","View Full Record in Web of Science")</f>
        <v>View Full Record in Web of Science</v>
      </c>
    </row>
    <row r="744" spans="1:72" x14ac:dyDescent="0.15">
      <c r="A744" t="s">
        <v>72</v>
      </c>
      <c r="B744" t="s">
        <v>14269</v>
      </c>
      <c r="C744" t="s">
        <v>74</v>
      </c>
      <c r="D744" t="s">
        <v>74</v>
      </c>
      <c r="E744" t="s">
        <v>74</v>
      </c>
      <c r="F744" t="s">
        <v>14270</v>
      </c>
      <c r="G744" t="s">
        <v>74</v>
      </c>
      <c r="H744" t="s">
        <v>74</v>
      </c>
      <c r="I744" t="s">
        <v>14271</v>
      </c>
      <c r="J744" t="s">
        <v>1761</v>
      </c>
      <c r="K744" t="s">
        <v>74</v>
      </c>
      <c r="L744" t="s">
        <v>74</v>
      </c>
      <c r="M744" t="s">
        <v>78</v>
      </c>
      <c r="N744" t="s">
        <v>79</v>
      </c>
      <c r="O744" t="s">
        <v>74</v>
      </c>
      <c r="P744" t="s">
        <v>74</v>
      </c>
      <c r="Q744" t="s">
        <v>74</v>
      </c>
      <c r="R744" t="s">
        <v>74</v>
      </c>
      <c r="S744" t="s">
        <v>74</v>
      </c>
      <c r="T744" t="s">
        <v>14272</v>
      </c>
      <c r="U744" t="s">
        <v>14273</v>
      </c>
      <c r="V744" t="s">
        <v>14274</v>
      </c>
      <c r="W744" t="s">
        <v>14275</v>
      </c>
      <c r="X744" t="s">
        <v>14276</v>
      </c>
      <c r="Y744" t="s">
        <v>14277</v>
      </c>
      <c r="Z744" t="s">
        <v>14278</v>
      </c>
      <c r="AA744" t="s">
        <v>74</v>
      </c>
      <c r="AB744" t="s">
        <v>74</v>
      </c>
      <c r="AC744" t="s">
        <v>74</v>
      </c>
      <c r="AD744" t="s">
        <v>74</v>
      </c>
      <c r="AE744" t="s">
        <v>74</v>
      </c>
      <c r="AF744" t="s">
        <v>74</v>
      </c>
      <c r="AG744">
        <v>93</v>
      </c>
      <c r="AH744">
        <v>9</v>
      </c>
      <c r="AI744">
        <v>10</v>
      </c>
      <c r="AJ744">
        <v>0</v>
      </c>
      <c r="AK744">
        <v>32</v>
      </c>
      <c r="AL744" t="s">
        <v>397</v>
      </c>
      <c r="AM744" t="s">
        <v>398</v>
      </c>
      <c r="AN744" t="s">
        <v>399</v>
      </c>
      <c r="AO744" t="s">
        <v>1774</v>
      </c>
      <c r="AP744" t="s">
        <v>74</v>
      </c>
      <c r="AQ744" t="s">
        <v>74</v>
      </c>
      <c r="AR744" t="s">
        <v>1775</v>
      </c>
      <c r="AS744" t="s">
        <v>1776</v>
      </c>
      <c r="AT744" t="s">
        <v>13421</v>
      </c>
      <c r="AU744">
        <v>2015</v>
      </c>
      <c r="AV744">
        <v>119</v>
      </c>
      <c r="AW744" t="s">
        <v>74</v>
      </c>
      <c r="AX744" t="s">
        <v>74</v>
      </c>
      <c r="AY744" t="s">
        <v>74</v>
      </c>
      <c r="AZ744" t="s">
        <v>74</v>
      </c>
      <c r="BA744" t="s">
        <v>74</v>
      </c>
      <c r="BB744">
        <v>136</v>
      </c>
      <c r="BC744">
        <v>156</v>
      </c>
      <c r="BD744" t="s">
        <v>74</v>
      </c>
      <c r="BE744" t="s">
        <v>14279</v>
      </c>
      <c r="BF744" t="str">
        <f>HYPERLINK("http://dx.doi.org/10.1016/j.quascirev.2015.03.015","http://dx.doi.org/10.1016/j.quascirev.2015.03.015")</f>
        <v>http://dx.doi.org/10.1016/j.quascirev.2015.03.015</v>
      </c>
      <c r="BG744" t="s">
        <v>74</v>
      </c>
      <c r="BH744" t="s">
        <v>74</v>
      </c>
      <c r="BI744">
        <v>21</v>
      </c>
      <c r="BJ744" t="s">
        <v>1778</v>
      </c>
      <c r="BK744" t="s">
        <v>101</v>
      </c>
      <c r="BL744" t="s">
        <v>1779</v>
      </c>
      <c r="BM744" t="s">
        <v>14280</v>
      </c>
      <c r="BN744" t="s">
        <v>74</v>
      </c>
      <c r="BO744" t="s">
        <v>74</v>
      </c>
      <c r="BP744" t="s">
        <v>74</v>
      </c>
      <c r="BQ744" t="s">
        <v>74</v>
      </c>
      <c r="BR744" t="s">
        <v>103</v>
      </c>
      <c r="BS744" t="s">
        <v>14281</v>
      </c>
      <c r="BT744" t="str">
        <f>HYPERLINK("https%3A%2F%2Fwww.webofscience.com%2Fwos%2Fwoscc%2Ffull-record%2FWOS:000356557100011","View Full Record in Web of Science")</f>
        <v>View Full Record in Web of Science</v>
      </c>
    </row>
    <row r="745" spans="1:72" x14ac:dyDescent="0.15">
      <c r="A745" t="s">
        <v>72</v>
      </c>
      <c r="B745" t="s">
        <v>14282</v>
      </c>
      <c r="C745" t="s">
        <v>74</v>
      </c>
      <c r="D745" t="s">
        <v>74</v>
      </c>
      <c r="E745" t="s">
        <v>74</v>
      </c>
      <c r="F745" t="s">
        <v>14283</v>
      </c>
      <c r="G745" t="s">
        <v>74</v>
      </c>
      <c r="H745" t="s">
        <v>74</v>
      </c>
      <c r="I745" t="s">
        <v>14284</v>
      </c>
      <c r="J745" t="s">
        <v>10855</v>
      </c>
      <c r="K745" t="s">
        <v>74</v>
      </c>
      <c r="L745" t="s">
        <v>74</v>
      </c>
      <c r="M745" t="s">
        <v>78</v>
      </c>
      <c r="N745" t="s">
        <v>79</v>
      </c>
      <c r="O745" t="s">
        <v>74</v>
      </c>
      <c r="P745" t="s">
        <v>74</v>
      </c>
      <c r="Q745" t="s">
        <v>74</v>
      </c>
      <c r="R745" t="s">
        <v>74</v>
      </c>
      <c r="S745" t="s">
        <v>74</v>
      </c>
      <c r="T745" t="s">
        <v>74</v>
      </c>
      <c r="U745" t="s">
        <v>14285</v>
      </c>
      <c r="V745" t="s">
        <v>14286</v>
      </c>
      <c r="W745" t="s">
        <v>14287</v>
      </c>
      <c r="X745" t="s">
        <v>14288</v>
      </c>
      <c r="Y745" t="s">
        <v>14289</v>
      </c>
      <c r="Z745" t="s">
        <v>14290</v>
      </c>
      <c r="AA745" t="s">
        <v>14291</v>
      </c>
      <c r="AB745" t="s">
        <v>14292</v>
      </c>
      <c r="AC745" t="s">
        <v>74</v>
      </c>
      <c r="AD745" t="s">
        <v>74</v>
      </c>
      <c r="AE745" t="s">
        <v>74</v>
      </c>
      <c r="AF745" t="s">
        <v>74</v>
      </c>
      <c r="AG745">
        <v>23</v>
      </c>
      <c r="AH745">
        <v>12</v>
      </c>
      <c r="AI745">
        <v>12</v>
      </c>
      <c r="AJ745">
        <v>0</v>
      </c>
      <c r="AK745">
        <v>20</v>
      </c>
      <c r="AL745" t="s">
        <v>10867</v>
      </c>
      <c r="AM745" t="s">
        <v>8331</v>
      </c>
      <c r="AN745" t="s">
        <v>10868</v>
      </c>
      <c r="AO745" t="s">
        <v>10869</v>
      </c>
      <c r="AP745" t="s">
        <v>10870</v>
      </c>
      <c r="AQ745" t="s">
        <v>74</v>
      </c>
      <c r="AR745" t="s">
        <v>10871</v>
      </c>
      <c r="AS745" t="s">
        <v>10872</v>
      </c>
      <c r="AT745" t="s">
        <v>13267</v>
      </c>
      <c r="AU745">
        <v>2015</v>
      </c>
      <c r="AV745">
        <v>121</v>
      </c>
      <c r="AW745" t="s">
        <v>1603</v>
      </c>
      <c r="AX745" t="s">
        <v>74</v>
      </c>
      <c r="AY745" t="s">
        <v>74</v>
      </c>
      <c r="AZ745" t="s">
        <v>74</v>
      </c>
      <c r="BA745" t="s">
        <v>74</v>
      </c>
      <c r="BB745">
        <v>1</v>
      </c>
      <c r="BC745">
        <v>11</v>
      </c>
      <c r="BD745" t="s">
        <v>74</v>
      </c>
      <c r="BE745" t="s">
        <v>14293</v>
      </c>
      <c r="BF745" t="str">
        <f>HYPERLINK("http://dx.doi.org/10.1007/s00704-014-1215-y","http://dx.doi.org/10.1007/s00704-014-1215-y")</f>
        <v>http://dx.doi.org/10.1007/s00704-014-1215-y</v>
      </c>
      <c r="BG745" t="s">
        <v>74</v>
      </c>
      <c r="BH745" t="s">
        <v>74</v>
      </c>
      <c r="BI745">
        <v>11</v>
      </c>
      <c r="BJ745" t="s">
        <v>271</v>
      </c>
      <c r="BK745" t="s">
        <v>101</v>
      </c>
      <c r="BL745" t="s">
        <v>271</v>
      </c>
      <c r="BM745" t="s">
        <v>14294</v>
      </c>
      <c r="BN745" t="s">
        <v>74</v>
      </c>
      <c r="BO745" t="s">
        <v>74</v>
      </c>
      <c r="BP745" t="s">
        <v>74</v>
      </c>
      <c r="BQ745" t="s">
        <v>74</v>
      </c>
      <c r="BR745" t="s">
        <v>103</v>
      </c>
      <c r="BS745" t="s">
        <v>14295</v>
      </c>
      <c r="BT745" t="str">
        <f>HYPERLINK("https%3A%2F%2Fwww.webofscience.com%2Fwos%2Fwoscc%2Ffull-record%2FWOS:000356539300001","View Full Record in Web of Science")</f>
        <v>View Full Record in Web of Science</v>
      </c>
    </row>
    <row r="746" spans="1:72" x14ac:dyDescent="0.15">
      <c r="A746" t="s">
        <v>72</v>
      </c>
      <c r="B746" t="s">
        <v>14296</v>
      </c>
      <c r="C746" t="s">
        <v>74</v>
      </c>
      <c r="D746" t="s">
        <v>74</v>
      </c>
      <c r="E746" t="s">
        <v>74</v>
      </c>
      <c r="F746" t="s">
        <v>14297</v>
      </c>
      <c r="G746" t="s">
        <v>74</v>
      </c>
      <c r="H746" t="s">
        <v>74</v>
      </c>
      <c r="I746" t="s">
        <v>14298</v>
      </c>
      <c r="J746" t="s">
        <v>1665</v>
      </c>
      <c r="K746" t="s">
        <v>74</v>
      </c>
      <c r="L746" t="s">
        <v>74</v>
      </c>
      <c r="M746" t="s">
        <v>78</v>
      </c>
      <c r="N746" t="s">
        <v>79</v>
      </c>
      <c r="O746" t="s">
        <v>74</v>
      </c>
      <c r="P746" t="s">
        <v>74</v>
      </c>
      <c r="Q746" t="s">
        <v>74</v>
      </c>
      <c r="R746" t="s">
        <v>74</v>
      </c>
      <c r="S746" t="s">
        <v>74</v>
      </c>
      <c r="T746" t="s">
        <v>14299</v>
      </c>
      <c r="U746" t="s">
        <v>14300</v>
      </c>
      <c r="V746" t="s">
        <v>14301</v>
      </c>
      <c r="W746" t="s">
        <v>14302</v>
      </c>
      <c r="X746" t="s">
        <v>14303</v>
      </c>
      <c r="Y746" t="s">
        <v>14304</v>
      </c>
      <c r="Z746" t="s">
        <v>14305</v>
      </c>
      <c r="AA746" t="s">
        <v>14306</v>
      </c>
      <c r="AB746" t="s">
        <v>14307</v>
      </c>
      <c r="AC746" t="s">
        <v>14308</v>
      </c>
      <c r="AD746" t="s">
        <v>14308</v>
      </c>
      <c r="AE746" t="s">
        <v>14309</v>
      </c>
      <c r="AF746" t="s">
        <v>74</v>
      </c>
      <c r="AG746">
        <v>45</v>
      </c>
      <c r="AH746">
        <v>7</v>
      </c>
      <c r="AI746">
        <v>7</v>
      </c>
      <c r="AJ746">
        <v>0</v>
      </c>
      <c r="AK746">
        <v>3</v>
      </c>
      <c r="AL746" t="s">
        <v>496</v>
      </c>
      <c r="AM746" t="s">
        <v>398</v>
      </c>
      <c r="AN746" t="s">
        <v>497</v>
      </c>
      <c r="AO746" t="s">
        <v>1678</v>
      </c>
      <c r="AP746" t="s">
        <v>1679</v>
      </c>
      <c r="AQ746" t="s">
        <v>74</v>
      </c>
      <c r="AR746" t="s">
        <v>1680</v>
      </c>
      <c r="AS746" t="s">
        <v>1681</v>
      </c>
      <c r="AT746" t="s">
        <v>13421</v>
      </c>
      <c r="AU746">
        <v>2015</v>
      </c>
      <c r="AV746">
        <v>56</v>
      </c>
      <c r="AW746">
        <v>1</v>
      </c>
      <c r="AX746" t="s">
        <v>74</v>
      </c>
      <c r="AY746" t="s">
        <v>74</v>
      </c>
      <c r="AZ746" t="s">
        <v>74</v>
      </c>
      <c r="BA746" t="s">
        <v>74</v>
      </c>
      <c r="BB746">
        <v>28</v>
      </c>
      <c r="BC746">
        <v>37</v>
      </c>
      <c r="BD746" t="s">
        <v>74</v>
      </c>
      <c r="BE746" t="s">
        <v>14310</v>
      </c>
      <c r="BF746" t="str">
        <f>HYPERLINK("http://dx.doi.org/10.1016/j.asr.2015.03.036","http://dx.doi.org/10.1016/j.asr.2015.03.036")</f>
        <v>http://dx.doi.org/10.1016/j.asr.2015.03.036</v>
      </c>
      <c r="BG746" t="s">
        <v>74</v>
      </c>
      <c r="BH746" t="s">
        <v>74</v>
      </c>
      <c r="BI746">
        <v>10</v>
      </c>
      <c r="BJ746" t="s">
        <v>1683</v>
      </c>
      <c r="BK746" t="s">
        <v>101</v>
      </c>
      <c r="BL746" t="s">
        <v>1684</v>
      </c>
      <c r="BM746" t="s">
        <v>14311</v>
      </c>
      <c r="BN746" t="s">
        <v>74</v>
      </c>
      <c r="BO746" t="s">
        <v>74</v>
      </c>
      <c r="BP746" t="s">
        <v>74</v>
      </c>
      <c r="BQ746" t="s">
        <v>74</v>
      </c>
      <c r="BR746" t="s">
        <v>103</v>
      </c>
      <c r="BS746" t="s">
        <v>14312</v>
      </c>
      <c r="BT746" t="str">
        <f>HYPERLINK("https%3A%2F%2Fwww.webofscience.com%2Fwos%2Fwoscc%2Ffull-record%2FWOS:000356734400004","View Full Record in Web of Science")</f>
        <v>View Full Record in Web of Science</v>
      </c>
    </row>
    <row r="747" spans="1:72" x14ac:dyDescent="0.15">
      <c r="A747" t="s">
        <v>72</v>
      </c>
      <c r="B747" t="s">
        <v>14313</v>
      </c>
      <c r="C747" t="s">
        <v>74</v>
      </c>
      <c r="D747" t="s">
        <v>74</v>
      </c>
      <c r="E747" t="s">
        <v>74</v>
      </c>
      <c r="F747" t="s">
        <v>14314</v>
      </c>
      <c r="G747" t="s">
        <v>74</v>
      </c>
      <c r="H747" t="s">
        <v>74</v>
      </c>
      <c r="I747" t="s">
        <v>14315</v>
      </c>
      <c r="J747" t="s">
        <v>12311</v>
      </c>
      <c r="K747" t="s">
        <v>74</v>
      </c>
      <c r="L747" t="s">
        <v>74</v>
      </c>
      <c r="M747" t="s">
        <v>78</v>
      </c>
      <c r="N747" t="s">
        <v>79</v>
      </c>
      <c r="O747" t="s">
        <v>74</v>
      </c>
      <c r="P747" t="s">
        <v>74</v>
      </c>
      <c r="Q747" t="s">
        <v>74</v>
      </c>
      <c r="R747" t="s">
        <v>74</v>
      </c>
      <c r="S747" t="s">
        <v>74</v>
      </c>
      <c r="T747" t="s">
        <v>14316</v>
      </c>
      <c r="U747" t="s">
        <v>14317</v>
      </c>
      <c r="V747" t="s">
        <v>14318</v>
      </c>
      <c r="W747" t="s">
        <v>14319</v>
      </c>
      <c r="X747" t="s">
        <v>14320</v>
      </c>
      <c r="Y747" t="s">
        <v>14321</v>
      </c>
      <c r="Z747" t="s">
        <v>14322</v>
      </c>
      <c r="AA747" t="s">
        <v>14323</v>
      </c>
      <c r="AB747" t="s">
        <v>14324</v>
      </c>
      <c r="AC747" t="s">
        <v>14325</v>
      </c>
      <c r="AD747" t="s">
        <v>14326</v>
      </c>
      <c r="AE747" t="s">
        <v>14327</v>
      </c>
      <c r="AF747" t="s">
        <v>74</v>
      </c>
      <c r="AG747">
        <v>65</v>
      </c>
      <c r="AH747">
        <v>21</v>
      </c>
      <c r="AI747">
        <v>23</v>
      </c>
      <c r="AJ747">
        <v>1</v>
      </c>
      <c r="AK747">
        <v>30</v>
      </c>
      <c r="AL747" t="s">
        <v>883</v>
      </c>
      <c r="AM747" t="s">
        <v>884</v>
      </c>
      <c r="AN747" t="s">
        <v>885</v>
      </c>
      <c r="AO747" t="s">
        <v>12324</v>
      </c>
      <c r="AP747" t="s">
        <v>12325</v>
      </c>
      <c r="AQ747" t="s">
        <v>74</v>
      </c>
      <c r="AR747" t="s">
        <v>12326</v>
      </c>
      <c r="AS747" t="s">
        <v>12327</v>
      </c>
      <c r="AT747" t="s">
        <v>13267</v>
      </c>
      <c r="AU747">
        <v>2015</v>
      </c>
      <c r="AV747">
        <v>147</v>
      </c>
      <c r="AW747" t="s">
        <v>74</v>
      </c>
      <c r="AX747" t="s">
        <v>74</v>
      </c>
      <c r="AY747" t="s">
        <v>74</v>
      </c>
      <c r="AZ747" t="s">
        <v>931</v>
      </c>
      <c r="BA747" t="s">
        <v>74</v>
      </c>
      <c r="BB747">
        <v>21</v>
      </c>
      <c r="BC747">
        <v>28</v>
      </c>
      <c r="BD747" t="s">
        <v>74</v>
      </c>
      <c r="BE747" t="s">
        <v>14328</v>
      </c>
      <c r="BF747" t="str">
        <f>HYPERLINK("http://dx.doi.org/10.1016/j.jmarsys.2013.12.008","http://dx.doi.org/10.1016/j.jmarsys.2013.12.008")</f>
        <v>http://dx.doi.org/10.1016/j.jmarsys.2013.12.008</v>
      </c>
      <c r="BG747" t="s">
        <v>74</v>
      </c>
      <c r="BH747" t="s">
        <v>74</v>
      </c>
      <c r="BI747">
        <v>8</v>
      </c>
      <c r="BJ747" t="s">
        <v>12329</v>
      </c>
      <c r="BK747" t="s">
        <v>101</v>
      </c>
      <c r="BL747" t="s">
        <v>12330</v>
      </c>
      <c r="BM747" t="s">
        <v>14329</v>
      </c>
      <c r="BN747" t="s">
        <v>74</v>
      </c>
      <c r="BO747" t="s">
        <v>74</v>
      </c>
      <c r="BP747" t="s">
        <v>74</v>
      </c>
      <c r="BQ747" t="s">
        <v>74</v>
      </c>
      <c r="BR747" t="s">
        <v>103</v>
      </c>
      <c r="BS747" t="s">
        <v>14330</v>
      </c>
      <c r="BT747" t="str">
        <f>HYPERLINK("https%3A%2F%2Fwww.webofscience.com%2Fwos%2Fwoscc%2Ffull-record%2FWOS:000356547200004","View Full Record in Web of Science")</f>
        <v>View Full Record in Web of Science</v>
      </c>
    </row>
    <row r="748" spans="1:72" x14ac:dyDescent="0.15">
      <c r="A748" t="s">
        <v>72</v>
      </c>
      <c r="B748" t="s">
        <v>14331</v>
      </c>
      <c r="C748" t="s">
        <v>74</v>
      </c>
      <c r="D748" t="s">
        <v>74</v>
      </c>
      <c r="E748" t="s">
        <v>74</v>
      </c>
      <c r="F748" t="s">
        <v>14332</v>
      </c>
      <c r="G748" t="s">
        <v>74</v>
      </c>
      <c r="H748" t="s">
        <v>74</v>
      </c>
      <c r="I748" t="s">
        <v>14333</v>
      </c>
      <c r="J748" t="s">
        <v>12311</v>
      </c>
      <c r="K748" t="s">
        <v>74</v>
      </c>
      <c r="L748" t="s">
        <v>74</v>
      </c>
      <c r="M748" t="s">
        <v>78</v>
      </c>
      <c r="N748" t="s">
        <v>79</v>
      </c>
      <c r="O748" t="s">
        <v>74</v>
      </c>
      <c r="P748" t="s">
        <v>74</v>
      </c>
      <c r="Q748" t="s">
        <v>74</v>
      </c>
      <c r="R748" t="s">
        <v>74</v>
      </c>
      <c r="S748" t="s">
        <v>74</v>
      </c>
      <c r="T748" t="s">
        <v>14334</v>
      </c>
      <c r="U748" t="s">
        <v>14335</v>
      </c>
      <c r="V748" t="s">
        <v>14336</v>
      </c>
      <c r="W748" t="s">
        <v>14337</v>
      </c>
      <c r="X748" t="s">
        <v>14338</v>
      </c>
      <c r="Y748" t="s">
        <v>14339</v>
      </c>
      <c r="Z748" t="s">
        <v>14340</v>
      </c>
      <c r="AA748" t="s">
        <v>14341</v>
      </c>
      <c r="AB748" t="s">
        <v>14342</v>
      </c>
      <c r="AC748" t="s">
        <v>14343</v>
      </c>
      <c r="AD748" t="s">
        <v>14344</v>
      </c>
      <c r="AE748" t="s">
        <v>14345</v>
      </c>
      <c r="AF748" t="s">
        <v>74</v>
      </c>
      <c r="AG748">
        <v>58</v>
      </c>
      <c r="AH748">
        <v>80</v>
      </c>
      <c r="AI748">
        <v>86</v>
      </c>
      <c r="AJ748">
        <v>1</v>
      </c>
      <c r="AK748">
        <v>55</v>
      </c>
      <c r="AL748" t="s">
        <v>925</v>
      </c>
      <c r="AM748" t="s">
        <v>884</v>
      </c>
      <c r="AN748" t="s">
        <v>926</v>
      </c>
      <c r="AO748" t="s">
        <v>12324</v>
      </c>
      <c r="AP748" t="s">
        <v>12325</v>
      </c>
      <c r="AQ748" t="s">
        <v>74</v>
      </c>
      <c r="AR748" t="s">
        <v>12326</v>
      </c>
      <c r="AS748" t="s">
        <v>12327</v>
      </c>
      <c r="AT748" t="s">
        <v>13267</v>
      </c>
      <c r="AU748">
        <v>2015</v>
      </c>
      <c r="AV748">
        <v>147</v>
      </c>
      <c r="AW748" t="s">
        <v>74</v>
      </c>
      <c r="AX748" t="s">
        <v>74</v>
      </c>
      <c r="AY748" t="s">
        <v>74</v>
      </c>
      <c r="AZ748" t="s">
        <v>931</v>
      </c>
      <c r="BA748" t="s">
        <v>74</v>
      </c>
      <c r="BB748">
        <v>103</v>
      </c>
      <c r="BC748">
        <v>115</v>
      </c>
      <c r="BD748" t="s">
        <v>74</v>
      </c>
      <c r="BE748" t="s">
        <v>14346</v>
      </c>
      <c r="BF748" t="str">
        <f>HYPERLINK("http://dx.doi.org/10.1016/j.jmarsys.2014.06.002","http://dx.doi.org/10.1016/j.jmarsys.2014.06.002")</f>
        <v>http://dx.doi.org/10.1016/j.jmarsys.2014.06.002</v>
      </c>
      <c r="BG748" t="s">
        <v>74</v>
      </c>
      <c r="BH748" t="s">
        <v>74</v>
      </c>
      <c r="BI748">
        <v>13</v>
      </c>
      <c r="BJ748" t="s">
        <v>12329</v>
      </c>
      <c r="BK748" t="s">
        <v>101</v>
      </c>
      <c r="BL748" t="s">
        <v>12330</v>
      </c>
      <c r="BM748" t="s">
        <v>14329</v>
      </c>
      <c r="BN748" t="s">
        <v>74</v>
      </c>
      <c r="BO748" t="s">
        <v>74</v>
      </c>
      <c r="BP748" t="s">
        <v>74</v>
      </c>
      <c r="BQ748" t="s">
        <v>74</v>
      </c>
      <c r="BR748" t="s">
        <v>103</v>
      </c>
      <c r="BS748" t="s">
        <v>14347</v>
      </c>
      <c r="BT748" t="str">
        <f>HYPERLINK("https%3A%2F%2Fwww.webofscience.com%2Fwos%2Fwoscc%2Ffull-record%2FWOS:000356547200012","View Full Record in Web of Science")</f>
        <v>View Full Record in Web of Science</v>
      </c>
    </row>
    <row r="749" spans="1:72" x14ac:dyDescent="0.15">
      <c r="A749" t="s">
        <v>72</v>
      </c>
      <c r="B749" t="s">
        <v>14348</v>
      </c>
      <c r="C749" t="s">
        <v>74</v>
      </c>
      <c r="D749" t="s">
        <v>74</v>
      </c>
      <c r="E749" t="s">
        <v>74</v>
      </c>
      <c r="F749" t="s">
        <v>14349</v>
      </c>
      <c r="G749" t="s">
        <v>74</v>
      </c>
      <c r="H749" t="s">
        <v>74</v>
      </c>
      <c r="I749" t="s">
        <v>14350</v>
      </c>
      <c r="J749" t="s">
        <v>12311</v>
      </c>
      <c r="K749" t="s">
        <v>74</v>
      </c>
      <c r="L749" t="s">
        <v>74</v>
      </c>
      <c r="M749" t="s">
        <v>78</v>
      </c>
      <c r="N749" t="s">
        <v>79</v>
      </c>
      <c r="O749" t="s">
        <v>74</v>
      </c>
      <c r="P749" t="s">
        <v>74</v>
      </c>
      <c r="Q749" t="s">
        <v>74</v>
      </c>
      <c r="R749" t="s">
        <v>74</v>
      </c>
      <c r="S749" t="s">
        <v>74</v>
      </c>
      <c r="T749" t="s">
        <v>14351</v>
      </c>
      <c r="U749" t="s">
        <v>14352</v>
      </c>
      <c r="V749" t="s">
        <v>14353</v>
      </c>
      <c r="W749" t="s">
        <v>14354</v>
      </c>
      <c r="X749" t="s">
        <v>14355</v>
      </c>
      <c r="Y749" t="s">
        <v>14356</v>
      </c>
      <c r="Z749" t="s">
        <v>14357</v>
      </c>
      <c r="AA749" t="s">
        <v>14358</v>
      </c>
      <c r="AB749" t="s">
        <v>14359</v>
      </c>
      <c r="AC749" t="s">
        <v>14360</v>
      </c>
      <c r="AD749" t="s">
        <v>14361</v>
      </c>
      <c r="AE749" t="s">
        <v>14362</v>
      </c>
      <c r="AF749" t="s">
        <v>74</v>
      </c>
      <c r="AG749">
        <v>56</v>
      </c>
      <c r="AH749">
        <v>14</v>
      </c>
      <c r="AI749">
        <v>14</v>
      </c>
      <c r="AJ749">
        <v>0</v>
      </c>
      <c r="AK749">
        <v>35</v>
      </c>
      <c r="AL749" t="s">
        <v>883</v>
      </c>
      <c r="AM749" t="s">
        <v>884</v>
      </c>
      <c r="AN749" t="s">
        <v>885</v>
      </c>
      <c r="AO749" t="s">
        <v>12324</v>
      </c>
      <c r="AP749" t="s">
        <v>12325</v>
      </c>
      <c r="AQ749" t="s">
        <v>74</v>
      </c>
      <c r="AR749" t="s">
        <v>12326</v>
      </c>
      <c r="AS749" t="s">
        <v>12327</v>
      </c>
      <c r="AT749" t="s">
        <v>13267</v>
      </c>
      <c r="AU749">
        <v>2015</v>
      </c>
      <c r="AV749">
        <v>147</v>
      </c>
      <c r="AW749" t="s">
        <v>74</v>
      </c>
      <c r="AX749" t="s">
        <v>74</v>
      </c>
      <c r="AY749" t="s">
        <v>74</v>
      </c>
      <c r="AZ749" t="s">
        <v>931</v>
      </c>
      <c r="BA749" t="s">
        <v>74</v>
      </c>
      <c r="BB749">
        <v>153</v>
      </c>
      <c r="BC749">
        <v>168</v>
      </c>
      <c r="BD749" t="s">
        <v>74</v>
      </c>
      <c r="BE749" t="s">
        <v>14363</v>
      </c>
      <c r="BF749" t="str">
        <f>HYPERLINK("http://dx.doi.org/10.1016/j.jmarsys.2014.10.003","http://dx.doi.org/10.1016/j.jmarsys.2014.10.003")</f>
        <v>http://dx.doi.org/10.1016/j.jmarsys.2014.10.003</v>
      </c>
      <c r="BG749" t="s">
        <v>74</v>
      </c>
      <c r="BH749" t="s">
        <v>74</v>
      </c>
      <c r="BI749">
        <v>16</v>
      </c>
      <c r="BJ749" t="s">
        <v>12329</v>
      </c>
      <c r="BK749" t="s">
        <v>101</v>
      </c>
      <c r="BL749" t="s">
        <v>12330</v>
      </c>
      <c r="BM749" t="s">
        <v>14329</v>
      </c>
      <c r="BN749" t="s">
        <v>74</v>
      </c>
      <c r="BO749" t="s">
        <v>74</v>
      </c>
      <c r="BP749" t="s">
        <v>74</v>
      </c>
      <c r="BQ749" t="s">
        <v>74</v>
      </c>
      <c r="BR749" t="s">
        <v>103</v>
      </c>
      <c r="BS749" t="s">
        <v>14364</v>
      </c>
      <c r="BT749" t="str">
        <f>HYPERLINK("https%3A%2F%2Fwww.webofscience.com%2Fwos%2Fwoscc%2Ffull-record%2FWOS:000356547200016","View Full Record in Web of Science")</f>
        <v>View Full Record in Web of Science</v>
      </c>
    </row>
    <row r="750" spans="1:72" x14ac:dyDescent="0.15">
      <c r="A750" t="s">
        <v>72</v>
      </c>
      <c r="B750" t="s">
        <v>14365</v>
      </c>
      <c r="C750" t="s">
        <v>74</v>
      </c>
      <c r="D750" t="s">
        <v>74</v>
      </c>
      <c r="E750" t="s">
        <v>74</v>
      </c>
      <c r="F750" t="s">
        <v>14366</v>
      </c>
      <c r="G750" t="s">
        <v>74</v>
      </c>
      <c r="H750" t="s">
        <v>74</v>
      </c>
      <c r="I750" t="s">
        <v>14367</v>
      </c>
      <c r="J750" t="s">
        <v>4327</v>
      </c>
      <c r="K750" t="s">
        <v>74</v>
      </c>
      <c r="L750" t="s">
        <v>74</v>
      </c>
      <c r="M750" t="s">
        <v>78</v>
      </c>
      <c r="N750" t="s">
        <v>79</v>
      </c>
      <c r="O750" t="s">
        <v>74</v>
      </c>
      <c r="P750" t="s">
        <v>74</v>
      </c>
      <c r="Q750" t="s">
        <v>74</v>
      </c>
      <c r="R750" t="s">
        <v>74</v>
      </c>
      <c r="S750" t="s">
        <v>74</v>
      </c>
      <c r="T750" t="s">
        <v>14368</v>
      </c>
      <c r="U750" t="s">
        <v>14369</v>
      </c>
      <c r="V750" t="s">
        <v>14370</v>
      </c>
      <c r="W750" t="s">
        <v>14371</v>
      </c>
      <c r="X750" t="s">
        <v>14372</v>
      </c>
      <c r="Y750" t="s">
        <v>14373</v>
      </c>
      <c r="Z750" t="s">
        <v>14374</v>
      </c>
      <c r="AA750" t="s">
        <v>14375</v>
      </c>
      <c r="AB750" t="s">
        <v>14376</v>
      </c>
      <c r="AC750" t="s">
        <v>14377</v>
      </c>
      <c r="AD750" t="s">
        <v>14378</v>
      </c>
      <c r="AE750" t="s">
        <v>14379</v>
      </c>
      <c r="AF750" t="s">
        <v>74</v>
      </c>
      <c r="AG750">
        <v>40</v>
      </c>
      <c r="AH750">
        <v>9</v>
      </c>
      <c r="AI750">
        <v>9</v>
      </c>
      <c r="AJ750">
        <v>1</v>
      </c>
      <c r="AK750">
        <v>39</v>
      </c>
      <c r="AL750" t="s">
        <v>92</v>
      </c>
      <c r="AM750" t="s">
        <v>550</v>
      </c>
      <c r="AN750" t="s">
        <v>4772</v>
      </c>
      <c r="AO750" t="s">
        <v>14380</v>
      </c>
      <c r="AP750" t="s">
        <v>14381</v>
      </c>
      <c r="AQ750" t="s">
        <v>74</v>
      </c>
      <c r="AR750" t="s">
        <v>4342</v>
      </c>
      <c r="AS750" t="s">
        <v>4343</v>
      </c>
      <c r="AT750" t="s">
        <v>13267</v>
      </c>
      <c r="AU750">
        <v>2015</v>
      </c>
      <c r="AV750">
        <v>156</v>
      </c>
      <c r="AW750">
        <v>3</v>
      </c>
      <c r="AX750" t="s">
        <v>74</v>
      </c>
      <c r="AY750" t="s">
        <v>74</v>
      </c>
      <c r="AZ750" t="s">
        <v>74</v>
      </c>
      <c r="BA750" t="s">
        <v>74</v>
      </c>
      <c r="BB750">
        <v>699</v>
      </c>
      <c r="BC750">
        <v>710</v>
      </c>
      <c r="BD750" t="s">
        <v>74</v>
      </c>
      <c r="BE750" t="s">
        <v>14382</v>
      </c>
      <c r="BF750" t="str">
        <f>HYPERLINK("http://dx.doi.org/10.1007/s10336-015-1170-0","http://dx.doi.org/10.1007/s10336-015-1170-0")</f>
        <v>http://dx.doi.org/10.1007/s10336-015-1170-0</v>
      </c>
      <c r="BG750" t="s">
        <v>74</v>
      </c>
      <c r="BH750" t="s">
        <v>74</v>
      </c>
      <c r="BI750">
        <v>12</v>
      </c>
      <c r="BJ750" t="s">
        <v>242</v>
      </c>
      <c r="BK750" t="s">
        <v>101</v>
      </c>
      <c r="BL750" t="s">
        <v>243</v>
      </c>
      <c r="BM750" t="s">
        <v>14383</v>
      </c>
      <c r="BN750" t="s">
        <v>74</v>
      </c>
      <c r="BO750" t="s">
        <v>74</v>
      </c>
      <c r="BP750" t="s">
        <v>74</v>
      </c>
      <c r="BQ750" t="s">
        <v>74</v>
      </c>
      <c r="BR750" t="s">
        <v>103</v>
      </c>
      <c r="BS750" t="s">
        <v>14384</v>
      </c>
      <c r="BT750" t="str">
        <f>HYPERLINK("https%3A%2F%2Fwww.webofscience.com%2Fwos%2Fwoscc%2Ffull-record%2FWOS:000356447100014","View Full Record in Web of Science")</f>
        <v>View Full Record in Web of Science</v>
      </c>
    </row>
    <row r="751" spans="1:72" x14ac:dyDescent="0.15">
      <c r="A751" t="s">
        <v>72</v>
      </c>
      <c r="B751" t="s">
        <v>14385</v>
      </c>
      <c r="C751" t="s">
        <v>74</v>
      </c>
      <c r="D751" t="s">
        <v>74</v>
      </c>
      <c r="E751" t="s">
        <v>74</v>
      </c>
      <c r="F751" t="s">
        <v>14386</v>
      </c>
      <c r="G751" t="s">
        <v>74</v>
      </c>
      <c r="H751" t="s">
        <v>14387</v>
      </c>
      <c r="I751" t="s">
        <v>14388</v>
      </c>
      <c r="J751" t="s">
        <v>8294</v>
      </c>
      <c r="K751" t="s">
        <v>74</v>
      </c>
      <c r="L751" t="s">
        <v>74</v>
      </c>
      <c r="M751" t="s">
        <v>78</v>
      </c>
      <c r="N751" t="s">
        <v>79</v>
      </c>
      <c r="O751" t="s">
        <v>74</v>
      </c>
      <c r="P751" t="s">
        <v>74</v>
      </c>
      <c r="Q751" t="s">
        <v>74</v>
      </c>
      <c r="R751" t="s">
        <v>74</v>
      </c>
      <c r="S751" t="s">
        <v>74</v>
      </c>
      <c r="T751" t="s">
        <v>74</v>
      </c>
      <c r="U751" t="s">
        <v>74</v>
      </c>
      <c r="V751" t="s">
        <v>14389</v>
      </c>
      <c r="W751" t="s">
        <v>14390</v>
      </c>
      <c r="X751" t="s">
        <v>14391</v>
      </c>
      <c r="Y751" t="s">
        <v>14392</v>
      </c>
      <c r="Z751" t="s">
        <v>74</v>
      </c>
      <c r="AA751" t="s">
        <v>14393</v>
      </c>
      <c r="AB751" t="s">
        <v>14394</v>
      </c>
      <c r="AC751" t="s">
        <v>14395</v>
      </c>
      <c r="AD751" t="s">
        <v>14396</v>
      </c>
      <c r="AE751" t="s">
        <v>74</v>
      </c>
      <c r="AF751" t="s">
        <v>74</v>
      </c>
      <c r="AG751">
        <v>0</v>
      </c>
      <c r="AH751">
        <v>9</v>
      </c>
      <c r="AI751">
        <v>11</v>
      </c>
      <c r="AJ751">
        <v>0</v>
      </c>
      <c r="AK751">
        <v>8</v>
      </c>
      <c r="AL751" t="s">
        <v>208</v>
      </c>
      <c r="AM751" t="s">
        <v>209</v>
      </c>
      <c r="AN751" t="s">
        <v>210</v>
      </c>
      <c r="AO751" t="s">
        <v>8307</v>
      </c>
      <c r="AP751" t="s">
        <v>8308</v>
      </c>
      <c r="AQ751" t="s">
        <v>74</v>
      </c>
      <c r="AR751" t="s">
        <v>8309</v>
      </c>
      <c r="AS751" t="s">
        <v>8310</v>
      </c>
      <c r="AT751" t="s">
        <v>13267</v>
      </c>
      <c r="AU751">
        <v>2015</v>
      </c>
      <c r="AV751">
        <v>15</v>
      </c>
      <c r="AW751">
        <v>4</v>
      </c>
      <c r="AX751" t="s">
        <v>74</v>
      </c>
      <c r="AY751" t="s">
        <v>74</v>
      </c>
      <c r="AZ751" t="s">
        <v>74</v>
      </c>
      <c r="BA751" t="s">
        <v>74</v>
      </c>
      <c r="BB751">
        <v>1014</v>
      </c>
      <c r="BC751">
        <v>1015</v>
      </c>
      <c r="BD751" t="s">
        <v>74</v>
      </c>
      <c r="BE751" t="s">
        <v>14397</v>
      </c>
      <c r="BF751" t="str">
        <f>HYPERLINK("http://dx.doi.org/10.1111/1755-0998.12419","http://dx.doi.org/10.1111/1755-0998.12419")</f>
        <v>http://dx.doi.org/10.1111/1755-0998.12419</v>
      </c>
      <c r="BG751" t="s">
        <v>74</v>
      </c>
      <c r="BH751" t="s">
        <v>74</v>
      </c>
      <c r="BI751">
        <v>2</v>
      </c>
      <c r="BJ751" t="s">
        <v>4533</v>
      </c>
      <c r="BK751" t="s">
        <v>101</v>
      </c>
      <c r="BL751" t="s">
        <v>4534</v>
      </c>
      <c r="BM751" t="s">
        <v>14398</v>
      </c>
      <c r="BN751">
        <v>26095006</v>
      </c>
      <c r="BO751" t="s">
        <v>74</v>
      </c>
      <c r="BP751" t="s">
        <v>74</v>
      </c>
      <c r="BQ751" t="s">
        <v>74</v>
      </c>
      <c r="BR751" t="s">
        <v>103</v>
      </c>
      <c r="BS751" t="s">
        <v>14399</v>
      </c>
      <c r="BT751" t="str">
        <f>HYPERLINK("https%3A%2F%2Fwww.webofscience.com%2Fwos%2Fwoscc%2Ffull-record%2FWOS:000356679800028","View Full Record in Web of Science")</f>
        <v>View Full Record in Web of Science</v>
      </c>
    </row>
    <row r="752" spans="1:72" x14ac:dyDescent="0.15">
      <c r="A752" t="s">
        <v>72</v>
      </c>
      <c r="B752" t="s">
        <v>14400</v>
      </c>
      <c r="C752" t="s">
        <v>74</v>
      </c>
      <c r="D752" t="s">
        <v>74</v>
      </c>
      <c r="E752" t="s">
        <v>74</v>
      </c>
      <c r="F752" t="s">
        <v>14401</v>
      </c>
      <c r="G752" t="s">
        <v>74</v>
      </c>
      <c r="H752" t="s">
        <v>74</v>
      </c>
      <c r="I752" t="s">
        <v>14402</v>
      </c>
      <c r="J752" t="s">
        <v>603</v>
      </c>
      <c r="K752" t="s">
        <v>74</v>
      </c>
      <c r="L752" t="s">
        <v>74</v>
      </c>
      <c r="M752" t="s">
        <v>78</v>
      </c>
      <c r="N752" t="s">
        <v>79</v>
      </c>
      <c r="O752" t="s">
        <v>74</v>
      </c>
      <c r="P752" t="s">
        <v>74</v>
      </c>
      <c r="Q752" t="s">
        <v>74</v>
      </c>
      <c r="R752" t="s">
        <v>74</v>
      </c>
      <c r="S752" t="s">
        <v>74</v>
      </c>
      <c r="T752" t="s">
        <v>14403</v>
      </c>
      <c r="U752" t="s">
        <v>14404</v>
      </c>
      <c r="V752" t="s">
        <v>14405</v>
      </c>
      <c r="W752" t="s">
        <v>14406</v>
      </c>
      <c r="X752" t="s">
        <v>14407</v>
      </c>
      <c r="Y752" t="s">
        <v>14408</v>
      </c>
      <c r="Z752" t="s">
        <v>14409</v>
      </c>
      <c r="AA752" t="s">
        <v>14410</v>
      </c>
      <c r="AB752" t="s">
        <v>14411</v>
      </c>
      <c r="AC752" t="s">
        <v>14412</v>
      </c>
      <c r="AD752" t="s">
        <v>14413</v>
      </c>
      <c r="AE752" t="s">
        <v>14414</v>
      </c>
      <c r="AF752" t="s">
        <v>74</v>
      </c>
      <c r="AG752">
        <v>82</v>
      </c>
      <c r="AH752">
        <v>5</v>
      </c>
      <c r="AI752">
        <v>5</v>
      </c>
      <c r="AJ752">
        <v>1</v>
      </c>
      <c r="AK752">
        <v>34</v>
      </c>
      <c r="AL752" t="s">
        <v>496</v>
      </c>
      <c r="AM752" t="s">
        <v>398</v>
      </c>
      <c r="AN752" t="s">
        <v>497</v>
      </c>
      <c r="AO752" t="s">
        <v>616</v>
      </c>
      <c r="AP752" t="s">
        <v>617</v>
      </c>
      <c r="AQ752" t="s">
        <v>74</v>
      </c>
      <c r="AR752" t="s">
        <v>618</v>
      </c>
      <c r="AS752" t="s">
        <v>619</v>
      </c>
      <c r="AT752" t="s">
        <v>13267</v>
      </c>
      <c r="AU752">
        <v>2015</v>
      </c>
      <c r="AV752">
        <v>91</v>
      </c>
      <c r="AW752" t="s">
        <v>74</v>
      </c>
      <c r="AX752" t="s">
        <v>74</v>
      </c>
      <c r="AY752" t="s">
        <v>74</v>
      </c>
      <c r="AZ752" t="s">
        <v>74</v>
      </c>
      <c r="BA752" t="s">
        <v>74</v>
      </c>
      <c r="BB752">
        <v>70</v>
      </c>
      <c r="BC752">
        <v>90</v>
      </c>
      <c r="BD752" t="s">
        <v>74</v>
      </c>
      <c r="BE752" t="s">
        <v>14415</v>
      </c>
      <c r="BF752" t="str">
        <f>HYPERLINK("http://dx.doi.org/10.1016/j.ocemod.2015.05.001","http://dx.doi.org/10.1016/j.ocemod.2015.05.001")</f>
        <v>http://dx.doi.org/10.1016/j.ocemod.2015.05.001</v>
      </c>
      <c r="BG752" t="s">
        <v>74</v>
      </c>
      <c r="BH752" t="s">
        <v>74</v>
      </c>
      <c r="BI752">
        <v>21</v>
      </c>
      <c r="BJ752" t="s">
        <v>621</v>
      </c>
      <c r="BK752" t="s">
        <v>101</v>
      </c>
      <c r="BL752" t="s">
        <v>621</v>
      </c>
      <c r="BM752" t="s">
        <v>14416</v>
      </c>
      <c r="BN752" t="s">
        <v>74</v>
      </c>
      <c r="BO752" t="s">
        <v>74</v>
      </c>
      <c r="BP752" t="s">
        <v>74</v>
      </c>
      <c r="BQ752" t="s">
        <v>74</v>
      </c>
      <c r="BR752" t="s">
        <v>103</v>
      </c>
      <c r="BS752" t="s">
        <v>14417</v>
      </c>
      <c r="BT752" t="str">
        <f>HYPERLINK("https%3A%2F%2Fwww.webofscience.com%2Fwos%2Fwoscc%2Ffull-record%2FWOS:000356063100004","View Full Record in Web of Science")</f>
        <v>View Full Record in Web of Science</v>
      </c>
    </row>
    <row r="753" spans="1:72" x14ac:dyDescent="0.15">
      <c r="A753" t="s">
        <v>72</v>
      </c>
      <c r="B753" t="s">
        <v>14418</v>
      </c>
      <c r="C753" t="s">
        <v>74</v>
      </c>
      <c r="D753" t="s">
        <v>74</v>
      </c>
      <c r="E753" t="s">
        <v>74</v>
      </c>
      <c r="F753" t="s">
        <v>14419</v>
      </c>
      <c r="G753" t="s">
        <v>74</v>
      </c>
      <c r="H753" t="s">
        <v>74</v>
      </c>
      <c r="I753" t="s">
        <v>14420</v>
      </c>
      <c r="J753" t="s">
        <v>14421</v>
      </c>
      <c r="K753" t="s">
        <v>74</v>
      </c>
      <c r="L753" t="s">
        <v>74</v>
      </c>
      <c r="M753" t="s">
        <v>78</v>
      </c>
      <c r="N753" t="s">
        <v>79</v>
      </c>
      <c r="O753" t="s">
        <v>74</v>
      </c>
      <c r="P753" t="s">
        <v>74</v>
      </c>
      <c r="Q753" t="s">
        <v>74</v>
      </c>
      <c r="R753" t="s">
        <v>74</v>
      </c>
      <c r="S753" t="s">
        <v>74</v>
      </c>
      <c r="T753" t="s">
        <v>14422</v>
      </c>
      <c r="U753" t="s">
        <v>14423</v>
      </c>
      <c r="V753" t="s">
        <v>14424</v>
      </c>
      <c r="W753" t="s">
        <v>14425</v>
      </c>
      <c r="X753" t="s">
        <v>14426</v>
      </c>
      <c r="Y753" t="s">
        <v>14427</v>
      </c>
      <c r="Z753" t="s">
        <v>14428</v>
      </c>
      <c r="AA753" t="s">
        <v>74</v>
      </c>
      <c r="AB753" t="s">
        <v>14429</v>
      </c>
      <c r="AC753" t="s">
        <v>14430</v>
      </c>
      <c r="AD753" t="s">
        <v>14431</v>
      </c>
      <c r="AE753" t="s">
        <v>14432</v>
      </c>
      <c r="AF753" t="s">
        <v>74</v>
      </c>
      <c r="AG753">
        <v>69</v>
      </c>
      <c r="AH753">
        <v>55</v>
      </c>
      <c r="AI753">
        <v>64</v>
      </c>
      <c r="AJ753">
        <v>5</v>
      </c>
      <c r="AK753">
        <v>61</v>
      </c>
      <c r="AL753" t="s">
        <v>14433</v>
      </c>
      <c r="AM753" t="s">
        <v>14434</v>
      </c>
      <c r="AN753" t="s">
        <v>14435</v>
      </c>
      <c r="AO753" t="s">
        <v>14436</v>
      </c>
      <c r="AP753" t="s">
        <v>14437</v>
      </c>
      <c r="AQ753" t="s">
        <v>74</v>
      </c>
      <c r="AR753" t="s">
        <v>14438</v>
      </c>
      <c r="AS753" t="s">
        <v>14439</v>
      </c>
      <c r="AT753" t="s">
        <v>13267</v>
      </c>
      <c r="AU753">
        <v>2015</v>
      </c>
      <c r="AV753">
        <v>236</v>
      </c>
      <c r="AW753" t="s">
        <v>74</v>
      </c>
      <c r="AX753" t="s">
        <v>74</v>
      </c>
      <c r="AY753" t="s">
        <v>74</v>
      </c>
      <c r="AZ753" t="s">
        <v>74</v>
      </c>
      <c r="BA753" t="s">
        <v>74</v>
      </c>
      <c r="BB753">
        <v>61</v>
      </c>
      <c r="BC753">
        <v>74</v>
      </c>
      <c r="BD753" t="s">
        <v>74</v>
      </c>
      <c r="BE753" t="s">
        <v>14440</v>
      </c>
      <c r="BF753" t="str">
        <f>HYPERLINK("http://dx.doi.org/10.1016/j.plantsci.2015.03.020","http://dx.doi.org/10.1016/j.plantsci.2015.03.020")</f>
        <v>http://dx.doi.org/10.1016/j.plantsci.2015.03.020</v>
      </c>
      <c r="BG753" t="s">
        <v>74</v>
      </c>
      <c r="BH753" t="s">
        <v>74</v>
      </c>
      <c r="BI753">
        <v>14</v>
      </c>
      <c r="BJ753" t="s">
        <v>10369</v>
      </c>
      <c r="BK753" t="s">
        <v>101</v>
      </c>
      <c r="BL753" t="s">
        <v>10369</v>
      </c>
      <c r="BM753" t="s">
        <v>14441</v>
      </c>
      <c r="BN753">
        <v>26025521</v>
      </c>
      <c r="BO753" t="s">
        <v>74</v>
      </c>
      <c r="BP753" t="s">
        <v>74</v>
      </c>
      <c r="BQ753" t="s">
        <v>74</v>
      </c>
      <c r="BR753" t="s">
        <v>103</v>
      </c>
      <c r="BS753" t="s">
        <v>14442</v>
      </c>
      <c r="BT753" t="str">
        <f>HYPERLINK("https%3A%2F%2Fwww.webofscience.com%2Fwos%2Fwoscc%2Ffull-record%2FWOS:000356556600006","View Full Record in Web of Science")</f>
        <v>View Full Record in Web of Science</v>
      </c>
    </row>
    <row r="754" spans="1:72" x14ac:dyDescent="0.15">
      <c r="A754" t="s">
        <v>72</v>
      </c>
      <c r="B754" t="s">
        <v>14443</v>
      </c>
      <c r="C754" t="s">
        <v>74</v>
      </c>
      <c r="D754" t="s">
        <v>74</v>
      </c>
      <c r="E754" t="s">
        <v>74</v>
      </c>
      <c r="F754" t="s">
        <v>14444</v>
      </c>
      <c r="G754" t="s">
        <v>74</v>
      </c>
      <c r="H754" t="s">
        <v>74</v>
      </c>
      <c r="I754" t="s">
        <v>14445</v>
      </c>
      <c r="J754" t="s">
        <v>4759</v>
      </c>
      <c r="K754" t="s">
        <v>74</v>
      </c>
      <c r="L754" t="s">
        <v>74</v>
      </c>
      <c r="M754" t="s">
        <v>78</v>
      </c>
      <c r="N754" t="s">
        <v>79</v>
      </c>
      <c r="O754" t="s">
        <v>74</v>
      </c>
      <c r="P754" t="s">
        <v>74</v>
      </c>
      <c r="Q754" t="s">
        <v>74</v>
      </c>
      <c r="R754" t="s">
        <v>74</v>
      </c>
      <c r="S754" t="s">
        <v>74</v>
      </c>
      <c r="T754" t="s">
        <v>14446</v>
      </c>
      <c r="U754" t="s">
        <v>14447</v>
      </c>
      <c r="V754" t="s">
        <v>14448</v>
      </c>
      <c r="W754" t="s">
        <v>14449</v>
      </c>
      <c r="X754" t="s">
        <v>14450</v>
      </c>
      <c r="Y754" t="s">
        <v>14451</v>
      </c>
      <c r="Z754" t="s">
        <v>14452</v>
      </c>
      <c r="AA754" t="s">
        <v>14453</v>
      </c>
      <c r="AB754" t="s">
        <v>14454</v>
      </c>
      <c r="AC754" t="s">
        <v>14455</v>
      </c>
      <c r="AD754" t="s">
        <v>14456</v>
      </c>
      <c r="AE754" t="s">
        <v>14457</v>
      </c>
      <c r="AF754" t="s">
        <v>74</v>
      </c>
      <c r="AG754">
        <v>41</v>
      </c>
      <c r="AH754">
        <v>25</v>
      </c>
      <c r="AI754">
        <v>29</v>
      </c>
      <c r="AJ754">
        <v>1</v>
      </c>
      <c r="AK754">
        <v>33</v>
      </c>
      <c r="AL754" t="s">
        <v>92</v>
      </c>
      <c r="AM754" t="s">
        <v>550</v>
      </c>
      <c r="AN754" t="s">
        <v>4772</v>
      </c>
      <c r="AO754" t="s">
        <v>4773</v>
      </c>
      <c r="AP754" t="s">
        <v>4774</v>
      </c>
      <c r="AQ754" t="s">
        <v>74</v>
      </c>
      <c r="AR754" t="s">
        <v>4775</v>
      </c>
      <c r="AS754" t="s">
        <v>4776</v>
      </c>
      <c r="AT754" t="s">
        <v>13267</v>
      </c>
      <c r="AU754">
        <v>2015</v>
      </c>
      <c r="AV754">
        <v>38</v>
      </c>
      <c r="AW754">
        <v>7</v>
      </c>
      <c r="AX754" t="s">
        <v>74</v>
      </c>
      <c r="AY754" t="s">
        <v>74</v>
      </c>
      <c r="AZ754" t="s">
        <v>74</v>
      </c>
      <c r="BA754" t="s">
        <v>74</v>
      </c>
      <c r="BB754">
        <v>927</v>
      </c>
      <c r="BC754">
        <v>940</v>
      </c>
      <c r="BD754" t="s">
        <v>74</v>
      </c>
      <c r="BE754" t="s">
        <v>14458</v>
      </c>
      <c r="BF754" t="str">
        <f>HYPERLINK("http://dx.doi.org/10.1007/s00300-015-1651-x","http://dx.doi.org/10.1007/s00300-015-1651-x")</f>
        <v>http://dx.doi.org/10.1007/s00300-015-1651-x</v>
      </c>
      <c r="BG754" t="s">
        <v>74</v>
      </c>
      <c r="BH754" t="s">
        <v>74</v>
      </c>
      <c r="BI754">
        <v>14</v>
      </c>
      <c r="BJ754" t="s">
        <v>4778</v>
      </c>
      <c r="BK754" t="s">
        <v>101</v>
      </c>
      <c r="BL754" t="s">
        <v>3806</v>
      </c>
      <c r="BM754" t="s">
        <v>14459</v>
      </c>
      <c r="BN754" t="s">
        <v>74</v>
      </c>
      <c r="BO754" t="s">
        <v>74</v>
      </c>
      <c r="BP754" t="s">
        <v>74</v>
      </c>
      <c r="BQ754" t="s">
        <v>74</v>
      </c>
      <c r="BR754" t="s">
        <v>103</v>
      </c>
      <c r="BS754" t="s">
        <v>14460</v>
      </c>
      <c r="BT754" t="str">
        <f>HYPERLINK("https%3A%2F%2Fwww.webofscience.com%2Fwos%2Fwoscc%2Ffull-record%2FWOS:000356535300001","View Full Record in Web of Science")</f>
        <v>View Full Record in Web of Science</v>
      </c>
    </row>
    <row r="755" spans="1:72" x14ac:dyDescent="0.15">
      <c r="A755" t="s">
        <v>72</v>
      </c>
      <c r="B755" t="s">
        <v>14461</v>
      </c>
      <c r="C755" t="s">
        <v>74</v>
      </c>
      <c r="D755" t="s">
        <v>74</v>
      </c>
      <c r="E755" t="s">
        <v>74</v>
      </c>
      <c r="F755" t="s">
        <v>14462</v>
      </c>
      <c r="G755" t="s">
        <v>74</v>
      </c>
      <c r="H755" t="s">
        <v>74</v>
      </c>
      <c r="I755" t="s">
        <v>14463</v>
      </c>
      <c r="J755" t="s">
        <v>4759</v>
      </c>
      <c r="K755" t="s">
        <v>74</v>
      </c>
      <c r="L755" t="s">
        <v>74</v>
      </c>
      <c r="M755" t="s">
        <v>78</v>
      </c>
      <c r="N755" t="s">
        <v>79</v>
      </c>
      <c r="O755" t="s">
        <v>74</v>
      </c>
      <c r="P755" t="s">
        <v>74</v>
      </c>
      <c r="Q755" t="s">
        <v>74</v>
      </c>
      <c r="R755" t="s">
        <v>74</v>
      </c>
      <c r="S755" t="s">
        <v>74</v>
      </c>
      <c r="T755" t="s">
        <v>14464</v>
      </c>
      <c r="U755" t="s">
        <v>14465</v>
      </c>
      <c r="V755" t="s">
        <v>14466</v>
      </c>
      <c r="W755" t="s">
        <v>14467</v>
      </c>
      <c r="X755" t="s">
        <v>14468</v>
      </c>
      <c r="Y755" t="s">
        <v>14469</v>
      </c>
      <c r="Z755" t="s">
        <v>14470</v>
      </c>
      <c r="AA755" t="s">
        <v>14471</v>
      </c>
      <c r="AB755" t="s">
        <v>14472</v>
      </c>
      <c r="AC755" t="s">
        <v>14473</v>
      </c>
      <c r="AD755" t="s">
        <v>14474</v>
      </c>
      <c r="AE755" t="s">
        <v>14475</v>
      </c>
      <c r="AF755" t="s">
        <v>74</v>
      </c>
      <c r="AG755">
        <v>77</v>
      </c>
      <c r="AH755">
        <v>14</v>
      </c>
      <c r="AI755">
        <v>14</v>
      </c>
      <c r="AJ755">
        <v>0</v>
      </c>
      <c r="AK755">
        <v>19</v>
      </c>
      <c r="AL755" t="s">
        <v>92</v>
      </c>
      <c r="AM755" t="s">
        <v>550</v>
      </c>
      <c r="AN755" t="s">
        <v>4772</v>
      </c>
      <c r="AO755" t="s">
        <v>4773</v>
      </c>
      <c r="AP755" t="s">
        <v>4774</v>
      </c>
      <c r="AQ755" t="s">
        <v>74</v>
      </c>
      <c r="AR755" t="s">
        <v>4775</v>
      </c>
      <c r="AS755" t="s">
        <v>4776</v>
      </c>
      <c r="AT755" t="s">
        <v>13267</v>
      </c>
      <c r="AU755">
        <v>2015</v>
      </c>
      <c r="AV755">
        <v>38</v>
      </c>
      <c r="AW755">
        <v>7</v>
      </c>
      <c r="AX755" t="s">
        <v>74</v>
      </c>
      <c r="AY755" t="s">
        <v>74</v>
      </c>
      <c r="AZ755" t="s">
        <v>74</v>
      </c>
      <c r="BA755" t="s">
        <v>74</v>
      </c>
      <c r="BB755">
        <v>983</v>
      </c>
      <c r="BC755">
        <v>1007</v>
      </c>
      <c r="BD755" t="s">
        <v>74</v>
      </c>
      <c r="BE755" t="s">
        <v>14476</v>
      </c>
      <c r="BF755" t="str">
        <f>HYPERLINK("http://dx.doi.org/10.1007/s00300-015-1660-9","http://dx.doi.org/10.1007/s00300-015-1660-9")</f>
        <v>http://dx.doi.org/10.1007/s00300-015-1660-9</v>
      </c>
      <c r="BG755" t="s">
        <v>74</v>
      </c>
      <c r="BH755" t="s">
        <v>74</v>
      </c>
      <c r="BI755">
        <v>25</v>
      </c>
      <c r="BJ755" t="s">
        <v>4778</v>
      </c>
      <c r="BK755" t="s">
        <v>101</v>
      </c>
      <c r="BL755" t="s">
        <v>3806</v>
      </c>
      <c r="BM755" t="s">
        <v>14459</v>
      </c>
      <c r="BN755" t="s">
        <v>74</v>
      </c>
      <c r="BO755" t="s">
        <v>559</v>
      </c>
      <c r="BP755" t="s">
        <v>74</v>
      </c>
      <c r="BQ755" t="s">
        <v>74</v>
      </c>
      <c r="BR755" t="s">
        <v>103</v>
      </c>
      <c r="BS755" t="s">
        <v>14477</v>
      </c>
      <c r="BT755" t="str">
        <f>HYPERLINK("https%3A%2F%2Fwww.webofscience.com%2Fwos%2Fwoscc%2Ffull-record%2FWOS:000356535300006","View Full Record in Web of Science")</f>
        <v>View Full Record in Web of Science</v>
      </c>
    </row>
    <row r="756" spans="1:72" x14ac:dyDescent="0.15">
      <c r="A756" t="s">
        <v>72</v>
      </c>
      <c r="B756" t="s">
        <v>14478</v>
      </c>
      <c r="C756" t="s">
        <v>74</v>
      </c>
      <c r="D756" t="s">
        <v>74</v>
      </c>
      <c r="E756" t="s">
        <v>74</v>
      </c>
      <c r="F756" t="s">
        <v>14479</v>
      </c>
      <c r="G756" t="s">
        <v>74</v>
      </c>
      <c r="H756" t="s">
        <v>74</v>
      </c>
      <c r="I756" t="s">
        <v>14480</v>
      </c>
      <c r="J756" t="s">
        <v>4759</v>
      </c>
      <c r="K756" t="s">
        <v>74</v>
      </c>
      <c r="L756" t="s">
        <v>74</v>
      </c>
      <c r="M756" t="s">
        <v>78</v>
      </c>
      <c r="N756" t="s">
        <v>79</v>
      </c>
      <c r="O756" t="s">
        <v>74</v>
      </c>
      <c r="P756" t="s">
        <v>74</v>
      </c>
      <c r="Q756" t="s">
        <v>74</v>
      </c>
      <c r="R756" t="s">
        <v>74</v>
      </c>
      <c r="S756" t="s">
        <v>74</v>
      </c>
      <c r="T756" t="s">
        <v>14481</v>
      </c>
      <c r="U756" t="s">
        <v>14482</v>
      </c>
      <c r="V756" t="s">
        <v>14483</v>
      </c>
      <c r="W756" t="s">
        <v>14484</v>
      </c>
      <c r="X756" t="s">
        <v>14485</v>
      </c>
      <c r="Y756" t="s">
        <v>14486</v>
      </c>
      <c r="Z756" t="s">
        <v>2722</v>
      </c>
      <c r="AA756" t="s">
        <v>74</v>
      </c>
      <c r="AB756" t="s">
        <v>74</v>
      </c>
      <c r="AC756" t="s">
        <v>14487</v>
      </c>
      <c r="AD756" t="s">
        <v>14488</v>
      </c>
      <c r="AE756" t="s">
        <v>14489</v>
      </c>
      <c r="AF756" t="s">
        <v>74</v>
      </c>
      <c r="AG756">
        <v>55</v>
      </c>
      <c r="AH756">
        <v>10</v>
      </c>
      <c r="AI756">
        <v>13</v>
      </c>
      <c r="AJ756">
        <v>0</v>
      </c>
      <c r="AK756">
        <v>32</v>
      </c>
      <c r="AL756" t="s">
        <v>92</v>
      </c>
      <c r="AM756" t="s">
        <v>550</v>
      </c>
      <c r="AN756" t="s">
        <v>1398</v>
      </c>
      <c r="AO756" t="s">
        <v>4773</v>
      </c>
      <c r="AP756" t="s">
        <v>4774</v>
      </c>
      <c r="AQ756" t="s">
        <v>74</v>
      </c>
      <c r="AR756" t="s">
        <v>4775</v>
      </c>
      <c r="AS756" t="s">
        <v>4776</v>
      </c>
      <c r="AT756" t="s">
        <v>13267</v>
      </c>
      <c r="AU756">
        <v>2015</v>
      </c>
      <c r="AV756">
        <v>38</v>
      </c>
      <c r="AW756">
        <v>7</v>
      </c>
      <c r="AX756" t="s">
        <v>74</v>
      </c>
      <c r="AY756" t="s">
        <v>74</v>
      </c>
      <c r="AZ756" t="s">
        <v>74</v>
      </c>
      <c r="BA756" t="s">
        <v>74</v>
      </c>
      <c r="BB756">
        <v>1049</v>
      </c>
      <c r="BC756">
        <v>1065</v>
      </c>
      <c r="BD756" t="s">
        <v>74</v>
      </c>
      <c r="BE756" t="s">
        <v>14490</v>
      </c>
      <c r="BF756" t="str">
        <f>HYPERLINK("http://dx.doi.org/10.1007/s00300-015-1666-3","http://dx.doi.org/10.1007/s00300-015-1666-3")</f>
        <v>http://dx.doi.org/10.1007/s00300-015-1666-3</v>
      </c>
      <c r="BG756" t="s">
        <v>74</v>
      </c>
      <c r="BH756" t="s">
        <v>74</v>
      </c>
      <c r="BI756">
        <v>17</v>
      </c>
      <c r="BJ756" t="s">
        <v>4778</v>
      </c>
      <c r="BK756" t="s">
        <v>101</v>
      </c>
      <c r="BL756" t="s">
        <v>3806</v>
      </c>
      <c r="BM756" t="s">
        <v>14459</v>
      </c>
      <c r="BN756" t="s">
        <v>74</v>
      </c>
      <c r="BO756" t="s">
        <v>74</v>
      </c>
      <c r="BP756" t="s">
        <v>74</v>
      </c>
      <c r="BQ756" t="s">
        <v>74</v>
      </c>
      <c r="BR756" t="s">
        <v>103</v>
      </c>
      <c r="BS756" t="s">
        <v>14491</v>
      </c>
      <c r="BT756" t="str">
        <f>HYPERLINK("https%3A%2F%2Fwww.webofscience.com%2Fwos%2Fwoscc%2Ffull-record%2FWOS:000356535300010","View Full Record in Web of Science")</f>
        <v>View Full Record in Web of Science</v>
      </c>
    </row>
    <row r="757" spans="1:72" x14ac:dyDescent="0.15">
      <c r="A757" t="s">
        <v>72</v>
      </c>
      <c r="B757" t="s">
        <v>14492</v>
      </c>
      <c r="C757" t="s">
        <v>74</v>
      </c>
      <c r="D757" t="s">
        <v>74</v>
      </c>
      <c r="E757" t="s">
        <v>74</v>
      </c>
      <c r="F757" t="s">
        <v>14493</v>
      </c>
      <c r="G757" t="s">
        <v>74</v>
      </c>
      <c r="H757" t="s">
        <v>74</v>
      </c>
      <c r="I757" t="s">
        <v>14494</v>
      </c>
      <c r="J757" t="s">
        <v>4759</v>
      </c>
      <c r="K757" t="s">
        <v>74</v>
      </c>
      <c r="L757" t="s">
        <v>74</v>
      </c>
      <c r="M757" t="s">
        <v>78</v>
      </c>
      <c r="N757" t="s">
        <v>79</v>
      </c>
      <c r="O757" t="s">
        <v>74</v>
      </c>
      <c r="P757" t="s">
        <v>74</v>
      </c>
      <c r="Q757" t="s">
        <v>74</v>
      </c>
      <c r="R757" t="s">
        <v>74</v>
      </c>
      <c r="S757" t="s">
        <v>74</v>
      </c>
      <c r="T757" t="s">
        <v>14495</v>
      </c>
      <c r="U757" t="s">
        <v>14496</v>
      </c>
      <c r="V757" t="s">
        <v>14497</v>
      </c>
      <c r="W757" t="s">
        <v>14498</v>
      </c>
      <c r="X757" t="s">
        <v>14499</v>
      </c>
      <c r="Y757" t="s">
        <v>14500</v>
      </c>
      <c r="Z757" t="s">
        <v>14501</v>
      </c>
      <c r="AA757" t="s">
        <v>14502</v>
      </c>
      <c r="AB757" t="s">
        <v>14503</v>
      </c>
      <c r="AC757" t="s">
        <v>14504</v>
      </c>
      <c r="AD757" t="s">
        <v>14505</v>
      </c>
      <c r="AE757" t="s">
        <v>14506</v>
      </c>
      <c r="AF757" t="s">
        <v>74</v>
      </c>
      <c r="AG757">
        <v>51</v>
      </c>
      <c r="AH757">
        <v>19</v>
      </c>
      <c r="AI757">
        <v>20</v>
      </c>
      <c r="AJ757">
        <v>3</v>
      </c>
      <c r="AK757">
        <v>27</v>
      </c>
      <c r="AL757" t="s">
        <v>92</v>
      </c>
      <c r="AM757" t="s">
        <v>550</v>
      </c>
      <c r="AN757" t="s">
        <v>1398</v>
      </c>
      <c r="AO757" t="s">
        <v>4773</v>
      </c>
      <c r="AP757" t="s">
        <v>4774</v>
      </c>
      <c r="AQ757" t="s">
        <v>74</v>
      </c>
      <c r="AR757" t="s">
        <v>4775</v>
      </c>
      <c r="AS757" t="s">
        <v>4776</v>
      </c>
      <c r="AT757" t="s">
        <v>13267</v>
      </c>
      <c r="AU757">
        <v>2015</v>
      </c>
      <c r="AV757">
        <v>38</v>
      </c>
      <c r="AW757">
        <v>7</v>
      </c>
      <c r="AX757" t="s">
        <v>74</v>
      </c>
      <c r="AY757" t="s">
        <v>74</v>
      </c>
      <c r="AZ757" t="s">
        <v>74</v>
      </c>
      <c r="BA757" t="s">
        <v>74</v>
      </c>
      <c r="BB757">
        <v>1067</v>
      </c>
      <c r="BC757">
        <v>1074</v>
      </c>
      <c r="BD757" t="s">
        <v>74</v>
      </c>
      <c r="BE757" t="s">
        <v>14507</v>
      </c>
      <c r="BF757" t="str">
        <f>HYPERLINK("http://dx.doi.org/10.1007/s00300-015-1667-2","http://dx.doi.org/10.1007/s00300-015-1667-2")</f>
        <v>http://dx.doi.org/10.1007/s00300-015-1667-2</v>
      </c>
      <c r="BG757" t="s">
        <v>74</v>
      </c>
      <c r="BH757" t="s">
        <v>74</v>
      </c>
      <c r="BI757">
        <v>8</v>
      </c>
      <c r="BJ757" t="s">
        <v>4778</v>
      </c>
      <c r="BK757" t="s">
        <v>101</v>
      </c>
      <c r="BL757" t="s">
        <v>3806</v>
      </c>
      <c r="BM757" t="s">
        <v>14459</v>
      </c>
      <c r="BN757" t="s">
        <v>74</v>
      </c>
      <c r="BO757" t="s">
        <v>559</v>
      </c>
      <c r="BP757" t="s">
        <v>74</v>
      </c>
      <c r="BQ757" t="s">
        <v>74</v>
      </c>
      <c r="BR757" t="s">
        <v>103</v>
      </c>
      <c r="BS757" t="s">
        <v>14508</v>
      </c>
      <c r="BT757" t="str">
        <f>HYPERLINK("https%3A%2F%2Fwww.webofscience.com%2Fwos%2Fwoscc%2Ffull-record%2FWOS:000356535300011","View Full Record in Web of Science")</f>
        <v>View Full Record in Web of Science</v>
      </c>
    </row>
    <row r="758" spans="1:72" x14ac:dyDescent="0.15">
      <c r="A758" t="s">
        <v>72</v>
      </c>
      <c r="B758" t="s">
        <v>14509</v>
      </c>
      <c r="C758" t="s">
        <v>74</v>
      </c>
      <c r="D758" t="s">
        <v>74</v>
      </c>
      <c r="E758" t="s">
        <v>74</v>
      </c>
      <c r="F758" t="s">
        <v>14510</v>
      </c>
      <c r="G758" t="s">
        <v>74</v>
      </c>
      <c r="H758" t="s">
        <v>74</v>
      </c>
      <c r="I758" t="s">
        <v>14511</v>
      </c>
      <c r="J758" t="s">
        <v>4759</v>
      </c>
      <c r="K758" t="s">
        <v>74</v>
      </c>
      <c r="L758" t="s">
        <v>74</v>
      </c>
      <c r="M758" t="s">
        <v>78</v>
      </c>
      <c r="N758" t="s">
        <v>79</v>
      </c>
      <c r="O758" t="s">
        <v>74</v>
      </c>
      <c r="P758" t="s">
        <v>74</v>
      </c>
      <c r="Q758" t="s">
        <v>74</v>
      </c>
      <c r="R758" t="s">
        <v>74</v>
      </c>
      <c r="S758" t="s">
        <v>74</v>
      </c>
      <c r="T758" t="s">
        <v>14512</v>
      </c>
      <c r="U758" t="s">
        <v>14513</v>
      </c>
      <c r="V758" t="s">
        <v>14514</v>
      </c>
      <c r="W758" t="s">
        <v>14515</v>
      </c>
      <c r="X758" t="s">
        <v>14516</v>
      </c>
      <c r="Y758" t="s">
        <v>14517</v>
      </c>
      <c r="Z758" t="s">
        <v>14518</v>
      </c>
      <c r="AA758" t="s">
        <v>14519</v>
      </c>
      <c r="AB758" t="s">
        <v>14520</v>
      </c>
      <c r="AC758" t="s">
        <v>14521</v>
      </c>
      <c r="AD758" t="s">
        <v>14522</v>
      </c>
      <c r="AE758" t="s">
        <v>14523</v>
      </c>
      <c r="AF758" t="s">
        <v>74</v>
      </c>
      <c r="AG758">
        <v>33</v>
      </c>
      <c r="AH758">
        <v>34</v>
      </c>
      <c r="AI758">
        <v>42</v>
      </c>
      <c r="AJ758">
        <v>1</v>
      </c>
      <c r="AK758">
        <v>64</v>
      </c>
      <c r="AL758" t="s">
        <v>92</v>
      </c>
      <c r="AM758" t="s">
        <v>550</v>
      </c>
      <c r="AN758" t="s">
        <v>4772</v>
      </c>
      <c r="AO758" t="s">
        <v>4773</v>
      </c>
      <c r="AP758" t="s">
        <v>4774</v>
      </c>
      <c r="AQ758" t="s">
        <v>74</v>
      </c>
      <c r="AR758" t="s">
        <v>4775</v>
      </c>
      <c r="AS758" t="s">
        <v>4776</v>
      </c>
      <c r="AT758" t="s">
        <v>13267</v>
      </c>
      <c r="AU758">
        <v>2015</v>
      </c>
      <c r="AV758">
        <v>38</v>
      </c>
      <c r="AW758">
        <v>7</v>
      </c>
      <c r="AX758" t="s">
        <v>74</v>
      </c>
      <c r="AY758" t="s">
        <v>74</v>
      </c>
      <c r="AZ758" t="s">
        <v>74</v>
      </c>
      <c r="BA758" t="s">
        <v>74</v>
      </c>
      <c r="BB758">
        <v>1081</v>
      </c>
      <c r="BC758">
        <v>1089</v>
      </c>
      <c r="BD758" t="s">
        <v>74</v>
      </c>
      <c r="BE758" t="s">
        <v>14524</v>
      </c>
      <c r="BF758" t="str">
        <f>HYPERLINK("http://dx.doi.org/10.1007/s00300-015-1662-7","http://dx.doi.org/10.1007/s00300-015-1662-7")</f>
        <v>http://dx.doi.org/10.1007/s00300-015-1662-7</v>
      </c>
      <c r="BG758" t="s">
        <v>74</v>
      </c>
      <c r="BH758" t="s">
        <v>74</v>
      </c>
      <c r="BI758">
        <v>9</v>
      </c>
      <c r="BJ758" t="s">
        <v>4778</v>
      </c>
      <c r="BK758" t="s">
        <v>101</v>
      </c>
      <c r="BL758" t="s">
        <v>3806</v>
      </c>
      <c r="BM758" t="s">
        <v>14459</v>
      </c>
      <c r="BN758" t="s">
        <v>74</v>
      </c>
      <c r="BO758" t="s">
        <v>74</v>
      </c>
      <c r="BP758" t="s">
        <v>74</v>
      </c>
      <c r="BQ758" t="s">
        <v>74</v>
      </c>
      <c r="BR758" t="s">
        <v>103</v>
      </c>
      <c r="BS758" t="s">
        <v>14525</v>
      </c>
      <c r="BT758" t="str">
        <f>HYPERLINK("https%3A%2F%2Fwww.webofscience.com%2Fwos%2Fwoscc%2Ffull-record%2FWOS:000356535300013","View Full Record in Web of Science")</f>
        <v>View Full Record in Web of Science</v>
      </c>
    </row>
    <row r="759" spans="1:72" x14ac:dyDescent="0.15">
      <c r="A759" t="s">
        <v>72</v>
      </c>
      <c r="B759" t="s">
        <v>14526</v>
      </c>
      <c r="C759" t="s">
        <v>74</v>
      </c>
      <c r="D759" t="s">
        <v>74</v>
      </c>
      <c r="E759" t="s">
        <v>74</v>
      </c>
      <c r="F759" t="s">
        <v>14527</v>
      </c>
      <c r="G759" t="s">
        <v>74</v>
      </c>
      <c r="H759" t="s">
        <v>74</v>
      </c>
      <c r="I759" t="s">
        <v>14528</v>
      </c>
      <c r="J759" t="s">
        <v>4759</v>
      </c>
      <c r="K759" t="s">
        <v>74</v>
      </c>
      <c r="L759" t="s">
        <v>74</v>
      </c>
      <c r="M759" t="s">
        <v>78</v>
      </c>
      <c r="N759" t="s">
        <v>79</v>
      </c>
      <c r="O759" t="s">
        <v>74</v>
      </c>
      <c r="P759" t="s">
        <v>74</v>
      </c>
      <c r="Q759" t="s">
        <v>74</v>
      </c>
      <c r="R759" t="s">
        <v>74</v>
      </c>
      <c r="S759" t="s">
        <v>74</v>
      </c>
      <c r="T759" t="s">
        <v>14529</v>
      </c>
      <c r="U759" t="s">
        <v>14530</v>
      </c>
      <c r="V759" t="s">
        <v>14531</v>
      </c>
      <c r="W759" t="s">
        <v>14532</v>
      </c>
      <c r="X759" t="s">
        <v>14533</v>
      </c>
      <c r="Y759" t="s">
        <v>14534</v>
      </c>
      <c r="Z759" t="s">
        <v>14535</v>
      </c>
      <c r="AA759" t="s">
        <v>14536</v>
      </c>
      <c r="AB759" t="s">
        <v>14537</v>
      </c>
      <c r="AC759" t="s">
        <v>14538</v>
      </c>
      <c r="AD759" t="s">
        <v>14539</v>
      </c>
      <c r="AE759" t="s">
        <v>14540</v>
      </c>
      <c r="AF759" t="s">
        <v>74</v>
      </c>
      <c r="AG759">
        <v>31</v>
      </c>
      <c r="AH759">
        <v>13</v>
      </c>
      <c r="AI759">
        <v>13</v>
      </c>
      <c r="AJ759">
        <v>1</v>
      </c>
      <c r="AK759">
        <v>38</v>
      </c>
      <c r="AL759" t="s">
        <v>92</v>
      </c>
      <c r="AM759" t="s">
        <v>550</v>
      </c>
      <c r="AN759" t="s">
        <v>4772</v>
      </c>
      <c r="AO759" t="s">
        <v>4773</v>
      </c>
      <c r="AP759" t="s">
        <v>4774</v>
      </c>
      <c r="AQ759" t="s">
        <v>74</v>
      </c>
      <c r="AR759" t="s">
        <v>4775</v>
      </c>
      <c r="AS759" t="s">
        <v>4776</v>
      </c>
      <c r="AT759" t="s">
        <v>13267</v>
      </c>
      <c r="AU759">
        <v>2015</v>
      </c>
      <c r="AV759">
        <v>38</v>
      </c>
      <c r="AW759">
        <v>7</v>
      </c>
      <c r="AX759" t="s">
        <v>74</v>
      </c>
      <c r="AY759" t="s">
        <v>74</v>
      </c>
      <c r="AZ759" t="s">
        <v>74</v>
      </c>
      <c r="BA759" t="s">
        <v>74</v>
      </c>
      <c r="BB759">
        <v>1091</v>
      </c>
      <c r="BC759">
        <v>1096</v>
      </c>
      <c r="BD759" t="s">
        <v>74</v>
      </c>
      <c r="BE759" t="s">
        <v>14541</v>
      </c>
      <c r="BF759" t="str">
        <f>HYPERLINK("http://dx.doi.org/10.1007/s00300-015-1668-1","http://dx.doi.org/10.1007/s00300-015-1668-1")</f>
        <v>http://dx.doi.org/10.1007/s00300-015-1668-1</v>
      </c>
      <c r="BG759" t="s">
        <v>74</v>
      </c>
      <c r="BH759" t="s">
        <v>74</v>
      </c>
      <c r="BI759">
        <v>6</v>
      </c>
      <c r="BJ759" t="s">
        <v>4778</v>
      </c>
      <c r="BK759" t="s">
        <v>101</v>
      </c>
      <c r="BL759" t="s">
        <v>3806</v>
      </c>
      <c r="BM759" t="s">
        <v>14459</v>
      </c>
      <c r="BN759" t="s">
        <v>74</v>
      </c>
      <c r="BO759" t="s">
        <v>74</v>
      </c>
      <c r="BP759" t="s">
        <v>74</v>
      </c>
      <c r="BQ759" t="s">
        <v>74</v>
      </c>
      <c r="BR759" t="s">
        <v>103</v>
      </c>
      <c r="BS759" t="s">
        <v>14542</v>
      </c>
      <c r="BT759" t="str">
        <f>HYPERLINK("https%3A%2F%2Fwww.webofscience.com%2Fwos%2Fwoscc%2Ffull-record%2FWOS:000356535300014","View Full Record in Web of Science")</f>
        <v>View Full Record in Web of Science</v>
      </c>
    </row>
    <row r="760" spans="1:72" x14ac:dyDescent="0.15">
      <c r="A760" t="s">
        <v>72</v>
      </c>
      <c r="B760" t="s">
        <v>14543</v>
      </c>
      <c r="C760" t="s">
        <v>74</v>
      </c>
      <c r="D760" t="s">
        <v>74</v>
      </c>
      <c r="E760" t="s">
        <v>74</v>
      </c>
      <c r="F760" t="s">
        <v>14544</v>
      </c>
      <c r="G760" t="s">
        <v>74</v>
      </c>
      <c r="H760" t="s">
        <v>74</v>
      </c>
      <c r="I760" t="s">
        <v>14545</v>
      </c>
      <c r="J760" t="s">
        <v>14546</v>
      </c>
      <c r="K760" t="s">
        <v>74</v>
      </c>
      <c r="L760" t="s">
        <v>74</v>
      </c>
      <c r="M760" t="s">
        <v>78</v>
      </c>
      <c r="N760" t="s">
        <v>79</v>
      </c>
      <c r="O760" t="s">
        <v>74</v>
      </c>
      <c r="P760" t="s">
        <v>74</v>
      </c>
      <c r="Q760" t="s">
        <v>74</v>
      </c>
      <c r="R760" t="s">
        <v>74</v>
      </c>
      <c r="S760" t="s">
        <v>74</v>
      </c>
      <c r="T760" t="s">
        <v>74</v>
      </c>
      <c r="U760" t="s">
        <v>74</v>
      </c>
      <c r="V760" t="s">
        <v>14547</v>
      </c>
      <c r="W760" t="s">
        <v>74</v>
      </c>
      <c r="X760" t="s">
        <v>74</v>
      </c>
      <c r="Y760" t="s">
        <v>74</v>
      </c>
      <c r="Z760" t="s">
        <v>74</v>
      </c>
      <c r="AA760" t="s">
        <v>74</v>
      </c>
      <c r="AB760" t="s">
        <v>74</v>
      </c>
      <c r="AC760" t="s">
        <v>74</v>
      </c>
      <c r="AD760" t="s">
        <v>74</v>
      </c>
      <c r="AE760" t="s">
        <v>74</v>
      </c>
      <c r="AF760" t="s">
        <v>74</v>
      </c>
      <c r="AG760">
        <v>0</v>
      </c>
      <c r="AH760">
        <v>1</v>
      </c>
      <c r="AI760">
        <v>2</v>
      </c>
      <c r="AJ760">
        <v>0</v>
      </c>
      <c r="AK760">
        <v>8</v>
      </c>
      <c r="AL760" t="s">
        <v>179</v>
      </c>
      <c r="AM760" t="s">
        <v>550</v>
      </c>
      <c r="AN760" t="s">
        <v>551</v>
      </c>
      <c r="AO760" t="s">
        <v>14548</v>
      </c>
      <c r="AP760" t="s">
        <v>74</v>
      </c>
      <c r="AQ760" t="s">
        <v>74</v>
      </c>
      <c r="AR760" t="s">
        <v>14549</v>
      </c>
      <c r="AS760" t="s">
        <v>14550</v>
      </c>
      <c r="AT760" t="s">
        <v>13267</v>
      </c>
      <c r="AU760">
        <v>2015</v>
      </c>
      <c r="AV760">
        <v>313</v>
      </c>
      <c r="AW760">
        <v>1</v>
      </c>
      <c r="AX760" t="s">
        <v>74</v>
      </c>
      <c r="AY760" t="s">
        <v>74</v>
      </c>
      <c r="AZ760" t="s">
        <v>74</v>
      </c>
      <c r="BA760" t="s">
        <v>74</v>
      </c>
      <c r="BB760">
        <v>46</v>
      </c>
      <c r="BC760">
        <v>53</v>
      </c>
      <c r="BD760" t="s">
        <v>74</v>
      </c>
      <c r="BE760" t="s">
        <v>14551</v>
      </c>
      <c r="BF760" t="str">
        <f>HYPERLINK("http://dx.doi.org/10.1038/scientificamerican0715-46","http://dx.doi.org/10.1038/scientificamerican0715-46")</f>
        <v>http://dx.doi.org/10.1038/scientificamerican0715-46</v>
      </c>
      <c r="BG760" t="s">
        <v>74</v>
      </c>
      <c r="BH760" t="s">
        <v>74</v>
      </c>
      <c r="BI760">
        <v>8</v>
      </c>
      <c r="BJ760" t="s">
        <v>530</v>
      </c>
      <c r="BK760" t="s">
        <v>101</v>
      </c>
      <c r="BL760" t="s">
        <v>531</v>
      </c>
      <c r="BM760" t="s">
        <v>14552</v>
      </c>
      <c r="BN760">
        <v>26204715</v>
      </c>
      <c r="BO760" t="s">
        <v>74</v>
      </c>
      <c r="BP760" t="s">
        <v>74</v>
      </c>
      <c r="BQ760" t="s">
        <v>74</v>
      </c>
      <c r="BR760" t="s">
        <v>103</v>
      </c>
      <c r="BS760" t="s">
        <v>14553</v>
      </c>
      <c r="BT760" t="str">
        <f>HYPERLINK("https%3A%2F%2Fwww.webofscience.com%2Fwos%2Fwoscc%2Ffull-record%2FWOS:000356632800030","View Full Record in Web of Science")</f>
        <v>View Full Record in Web of Science</v>
      </c>
    </row>
    <row r="761" spans="1:72" x14ac:dyDescent="0.15">
      <c r="A761" t="s">
        <v>72</v>
      </c>
      <c r="B761" t="s">
        <v>14554</v>
      </c>
      <c r="C761" t="s">
        <v>74</v>
      </c>
      <c r="D761" t="s">
        <v>74</v>
      </c>
      <c r="E761" t="s">
        <v>74</v>
      </c>
      <c r="F761" t="s">
        <v>14555</v>
      </c>
      <c r="G761" t="s">
        <v>74</v>
      </c>
      <c r="H761" t="s">
        <v>74</v>
      </c>
      <c r="I761" t="s">
        <v>14556</v>
      </c>
      <c r="J761" t="s">
        <v>14557</v>
      </c>
      <c r="K761" t="s">
        <v>74</v>
      </c>
      <c r="L761" t="s">
        <v>74</v>
      </c>
      <c r="M761" t="s">
        <v>78</v>
      </c>
      <c r="N761" t="s">
        <v>79</v>
      </c>
      <c r="O761" t="s">
        <v>74</v>
      </c>
      <c r="P761" t="s">
        <v>74</v>
      </c>
      <c r="Q761" t="s">
        <v>74</v>
      </c>
      <c r="R761" t="s">
        <v>74</v>
      </c>
      <c r="S761" t="s">
        <v>74</v>
      </c>
      <c r="T761" t="s">
        <v>74</v>
      </c>
      <c r="U761" t="s">
        <v>14558</v>
      </c>
      <c r="V761" t="s">
        <v>14559</v>
      </c>
      <c r="W761" t="s">
        <v>14560</v>
      </c>
      <c r="X761" t="s">
        <v>14561</v>
      </c>
      <c r="Y761" t="s">
        <v>14562</v>
      </c>
      <c r="Z761" t="s">
        <v>14563</v>
      </c>
      <c r="AA761" t="s">
        <v>14564</v>
      </c>
      <c r="AB761" t="s">
        <v>14565</v>
      </c>
      <c r="AC761" t="s">
        <v>14566</v>
      </c>
      <c r="AD761" t="s">
        <v>14567</v>
      </c>
      <c r="AE761" t="s">
        <v>14568</v>
      </c>
      <c r="AF761" t="s">
        <v>74</v>
      </c>
      <c r="AG761">
        <v>20</v>
      </c>
      <c r="AH761">
        <v>5</v>
      </c>
      <c r="AI761">
        <v>5</v>
      </c>
      <c r="AJ761">
        <v>0</v>
      </c>
      <c r="AK761">
        <v>11</v>
      </c>
      <c r="AL761" t="s">
        <v>92</v>
      </c>
      <c r="AM761" t="s">
        <v>93</v>
      </c>
      <c r="AN761" t="s">
        <v>94</v>
      </c>
      <c r="AO761" t="s">
        <v>14569</v>
      </c>
      <c r="AP761" t="s">
        <v>14570</v>
      </c>
      <c r="AQ761" t="s">
        <v>74</v>
      </c>
      <c r="AR761" t="s">
        <v>14571</v>
      </c>
      <c r="AS761" t="s">
        <v>14572</v>
      </c>
      <c r="AT761" t="s">
        <v>13267</v>
      </c>
      <c r="AU761">
        <v>2015</v>
      </c>
      <c r="AV761">
        <v>91</v>
      </c>
      <c r="AW761">
        <v>3</v>
      </c>
      <c r="AX761" t="s">
        <v>74</v>
      </c>
      <c r="AY761" t="s">
        <v>74</v>
      </c>
      <c r="AZ761" t="s">
        <v>74</v>
      </c>
      <c r="BA761" t="s">
        <v>74</v>
      </c>
      <c r="BB761">
        <v>203</v>
      </c>
      <c r="BC761">
        <v>210</v>
      </c>
      <c r="BD761" t="s">
        <v>74</v>
      </c>
      <c r="BE761" t="s">
        <v>14573</v>
      </c>
      <c r="BF761" t="str">
        <f>HYPERLINK("http://dx.doi.org/10.1007/s11230-015-9570-3","http://dx.doi.org/10.1007/s11230-015-9570-3")</f>
        <v>http://dx.doi.org/10.1007/s11230-015-9570-3</v>
      </c>
      <c r="BG761" t="s">
        <v>74</v>
      </c>
      <c r="BH761" t="s">
        <v>74</v>
      </c>
      <c r="BI761">
        <v>8</v>
      </c>
      <c r="BJ761" t="s">
        <v>11704</v>
      </c>
      <c r="BK761" t="s">
        <v>101</v>
      </c>
      <c r="BL761" t="s">
        <v>11704</v>
      </c>
      <c r="BM761" t="s">
        <v>14574</v>
      </c>
      <c r="BN761">
        <v>26063298</v>
      </c>
      <c r="BO761" t="s">
        <v>74</v>
      </c>
      <c r="BP761" t="s">
        <v>74</v>
      </c>
      <c r="BQ761" t="s">
        <v>74</v>
      </c>
      <c r="BR761" t="s">
        <v>103</v>
      </c>
      <c r="BS761" t="s">
        <v>14575</v>
      </c>
      <c r="BT761" t="str">
        <f>HYPERLINK("https%3A%2F%2Fwww.webofscience.com%2Fwos%2Fwoscc%2Ffull-record%2FWOS:000355980400002","View Full Record in Web of Science")</f>
        <v>View Full Record in Web of Science</v>
      </c>
    </row>
    <row r="762" spans="1:72" x14ac:dyDescent="0.15">
      <c r="A762" t="s">
        <v>72</v>
      </c>
      <c r="B762" t="s">
        <v>14576</v>
      </c>
      <c r="C762" t="s">
        <v>74</v>
      </c>
      <c r="D762" t="s">
        <v>74</v>
      </c>
      <c r="E762" t="s">
        <v>74</v>
      </c>
      <c r="F762" t="s">
        <v>14577</v>
      </c>
      <c r="G762" t="s">
        <v>74</v>
      </c>
      <c r="H762" t="s">
        <v>74</v>
      </c>
      <c r="I762" t="s">
        <v>14578</v>
      </c>
      <c r="J762" t="s">
        <v>971</v>
      </c>
      <c r="K762" t="s">
        <v>74</v>
      </c>
      <c r="L762" t="s">
        <v>74</v>
      </c>
      <c r="M762" t="s">
        <v>78</v>
      </c>
      <c r="N762" t="s">
        <v>79</v>
      </c>
      <c r="O762" t="s">
        <v>74</v>
      </c>
      <c r="P762" t="s">
        <v>74</v>
      </c>
      <c r="Q762" t="s">
        <v>74</v>
      </c>
      <c r="R762" t="s">
        <v>74</v>
      </c>
      <c r="S762" t="s">
        <v>74</v>
      </c>
      <c r="T762" t="s">
        <v>14579</v>
      </c>
      <c r="U762" t="s">
        <v>14580</v>
      </c>
      <c r="V762" t="s">
        <v>14581</v>
      </c>
      <c r="W762" t="s">
        <v>14582</v>
      </c>
      <c r="X762" t="s">
        <v>14583</v>
      </c>
      <c r="Y762" t="s">
        <v>14584</v>
      </c>
      <c r="Z762" t="s">
        <v>14585</v>
      </c>
      <c r="AA762" t="s">
        <v>74</v>
      </c>
      <c r="AB762" t="s">
        <v>74</v>
      </c>
      <c r="AC762" t="s">
        <v>14586</v>
      </c>
      <c r="AD762" t="s">
        <v>14587</v>
      </c>
      <c r="AE762" t="s">
        <v>14588</v>
      </c>
      <c r="AF762" t="s">
        <v>74</v>
      </c>
      <c r="AG762">
        <v>75</v>
      </c>
      <c r="AH762">
        <v>8</v>
      </c>
      <c r="AI762">
        <v>8</v>
      </c>
      <c r="AJ762">
        <v>0</v>
      </c>
      <c r="AK762">
        <v>41</v>
      </c>
      <c r="AL762" t="s">
        <v>883</v>
      </c>
      <c r="AM762" t="s">
        <v>884</v>
      </c>
      <c r="AN762" t="s">
        <v>885</v>
      </c>
      <c r="AO762" t="s">
        <v>984</v>
      </c>
      <c r="AP762" t="s">
        <v>985</v>
      </c>
      <c r="AQ762" t="s">
        <v>74</v>
      </c>
      <c r="AR762" t="s">
        <v>986</v>
      </c>
      <c r="AS762" t="s">
        <v>987</v>
      </c>
      <c r="AT762" t="s">
        <v>13267</v>
      </c>
      <c r="AU762">
        <v>2015</v>
      </c>
      <c r="AV762">
        <v>468</v>
      </c>
      <c r="AW762" t="s">
        <v>74</v>
      </c>
      <c r="AX762" t="s">
        <v>74</v>
      </c>
      <c r="AY762" t="s">
        <v>74</v>
      </c>
      <c r="AZ762" t="s">
        <v>74</v>
      </c>
      <c r="BA762" t="s">
        <v>74</v>
      </c>
      <c r="BB762">
        <v>118</v>
      </c>
      <c r="BC762">
        <v>129</v>
      </c>
      <c r="BD762" t="s">
        <v>74</v>
      </c>
      <c r="BE762" t="s">
        <v>14589</v>
      </c>
      <c r="BF762" t="str">
        <f>HYPERLINK("http://dx.doi.org/10.1016/j.jembe.2015.04.005","http://dx.doi.org/10.1016/j.jembe.2015.04.005")</f>
        <v>http://dx.doi.org/10.1016/j.jembe.2015.04.005</v>
      </c>
      <c r="BG762" t="s">
        <v>74</v>
      </c>
      <c r="BH762" t="s">
        <v>74</v>
      </c>
      <c r="BI762">
        <v>12</v>
      </c>
      <c r="BJ762" t="s">
        <v>989</v>
      </c>
      <c r="BK762" t="s">
        <v>101</v>
      </c>
      <c r="BL762" t="s">
        <v>990</v>
      </c>
      <c r="BM762" t="s">
        <v>14590</v>
      </c>
      <c r="BN762" t="s">
        <v>74</v>
      </c>
      <c r="BO762" t="s">
        <v>74</v>
      </c>
      <c r="BP762" t="s">
        <v>74</v>
      </c>
      <c r="BQ762" t="s">
        <v>74</v>
      </c>
      <c r="BR762" t="s">
        <v>103</v>
      </c>
      <c r="BS762" t="s">
        <v>14591</v>
      </c>
      <c r="BT762" t="str">
        <f>HYPERLINK("https%3A%2F%2Fwww.webofscience.com%2Fwos%2Fwoscc%2Ffull-record%2FWOS:000355774300014","View Full Record in Web of Science")</f>
        <v>View Full Record in Web of Science</v>
      </c>
    </row>
    <row r="763" spans="1:72" x14ac:dyDescent="0.15">
      <c r="A763" t="s">
        <v>72</v>
      </c>
      <c r="B763" t="s">
        <v>14592</v>
      </c>
      <c r="C763" t="s">
        <v>74</v>
      </c>
      <c r="D763" t="s">
        <v>74</v>
      </c>
      <c r="E763" t="s">
        <v>74</v>
      </c>
      <c r="F763" t="s">
        <v>14593</v>
      </c>
      <c r="G763" t="s">
        <v>74</v>
      </c>
      <c r="H763" t="s">
        <v>74</v>
      </c>
      <c r="I763" t="s">
        <v>14594</v>
      </c>
      <c r="J763" t="s">
        <v>4716</v>
      </c>
      <c r="K763" t="s">
        <v>74</v>
      </c>
      <c r="L763" t="s">
        <v>74</v>
      </c>
      <c r="M763" t="s">
        <v>78</v>
      </c>
      <c r="N763" t="s">
        <v>79</v>
      </c>
      <c r="O763" t="s">
        <v>74</v>
      </c>
      <c r="P763" t="s">
        <v>74</v>
      </c>
      <c r="Q763" t="s">
        <v>74</v>
      </c>
      <c r="R763" t="s">
        <v>74</v>
      </c>
      <c r="S763" t="s">
        <v>74</v>
      </c>
      <c r="T763" t="s">
        <v>14595</v>
      </c>
      <c r="U763" t="s">
        <v>14596</v>
      </c>
      <c r="V763" t="s">
        <v>14597</v>
      </c>
      <c r="W763" t="s">
        <v>14598</v>
      </c>
      <c r="X763" t="s">
        <v>14599</v>
      </c>
      <c r="Y763" t="s">
        <v>14600</v>
      </c>
      <c r="Z763" t="s">
        <v>14601</v>
      </c>
      <c r="AA763" t="s">
        <v>14602</v>
      </c>
      <c r="AB763" t="s">
        <v>14603</v>
      </c>
      <c r="AC763" t="s">
        <v>14604</v>
      </c>
      <c r="AD763" t="s">
        <v>14605</v>
      </c>
      <c r="AE763" t="s">
        <v>14606</v>
      </c>
      <c r="AF763" t="s">
        <v>74</v>
      </c>
      <c r="AG763">
        <v>72</v>
      </c>
      <c r="AH763">
        <v>9</v>
      </c>
      <c r="AI763">
        <v>10</v>
      </c>
      <c r="AJ763">
        <v>1</v>
      </c>
      <c r="AK763">
        <v>22</v>
      </c>
      <c r="AL763" t="s">
        <v>883</v>
      </c>
      <c r="AM763" t="s">
        <v>884</v>
      </c>
      <c r="AN763" t="s">
        <v>885</v>
      </c>
      <c r="AO763" t="s">
        <v>4729</v>
      </c>
      <c r="AP763" t="s">
        <v>4730</v>
      </c>
      <c r="AQ763" t="s">
        <v>74</v>
      </c>
      <c r="AR763" t="s">
        <v>4731</v>
      </c>
      <c r="AS763" t="s">
        <v>4732</v>
      </c>
      <c r="AT763" t="s">
        <v>13421</v>
      </c>
      <c r="AU763">
        <v>2015</v>
      </c>
      <c r="AV763">
        <v>429</v>
      </c>
      <c r="AW763" t="s">
        <v>74</v>
      </c>
      <c r="AX763" t="s">
        <v>74</v>
      </c>
      <c r="AY763" t="s">
        <v>74</v>
      </c>
      <c r="AZ763" t="s">
        <v>74</v>
      </c>
      <c r="BA763" t="s">
        <v>74</v>
      </c>
      <c r="BB763">
        <v>72</v>
      </c>
      <c r="BC763">
        <v>82</v>
      </c>
      <c r="BD763" t="s">
        <v>74</v>
      </c>
      <c r="BE763" t="s">
        <v>14607</v>
      </c>
      <c r="BF763" t="str">
        <f>HYPERLINK("http://dx.doi.org/10.1016/j.palaeo.2015.03.045","http://dx.doi.org/10.1016/j.palaeo.2015.03.045")</f>
        <v>http://dx.doi.org/10.1016/j.palaeo.2015.03.045</v>
      </c>
      <c r="BG763" t="s">
        <v>74</v>
      </c>
      <c r="BH763" t="s">
        <v>74</v>
      </c>
      <c r="BI763">
        <v>11</v>
      </c>
      <c r="BJ763" t="s">
        <v>4734</v>
      </c>
      <c r="BK763" t="s">
        <v>101</v>
      </c>
      <c r="BL763" t="s">
        <v>4735</v>
      </c>
      <c r="BM763" t="s">
        <v>14608</v>
      </c>
      <c r="BN763" t="s">
        <v>74</v>
      </c>
      <c r="BO763" t="s">
        <v>74</v>
      </c>
      <c r="BP763" t="s">
        <v>74</v>
      </c>
      <c r="BQ763" t="s">
        <v>74</v>
      </c>
      <c r="BR763" t="s">
        <v>103</v>
      </c>
      <c r="BS763" t="s">
        <v>14609</v>
      </c>
      <c r="BT763" t="str">
        <f>HYPERLINK("https%3A%2F%2Fwww.webofscience.com%2Fwos%2Fwoscc%2Ffull-record%2FWOS:000355355100007","View Full Record in Web of Science")</f>
        <v>View Full Record in Web of Science</v>
      </c>
    </row>
    <row r="764" spans="1:72" x14ac:dyDescent="0.15">
      <c r="A764" t="s">
        <v>72</v>
      </c>
      <c r="B764" t="s">
        <v>14610</v>
      </c>
      <c r="C764" t="s">
        <v>74</v>
      </c>
      <c r="D764" t="s">
        <v>74</v>
      </c>
      <c r="E764" t="s">
        <v>74</v>
      </c>
      <c r="F764" t="s">
        <v>14611</v>
      </c>
      <c r="G764" t="s">
        <v>74</v>
      </c>
      <c r="H764" t="s">
        <v>74</v>
      </c>
      <c r="I764" t="s">
        <v>14612</v>
      </c>
      <c r="J764" t="s">
        <v>14613</v>
      </c>
      <c r="K764" t="s">
        <v>74</v>
      </c>
      <c r="L764" t="s">
        <v>74</v>
      </c>
      <c r="M764" t="s">
        <v>78</v>
      </c>
      <c r="N764" t="s">
        <v>581</v>
      </c>
      <c r="O764" t="s">
        <v>74</v>
      </c>
      <c r="P764" t="s">
        <v>74</v>
      </c>
      <c r="Q764" t="s">
        <v>74</v>
      </c>
      <c r="R764" t="s">
        <v>74</v>
      </c>
      <c r="S764" t="s">
        <v>74</v>
      </c>
      <c r="T764" t="s">
        <v>74</v>
      </c>
      <c r="U764" t="s">
        <v>14614</v>
      </c>
      <c r="V764" t="s">
        <v>14615</v>
      </c>
      <c r="W764" t="s">
        <v>14616</v>
      </c>
      <c r="X764" t="s">
        <v>14617</v>
      </c>
      <c r="Y764" t="s">
        <v>14618</v>
      </c>
      <c r="Z764" t="s">
        <v>14619</v>
      </c>
      <c r="AA764" t="s">
        <v>74</v>
      </c>
      <c r="AB764" t="s">
        <v>14620</v>
      </c>
      <c r="AC764" t="s">
        <v>14621</v>
      </c>
      <c r="AD764" t="s">
        <v>14622</v>
      </c>
      <c r="AE764" t="s">
        <v>14623</v>
      </c>
      <c r="AF764" t="s">
        <v>74</v>
      </c>
      <c r="AG764">
        <v>121</v>
      </c>
      <c r="AH764">
        <v>24</v>
      </c>
      <c r="AI764">
        <v>27</v>
      </c>
      <c r="AJ764">
        <v>2</v>
      </c>
      <c r="AK764">
        <v>41</v>
      </c>
      <c r="AL764" t="s">
        <v>208</v>
      </c>
      <c r="AM764" t="s">
        <v>209</v>
      </c>
      <c r="AN764" t="s">
        <v>210</v>
      </c>
      <c r="AO764" t="s">
        <v>14624</v>
      </c>
      <c r="AP764" t="s">
        <v>14625</v>
      </c>
      <c r="AQ764" t="s">
        <v>74</v>
      </c>
      <c r="AR764" t="s">
        <v>14626</v>
      </c>
      <c r="AS764" t="s">
        <v>14627</v>
      </c>
      <c r="AT764" t="s">
        <v>13267</v>
      </c>
      <c r="AU764">
        <v>2015</v>
      </c>
      <c r="AV764">
        <v>40</v>
      </c>
      <c r="AW764">
        <v>3</v>
      </c>
      <c r="AX764" t="s">
        <v>74</v>
      </c>
      <c r="AY764" t="s">
        <v>74</v>
      </c>
      <c r="AZ764" t="s">
        <v>74</v>
      </c>
      <c r="BA764" t="s">
        <v>74</v>
      </c>
      <c r="BB764">
        <v>491</v>
      </c>
      <c r="BC764">
        <v>519</v>
      </c>
      <c r="BD764" t="s">
        <v>74</v>
      </c>
      <c r="BE764" t="s">
        <v>14628</v>
      </c>
      <c r="BF764" t="str">
        <f>HYPERLINK("http://dx.doi.org/10.1111/syen.12117","http://dx.doi.org/10.1111/syen.12117")</f>
        <v>http://dx.doi.org/10.1111/syen.12117</v>
      </c>
      <c r="BG764" t="s">
        <v>74</v>
      </c>
      <c r="BH764" t="s">
        <v>74</v>
      </c>
      <c r="BI764">
        <v>29</v>
      </c>
      <c r="BJ764" t="s">
        <v>14629</v>
      </c>
      <c r="BK764" t="s">
        <v>101</v>
      </c>
      <c r="BL764" t="s">
        <v>14629</v>
      </c>
      <c r="BM764" t="s">
        <v>14630</v>
      </c>
      <c r="BN764" t="s">
        <v>74</v>
      </c>
      <c r="BO764" t="s">
        <v>74</v>
      </c>
      <c r="BP764" t="s">
        <v>74</v>
      </c>
      <c r="BQ764" t="s">
        <v>74</v>
      </c>
      <c r="BR764" t="s">
        <v>103</v>
      </c>
      <c r="BS764" t="s">
        <v>14631</v>
      </c>
      <c r="BT764" t="str">
        <f>HYPERLINK("https%3A%2F%2Fwww.webofscience.com%2Fwos%2Fwoscc%2Ffull-record%2FWOS:000355701300001","View Full Record in Web of Science")</f>
        <v>View Full Record in Web of Science</v>
      </c>
    </row>
    <row r="765" spans="1:72" x14ac:dyDescent="0.15">
      <c r="A765" t="s">
        <v>72</v>
      </c>
      <c r="B765" t="s">
        <v>14632</v>
      </c>
      <c r="C765" t="s">
        <v>74</v>
      </c>
      <c r="D765" t="s">
        <v>74</v>
      </c>
      <c r="E765" t="s">
        <v>74</v>
      </c>
      <c r="F765" t="s">
        <v>14633</v>
      </c>
      <c r="G765" t="s">
        <v>74</v>
      </c>
      <c r="H765" t="s">
        <v>74</v>
      </c>
      <c r="I765" t="s">
        <v>14634</v>
      </c>
      <c r="J765" t="s">
        <v>2994</v>
      </c>
      <c r="K765" t="s">
        <v>74</v>
      </c>
      <c r="L765" t="s">
        <v>74</v>
      </c>
      <c r="M765" t="s">
        <v>78</v>
      </c>
      <c r="N765" t="s">
        <v>79</v>
      </c>
      <c r="O765" t="s">
        <v>74</v>
      </c>
      <c r="P765" t="s">
        <v>74</v>
      </c>
      <c r="Q765" t="s">
        <v>74</v>
      </c>
      <c r="R765" t="s">
        <v>74</v>
      </c>
      <c r="S765" t="s">
        <v>74</v>
      </c>
      <c r="T765" t="s">
        <v>14635</v>
      </c>
      <c r="U765" t="s">
        <v>14636</v>
      </c>
      <c r="V765" t="s">
        <v>14637</v>
      </c>
      <c r="W765" t="s">
        <v>14638</v>
      </c>
      <c r="X765" t="s">
        <v>14639</v>
      </c>
      <c r="Y765" t="s">
        <v>14640</v>
      </c>
      <c r="Z765" t="s">
        <v>14641</v>
      </c>
      <c r="AA765" t="s">
        <v>14642</v>
      </c>
      <c r="AB765" t="s">
        <v>14643</v>
      </c>
      <c r="AC765" t="s">
        <v>14644</v>
      </c>
      <c r="AD765" t="s">
        <v>14645</v>
      </c>
      <c r="AE765" t="s">
        <v>14646</v>
      </c>
      <c r="AF765" t="s">
        <v>74</v>
      </c>
      <c r="AG765">
        <v>82</v>
      </c>
      <c r="AH765">
        <v>27</v>
      </c>
      <c r="AI765">
        <v>32</v>
      </c>
      <c r="AJ765">
        <v>0</v>
      </c>
      <c r="AK765">
        <v>9</v>
      </c>
      <c r="AL765" t="s">
        <v>208</v>
      </c>
      <c r="AM765" t="s">
        <v>209</v>
      </c>
      <c r="AN765" t="s">
        <v>210</v>
      </c>
      <c r="AO765" t="s">
        <v>3007</v>
      </c>
      <c r="AP765" t="s">
        <v>3008</v>
      </c>
      <c r="AQ765" t="s">
        <v>74</v>
      </c>
      <c r="AR765" t="s">
        <v>3009</v>
      </c>
      <c r="AS765" t="s">
        <v>3010</v>
      </c>
      <c r="AT765" t="s">
        <v>13267</v>
      </c>
      <c r="AU765">
        <v>2015</v>
      </c>
      <c r="AV765">
        <v>102</v>
      </c>
      <c r="AW765">
        <v>7</v>
      </c>
      <c r="AX765" t="s">
        <v>74</v>
      </c>
      <c r="AY765" t="s">
        <v>74</v>
      </c>
      <c r="AZ765" t="s">
        <v>74</v>
      </c>
      <c r="BA765" t="s">
        <v>74</v>
      </c>
      <c r="BB765">
        <v>1160</v>
      </c>
      <c r="BC765">
        <v>1173</v>
      </c>
      <c r="BD765" t="s">
        <v>74</v>
      </c>
      <c r="BE765" t="s">
        <v>14647</v>
      </c>
      <c r="BF765" t="str">
        <f>HYPERLINK("http://dx.doi.org/10.3732/ajb.1500159","http://dx.doi.org/10.3732/ajb.1500159")</f>
        <v>http://dx.doi.org/10.3732/ajb.1500159</v>
      </c>
      <c r="BG765" t="s">
        <v>74</v>
      </c>
      <c r="BH765" t="s">
        <v>74</v>
      </c>
      <c r="BI765">
        <v>14</v>
      </c>
      <c r="BJ765" t="s">
        <v>429</v>
      </c>
      <c r="BK765" t="s">
        <v>101</v>
      </c>
      <c r="BL765" t="s">
        <v>429</v>
      </c>
      <c r="BM765" t="s">
        <v>14648</v>
      </c>
      <c r="BN765">
        <v>26199371</v>
      </c>
      <c r="BO765" t="s">
        <v>4189</v>
      </c>
      <c r="BP765" t="s">
        <v>74</v>
      </c>
      <c r="BQ765" t="s">
        <v>74</v>
      </c>
      <c r="BR765" t="s">
        <v>103</v>
      </c>
      <c r="BS765" t="s">
        <v>14649</v>
      </c>
      <c r="BT765" t="str">
        <f>HYPERLINK("https%3A%2F%2Fwww.webofscience.com%2Fwos%2Fwoscc%2Ffull-record%2FWOS:000358275800013","View Full Record in Web of Science")</f>
        <v>View Full Record in Web of Science</v>
      </c>
    </row>
    <row r="766" spans="1:72" x14ac:dyDescent="0.15">
      <c r="A766" t="s">
        <v>72</v>
      </c>
      <c r="B766" t="s">
        <v>14650</v>
      </c>
      <c r="C766" t="s">
        <v>74</v>
      </c>
      <c r="D766" t="s">
        <v>74</v>
      </c>
      <c r="E766" t="s">
        <v>74</v>
      </c>
      <c r="F766" t="s">
        <v>14651</v>
      </c>
      <c r="G766" t="s">
        <v>74</v>
      </c>
      <c r="H766" t="s">
        <v>74</v>
      </c>
      <c r="I766" t="s">
        <v>14652</v>
      </c>
      <c r="J766" t="s">
        <v>2881</v>
      </c>
      <c r="K766" t="s">
        <v>74</v>
      </c>
      <c r="L766" t="s">
        <v>74</v>
      </c>
      <c r="M766" t="s">
        <v>78</v>
      </c>
      <c r="N766" t="s">
        <v>79</v>
      </c>
      <c r="O766" t="s">
        <v>74</v>
      </c>
      <c r="P766" t="s">
        <v>74</v>
      </c>
      <c r="Q766" t="s">
        <v>74</v>
      </c>
      <c r="R766" t="s">
        <v>74</v>
      </c>
      <c r="S766" t="s">
        <v>74</v>
      </c>
      <c r="T766" t="s">
        <v>14653</v>
      </c>
      <c r="U766" t="s">
        <v>14654</v>
      </c>
      <c r="V766" t="s">
        <v>14655</v>
      </c>
      <c r="W766" t="s">
        <v>14656</v>
      </c>
      <c r="X766" t="s">
        <v>14657</v>
      </c>
      <c r="Y766" t="s">
        <v>14658</v>
      </c>
      <c r="Z766" t="s">
        <v>14659</v>
      </c>
      <c r="AA766" t="s">
        <v>14660</v>
      </c>
      <c r="AB766" t="s">
        <v>14661</v>
      </c>
      <c r="AC766" t="s">
        <v>14662</v>
      </c>
      <c r="AD766" t="s">
        <v>14663</v>
      </c>
      <c r="AE766" t="s">
        <v>14664</v>
      </c>
      <c r="AF766" t="s">
        <v>74</v>
      </c>
      <c r="AG766">
        <v>46</v>
      </c>
      <c r="AH766">
        <v>25</v>
      </c>
      <c r="AI766">
        <v>26</v>
      </c>
      <c r="AJ766">
        <v>0</v>
      </c>
      <c r="AK766">
        <v>7</v>
      </c>
      <c r="AL766" t="s">
        <v>2894</v>
      </c>
      <c r="AM766" t="s">
        <v>2895</v>
      </c>
      <c r="AN766" t="s">
        <v>2896</v>
      </c>
      <c r="AO766" t="s">
        <v>2897</v>
      </c>
      <c r="AP766" t="s">
        <v>2898</v>
      </c>
      <c r="AQ766" t="s">
        <v>74</v>
      </c>
      <c r="AR766" t="s">
        <v>2899</v>
      </c>
      <c r="AS766" t="s">
        <v>2900</v>
      </c>
      <c r="AT766" t="s">
        <v>13421</v>
      </c>
      <c r="AU766">
        <v>2015</v>
      </c>
      <c r="AV766">
        <v>807</v>
      </c>
      <c r="AW766">
        <v>1</v>
      </c>
      <c r="AX766" t="s">
        <v>74</v>
      </c>
      <c r="AY766" t="s">
        <v>74</v>
      </c>
      <c r="AZ766" t="s">
        <v>74</v>
      </c>
      <c r="BA766" t="s">
        <v>74</v>
      </c>
      <c r="BB766" t="s">
        <v>74</v>
      </c>
      <c r="BC766" t="s">
        <v>74</v>
      </c>
      <c r="BD766">
        <v>92</v>
      </c>
      <c r="BE766" t="s">
        <v>14665</v>
      </c>
      <c r="BF766" t="str">
        <f>HYPERLINK("http://dx.doi.org/10.1088/0004-637X/807/1/92","http://dx.doi.org/10.1088/0004-637X/807/1/92")</f>
        <v>http://dx.doi.org/10.1088/0004-637X/807/1/92</v>
      </c>
      <c r="BG766" t="s">
        <v>74</v>
      </c>
      <c r="BH766" t="s">
        <v>74</v>
      </c>
      <c r="BI766">
        <v>7</v>
      </c>
      <c r="BJ766" t="s">
        <v>378</v>
      </c>
      <c r="BK766" t="s">
        <v>101</v>
      </c>
      <c r="BL766" t="s">
        <v>378</v>
      </c>
      <c r="BM766" t="s">
        <v>14666</v>
      </c>
      <c r="BN766" t="s">
        <v>74</v>
      </c>
      <c r="BO766" t="s">
        <v>1073</v>
      </c>
      <c r="BP766" t="s">
        <v>74</v>
      </c>
      <c r="BQ766" t="s">
        <v>74</v>
      </c>
      <c r="BR766" t="s">
        <v>103</v>
      </c>
      <c r="BS766" t="s">
        <v>14667</v>
      </c>
      <c r="BT766" t="str">
        <f>HYPERLINK("https%3A%2F%2Fwww.webofscience.com%2Fwos%2Fwoscc%2Ffull-record%2FWOS:000358945200092","View Full Record in Web of Science")</f>
        <v>View Full Record in Web of Science</v>
      </c>
    </row>
    <row r="767" spans="1:72" x14ac:dyDescent="0.15">
      <c r="A767" t="s">
        <v>72</v>
      </c>
      <c r="B767" t="s">
        <v>14668</v>
      </c>
      <c r="C767" t="s">
        <v>74</v>
      </c>
      <c r="D767" t="s">
        <v>74</v>
      </c>
      <c r="E767" t="s">
        <v>74</v>
      </c>
      <c r="F767" t="s">
        <v>14669</v>
      </c>
      <c r="G767" t="s">
        <v>74</v>
      </c>
      <c r="H767" t="s">
        <v>74</v>
      </c>
      <c r="I767" t="s">
        <v>14670</v>
      </c>
      <c r="J767" t="s">
        <v>6743</v>
      </c>
      <c r="K767" t="s">
        <v>74</v>
      </c>
      <c r="L767" t="s">
        <v>74</v>
      </c>
      <c r="M767" t="s">
        <v>78</v>
      </c>
      <c r="N767" t="s">
        <v>79</v>
      </c>
      <c r="O767" t="s">
        <v>74</v>
      </c>
      <c r="P767" t="s">
        <v>74</v>
      </c>
      <c r="Q767" t="s">
        <v>74</v>
      </c>
      <c r="R767" t="s">
        <v>74</v>
      </c>
      <c r="S767" t="s">
        <v>74</v>
      </c>
      <c r="T767" t="s">
        <v>74</v>
      </c>
      <c r="U767" t="s">
        <v>14671</v>
      </c>
      <c r="V767" t="s">
        <v>14672</v>
      </c>
      <c r="W767" t="s">
        <v>14673</v>
      </c>
      <c r="X767" t="s">
        <v>14674</v>
      </c>
      <c r="Y767" t="s">
        <v>74</v>
      </c>
      <c r="Z767" t="s">
        <v>74</v>
      </c>
      <c r="AA767" t="s">
        <v>14675</v>
      </c>
      <c r="AB767" t="s">
        <v>14676</v>
      </c>
      <c r="AC767" t="s">
        <v>14677</v>
      </c>
      <c r="AD767" t="s">
        <v>14678</v>
      </c>
      <c r="AE767" t="s">
        <v>74</v>
      </c>
      <c r="AF767" t="s">
        <v>74</v>
      </c>
      <c r="AG767">
        <v>746</v>
      </c>
      <c r="AH767">
        <v>141</v>
      </c>
      <c r="AI767">
        <v>169</v>
      </c>
      <c r="AJ767">
        <v>5</v>
      </c>
      <c r="AK767">
        <v>305</v>
      </c>
      <c r="AL767" t="s">
        <v>263</v>
      </c>
      <c r="AM767" t="s">
        <v>264</v>
      </c>
      <c r="AN767" t="s">
        <v>10653</v>
      </c>
      <c r="AO767" t="s">
        <v>6755</v>
      </c>
      <c r="AP767" t="s">
        <v>6756</v>
      </c>
      <c r="AQ767" t="s">
        <v>74</v>
      </c>
      <c r="AR767" t="s">
        <v>6757</v>
      </c>
      <c r="AS767" t="s">
        <v>6758</v>
      </c>
      <c r="AT767" t="s">
        <v>13267</v>
      </c>
      <c r="AU767">
        <v>2015</v>
      </c>
      <c r="AV767">
        <v>96</v>
      </c>
      <c r="AW767">
        <v>7</v>
      </c>
      <c r="AX767" t="s">
        <v>74</v>
      </c>
      <c r="AY767" t="s">
        <v>74</v>
      </c>
      <c r="AZ767" t="s">
        <v>74</v>
      </c>
      <c r="BA767" t="s">
        <v>74</v>
      </c>
      <c r="BB767" t="s">
        <v>14679</v>
      </c>
      <c r="BC767" t="s">
        <v>14680</v>
      </c>
      <c r="BD767" t="s">
        <v>74</v>
      </c>
      <c r="BE767" t="s">
        <v>14681</v>
      </c>
      <c r="BF767" t="str">
        <f>HYPERLINK("http://dx.doi.org/10.1175/2015BAMSStateoftheClimate.1","http://dx.doi.org/10.1175/2015BAMSStateoftheClimate.1")</f>
        <v>http://dx.doi.org/10.1175/2015BAMSStateoftheClimate.1</v>
      </c>
      <c r="BG767" t="s">
        <v>74</v>
      </c>
      <c r="BH767" t="s">
        <v>74</v>
      </c>
      <c r="BI767">
        <v>267</v>
      </c>
      <c r="BJ767" t="s">
        <v>271</v>
      </c>
      <c r="BK767" t="s">
        <v>101</v>
      </c>
      <c r="BL767" t="s">
        <v>271</v>
      </c>
      <c r="BM767" t="s">
        <v>14682</v>
      </c>
      <c r="BN767" t="s">
        <v>74</v>
      </c>
      <c r="BO767" t="s">
        <v>14683</v>
      </c>
      <c r="BP767" t="s">
        <v>74</v>
      </c>
      <c r="BQ767" t="s">
        <v>74</v>
      </c>
      <c r="BR767" t="s">
        <v>103</v>
      </c>
      <c r="BS767" t="s">
        <v>14684</v>
      </c>
      <c r="BT767" t="str">
        <f>HYPERLINK("https%3A%2F%2Fwww.webofscience.com%2Fwos%2Fwoscc%2Ffull-record%2FWOS:000359855100001","View Full Record in Web of Science")</f>
        <v>View Full Record in Web of Science</v>
      </c>
    </row>
    <row r="768" spans="1:72" x14ac:dyDescent="0.15">
      <c r="A768" t="s">
        <v>72</v>
      </c>
      <c r="B768" t="s">
        <v>14685</v>
      </c>
      <c r="C768" t="s">
        <v>74</v>
      </c>
      <c r="D768" t="s">
        <v>74</v>
      </c>
      <c r="E768" t="s">
        <v>74</v>
      </c>
      <c r="F768" t="s">
        <v>14686</v>
      </c>
      <c r="G768" t="s">
        <v>74</v>
      </c>
      <c r="H768" t="s">
        <v>74</v>
      </c>
      <c r="I768" t="s">
        <v>14687</v>
      </c>
      <c r="J768" t="s">
        <v>8770</v>
      </c>
      <c r="K768" t="s">
        <v>74</v>
      </c>
      <c r="L768" t="s">
        <v>74</v>
      </c>
      <c r="M768" t="s">
        <v>78</v>
      </c>
      <c r="N768" t="s">
        <v>79</v>
      </c>
      <c r="O768" t="s">
        <v>74</v>
      </c>
      <c r="P768" t="s">
        <v>74</v>
      </c>
      <c r="Q768" t="s">
        <v>74</v>
      </c>
      <c r="R768" t="s">
        <v>74</v>
      </c>
      <c r="S768" t="s">
        <v>74</v>
      </c>
      <c r="T768" t="s">
        <v>14688</v>
      </c>
      <c r="U768" t="s">
        <v>14689</v>
      </c>
      <c r="V768" t="s">
        <v>14690</v>
      </c>
      <c r="W768" t="s">
        <v>14691</v>
      </c>
      <c r="X768" t="s">
        <v>14692</v>
      </c>
      <c r="Y768" t="s">
        <v>14693</v>
      </c>
      <c r="Z768" t="s">
        <v>14694</v>
      </c>
      <c r="AA768" t="s">
        <v>74</v>
      </c>
      <c r="AB768" t="s">
        <v>74</v>
      </c>
      <c r="AC768" t="s">
        <v>14695</v>
      </c>
      <c r="AD768" t="s">
        <v>2787</v>
      </c>
      <c r="AE768" t="s">
        <v>14696</v>
      </c>
      <c r="AF768" t="s">
        <v>74</v>
      </c>
      <c r="AG768">
        <v>25</v>
      </c>
      <c r="AH768">
        <v>8</v>
      </c>
      <c r="AI768">
        <v>13</v>
      </c>
      <c r="AJ768">
        <v>0</v>
      </c>
      <c r="AK768">
        <v>77</v>
      </c>
      <c r="AL768" t="s">
        <v>6897</v>
      </c>
      <c r="AM768" t="s">
        <v>550</v>
      </c>
      <c r="AN768" t="s">
        <v>8757</v>
      </c>
      <c r="AO768" t="s">
        <v>8783</v>
      </c>
      <c r="AP768" t="s">
        <v>8784</v>
      </c>
      <c r="AQ768" t="s">
        <v>74</v>
      </c>
      <c r="AR768" t="s">
        <v>8785</v>
      </c>
      <c r="AS768" t="s">
        <v>8786</v>
      </c>
      <c r="AT768" t="s">
        <v>13267</v>
      </c>
      <c r="AU768">
        <v>2015</v>
      </c>
      <c r="AV768">
        <v>185</v>
      </c>
      <c r="AW768" t="s">
        <v>74</v>
      </c>
      <c r="AX768" t="s">
        <v>74</v>
      </c>
      <c r="AY768" t="s">
        <v>74</v>
      </c>
      <c r="AZ768" t="s">
        <v>74</v>
      </c>
      <c r="BA768" t="s">
        <v>74</v>
      </c>
      <c r="BB768">
        <v>43</v>
      </c>
      <c r="BC768">
        <v>50</v>
      </c>
      <c r="BD768" t="s">
        <v>74</v>
      </c>
      <c r="BE768" t="s">
        <v>14697</v>
      </c>
      <c r="BF768" t="str">
        <f>HYPERLINK("http://dx.doi.org/10.1016/j.cbpa.2015.03.006","http://dx.doi.org/10.1016/j.cbpa.2015.03.006")</f>
        <v>http://dx.doi.org/10.1016/j.cbpa.2015.03.006</v>
      </c>
      <c r="BG768" t="s">
        <v>74</v>
      </c>
      <c r="BH768" t="s">
        <v>74</v>
      </c>
      <c r="BI768">
        <v>8</v>
      </c>
      <c r="BJ768" t="s">
        <v>8788</v>
      </c>
      <c r="BK768" t="s">
        <v>101</v>
      </c>
      <c r="BL768" t="s">
        <v>8788</v>
      </c>
      <c r="BM768" t="s">
        <v>14698</v>
      </c>
      <c r="BN768">
        <v>25770668</v>
      </c>
      <c r="BO768" t="s">
        <v>74</v>
      </c>
      <c r="BP768" t="s">
        <v>74</v>
      </c>
      <c r="BQ768" t="s">
        <v>74</v>
      </c>
      <c r="BR768" t="s">
        <v>103</v>
      </c>
      <c r="BS768" t="s">
        <v>14699</v>
      </c>
      <c r="BT768" t="str">
        <f>HYPERLINK("https%3A%2F%2Fwww.webofscience.com%2Fwos%2Fwoscc%2Ffull-record%2FWOS:000355037200006","View Full Record in Web of Science")</f>
        <v>View Full Record in Web of Science</v>
      </c>
    </row>
    <row r="769" spans="1:72" x14ac:dyDescent="0.15">
      <c r="A769" t="s">
        <v>72</v>
      </c>
      <c r="B769" t="s">
        <v>14700</v>
      </c>
      <c r="C769" t="s">
        <v>74</v>
      </c>
      <c r="D769" t="s">
        <v>74</v>
      </c>
      <c r="E769" t="s">
        <v>74</v>
      </c>
      <c r="F769" t="s">
        <v>14701</v>
      </c>
      <c r="G769" t="s">
        <v>74</v>
      </c>
      <c r="H769" t="s">
        <v>74</v>
      </c>
      <c r="I769" t="s">
        <v>14702</v>
      </c>
      <c r="J769" t="s">
        <v>2927</v>
      </c>
      <c r="K769" t="s">
        <v>74</v>
      </c>
      <c r="L769" t="s">
        <v>74</v>
      </c>
      <c r="M769" t="s">
        <v>78</v>
      </c>
      <c r="N769" t="s">
        <v>79</v>
      </c>
      <c r="O769" t="s">
        <v>74</v>
      </c>
      <c r="P769" t="s">
        <v>74</v>
      </c>
      <c r="Q769" t="s">
        <v>74</v>
      </c>
      <c r="R769" t="s">
        <v>74</v>
      </c>
      <c r="S769" t="s">
        <v>74</v>
      </c>
      <c r="T769" t="s">
        <v>14703</v>
      </c>
      <c r="U769" t="s">
        <v>14704</v>
      </c>
      <c r="V769" t="s">
        <v>14705</v>
      </c>
      <c r="W769" t="s">
        <v>14706</v>
      </c>
      <c r="X769" t="s">
        <v>14707</v>
      </c>
      <c r="Y769" t="s">
        <v>14708</v>
      </c>
      <c r="Z769" t="s">
        <v>14709</v>
      </c>
      <c r="AA769" t="s">
        <v>14710</v>
      </c>
      <c r="AB769" t="s">
        <v>14711</v>
      </c>
      <c r="AC769" t="s">
        <v>14712</v>
      </c>
      <c r="AD769" t="s">
        <v>14713</v>
      </c>
      <c r="AE769" t="s">
        <v>14714</v>
      </c>
      <c r="AF769" t="s">
        <v>74</v>
      </c>
      <c r="AG769">
        <v>84</v>
      </c>
      <c r="AH769">
        <v>123</v>
      </c>
      <c r="AI769">
        <v>150</v>
      </c>
      <c r="AJ769">
        <v>1</v>
      </c>
      <c r="AK769">
        <v>128</v>
      </c>
      <c r="AL769" t="s">
        <v>397</v>
      </c>
      <c r="AM769" t="s">
        <v>398</v>
      </c>
      <c r="AN769" t="s">
        <v>399</v>
      </c>
      <c r="AO769" t="s">
        <v>2940</v>
      </c>
      <c r="AP769" t="s">
        <v>2941</v>
      </c>
      <c r="AQ769" t="s">
        <v>74</v>
      </c>
      <c r="AR769" t="s">
        <v>2942</v>
      </c>
      <c r="AS769" t="s">
        <v>2943</v>
      </c>
      <c r="AT769" t="s">
        <v>13267</v>
      </c>
      <c r="AU769">
        <v>2015</v>
      </c>
      <c r="AV769">
        <v>101</v>
      </c>
      <c r="AW769" t="s">
        <v>74</v>
      </c>
      <c r="AX769" t="s">
        <v>74</v>
      </c>
      <c r="AY769" t="s">
        <v>74</v>
      </c>
      <c r="AZ769" t="s">
        <v>74</v>
      </c>
      <c r="BA769" t="s">
        <v>74</v>
      </c>
      <c r="BB769">
        <v>54</v>
      </c>
      <c r="BC769">
        <v>70</v>
      </c>
      <c r="BD769" t="s">
        <v>74</v>
      </c>
      <c r="BE769" t="s">
        <v>14715</v>
      </c>
      <c r="BF769" t="str">
        <f>HYPERLINK("http://dx.doi.org/10.1016/j.dsr.2015.02.009","http://dx.doi.org/10.1016/j.dsr.2015.02.009")</f>
        <v>http://dx.doi.org/10.1016/j.dsr.2015.02.009</v>
      </c>
      <c r="BG769" t="s">
        <v>74</v>
      </c>
      <c r="BH769" t="s">
        <v>74</v>
      </c>
      <c r="BI769">
        <v>17</v>
      </c>
      <c r="BJ769" t="s">
        <v>339</v>
      </c>
      <c r="BK769" t="s">
        <v>101</v>
      </c>
      <c r="BL769" t="s">
        <v>339</v>
      </c>
      <c r="BM769" t="s">
        <v>14716</v>
      </c>
      <c r="BN769" t="s">
        <v>74</v>
      </c>
      <c r="BO769" t="s">
        <v>74</v>
      </c>
      <c r="BP769" t="s">
        <v>74</v>
      </c>
      <c r="BQ769" t="s">
        <v>74</v>
      </c>
      <c r="BR769" t="s">
        <v>103</v>
      </c>
      <c r="BS769" t="s">
        <v>14717</v>
      </c>
      <c r="BT769" t="str">
        <f>HYPERLINK("https%3A%2F%2Fwww.webofscience.com%2Fwos%2Fwoscc%2Ffull-record%2FWOS:000356210100006","View Full Record in Web of Science")</f>
        <v>View Full Record in Web of Science</v>
      </c>
    </row>
    <row r="770" spans="1:72" x14ac:dyDescent="0.15">
      <c r="A770" t="s">
        <v>72</v>
      </c>
      <c r="B770" t="s">
        <v>14718</v>
      </c>
      <c r="C770" t="s">
        <v>74</v>
      </c>
      <c r="D770" t="s">
        <v>74</v>
      </c>
      <c r="E770" t="s">
        <v>74</v>
      </c>
      <c r="F770" t="s">
        <v>14719</v>
      </c>
      <c r="G770" t="s">
        <v>74</v>
      </c>
      <c r="H770" t="s">
        <v>74</v>
      </c>
      <c r="I770" t="s">
        <v>14720</v>
      </c>
      <c r="J770" t="s">
        <v>2927</v>
      </c>
      <c r="K770" t="s">
        <v>74</v>
      </c>
      <c r="L770" t="s">
        <v>74</v>
      </c>
      <c r="M770" t="s">
        <v>78</v>
      </c>
      <c r="N770" t="s">
        <v>79</v>
      </c>
      <c r="O770" t="s">
        <v>74</v>
      </c>
      <c r="P770" t="s">
        <v>74</v>
      </c>
      <c r="Q770" t="s">
        <v>74</v>
      </c>
      <c r="R770" t="s">
        <v>74</v>
      </c>
      <c r="S770" t="s">
        <v>74</v>
      </c>
      <c r="T770" t="s">
        <v>14721</v>
      </c>
      <c r="U770" t="s">
        <v>14722</v>
      </c>
      <c r="V770" t="s">
        <v>14723</v>
      </c>
      <c r="W770" t="s">
        <v>14724</v>
      </c>
      <c r="X770" t="s">
        <v>14725</v>
      </c>
      <c r="Y770" t="s">
        <v>14726</v>
      </c>
      <c r="Z770" t="s">
        <v>14727</v>
      </c>
      <c r="AA770" t="s">
        <v>14728</v>
      </c>
      <c r="AB770" t="s">
        <v>14729</v>
      </c>
      <c r="AC770" t="s">
        <v>14730</v>
      </c>
      <c r="AD770" t="s">
        <v>14731</v>
      </c>
      <c r="AE770" t="s">
        <v>14732</v>
      </c>
      <c r="AF770" t="s">
        <v>74</v>
      </c>
      <c r="AG770">
        <v>88</v>
      </c>
      <c r="AH770">
        <v>56</v>
      </c>
      <c r="AI770">
        <v>64</v>
      </c>
      <c r="AJ770">
        <v>3</v>
      </c>
      <c r="AK770">
        <v>34</v>
      </c>
      <c r="AL770" t="s">
        <v>397</v>
      </c>
      <c r="AM770" t="s">
        <v>398</v>
      </c>
      <c r="AN770" t="s">
        <v>399</v>
      </c>
      <c r="AO770" t="s">
        <v>2940</v>
      </c>
      <c r="AP770" t="s">
        <v>2941</v>
      </c>
      <c r="AQ770" t="s">
        <v>74</v>
      </c>
      <c r="AR770" t="s">
        <v>2942</v>
      </c>
      <c r="AS770" t="s">
        <v>2943</v>
      </c>
      <c r="AT770" t="s">
        <v>13267</v>
      </c>
      <c r="AU770">
        <v>2015</v>
      </c>
      <c r="AV770">
        <v>101</v>
      </c>
      <c r="AW770" t="s">
        <v>74</v>
      </c>
      <c r="AX770" t="s">
        <v>74</v>
      </c>
      <c r="AY770" t="s">
        <v>74</v>
      </c>
      <c r="AZ770" t="s">
        <v>74</v>
      </c>
      <c r="BA770" t="s">
        <v>74</v>
      </c>
      <c r="BB770">
        <v>80</v>
      </c>
      <c r="BC770">
        <v>97</v>
      </c>
      <c r="BD770" t="s">
        <v>74</v>
      </c>
      <c r="BE770" t="s">
        <v>14733</v>
      </c>
      <c r="BF770" t="str">
        <f>HYPERLINK("http://dx.doi.org/10.1016/j.dsr.2015.03.001","http://dx.doi.org/10.1016/j.dsr.2015.03.001")</f>
        <v>http://dx.doi.org/10.1016/j.dsr.2015.03.001</v>
      </c>
      <c r="BG770" t="s">
        <v>74</v>
      </c>
      <c r="BH770" t="s">
        <v>74</v>
      </c>
      <c r="BI770">
        <v>18</v>
      </c>
      <c r="BJ770" t="s">
        <v>339</v>
      </c>
      <c r="BK770" t="s">
        <v>101</v>
      </c>
      <c r="BL770" t="s">
        <v>339</v>
      </c>
      <c r="BM770" t="s">
        <v>14716</v>
      </c>
      <c r="BN770" t="s">
        <v>74</v>
      </c>
      <c r="BO770" t="s">
        <v>74</v>
      </c>
      <c r="BP770" t="s">
        <v>74</v>
      </c>
      <c r="BQ770" t="s">
        <v>74</v>
      </c>
      <c r="BR770" t="s">
        <v>103</v>
      </c>
      <c r="BS770" t="s">
        <v>14734</v>
      </c>
      <c r="BT770" t="str">
        <f>HYPERLINK("https%3A%2F%2Fwww.webofscience.com%2Fwos%2Fwoscc%2Ffull-record%2FWOS:000356210100008","View Full Record in Web of Science")</f>
        <v>View Full Record in Web of Science</v>
      </c>
    </row>
    <row r="771" spans="1:72" x14ac:dyDescent="0.15">
      <c r="A771" t="s">
        <v>72</v>
      </c>
      <c r="B771" t="s">
        <v>14735</v>
      </c>
      <c r="C771" t="s">
        <v>74</v>
      </c>
      <c r="D771" t="s">
        <v>74</v>
      </c>
      <c r="E771" t="s">
        <v>74</v>
      </c>
      <c r="F771" t="s">
        <v>14736</v>
      </c>
      <c r="G771" t="s">
        <v>74</v>
      </c>
      <c r="H771" t="s">
        <v>74</v>
      </c>
      <c r="I771" t="s">
        <v>14737</v>
      </c>
      <c r="J771" t="s">
        <v>14738</v>
      </c>
      <c r="K771" t="s">
        <v>74</v>
      </c>
      <c r="L771" t="s">
        <v>74</v>
      </c>
      <c r="M771" t="s">
        <v>78</v>
      </c>
      <c r="N771" t="s">
        <v>79</v>
      </c>
      <c r="O771" t="s">
        <v>74</v>
      </c>
      <c r="P771" t="s">
        <v>74</v>
      </c>
      <c r="Q771" t="s">
        <v>74</v>
      </c>
      <c r="R771" t="s">
        <v>74</v>
      </c>
      <c r="S771" t="s">
        <v>74</v>
      </c>
      <c r="T771" t="s">
        <v>14739</v>
      </c>
      <c r="U771" t="s">
        <v>14740</v>
      </c>
      <c r="V771" t="s">
        <v>14741</v>
      </c>
      <c r="W771" t="s">
        <v>14742</v>
      </c>
      <c r="X771" t="s">
        <v>14743</v>
      </c>
      <c r="Y771" t="s">
        <v>14744</v>
      </c>
      <c r="Z771" t="s">
        <v>14745</v>
      </c>
      <c r="AA771" t="s">
        <v>14746</v>
      </c>
      <c r="AB771" t="s">
        <v>14747</v>
      </c>
      <c r="AC771" t="s">
        <v>14748</v>
      </c>
      <c r="AD771" t="s">
        <v>14749</v>
      </c>
      <c r="AE771" t="s">
        <v>14750</v>
      </c>
      <c r="AF771" t="s">
        <v>74</v>
      </c>
      <c r="AG771">
        <v>144</v>
      </c>
      <c r="AH771">
        <v>70</v>
      </c>
      <c r="AI771">
        <v>72</v>
      </c>
      <c r="AJ771">
        <v>2</v>
      </c>
      <c r="AK771">
        <v>55</v>
      </c>
      <c r="AL771" t="s">
        <v>925</v>
      </c>
      <c r="AM771" t="s">
        <v>884</v>
      </c>
      <c r="AN771" t="s">
        <v>926</v>
      </c>
      <c r="AO771" t="s">
        <v>14751</v>
      </c>
      <c r="AP771" t="s">
        <v>14752</v>
      </c>
      <c r="AQ771" t="s">
        <v>74</v>
      </c>
      <c r="AR771" t="s">
        <v>14753</v>
      </c>
      <c r="AS771" t="s">
        <v>14754</v>
      </c>
      <c r="AT771" t="s">
        <v>13267</v>
      </c>
      <c r="AU771">
        <v>2015</v>
      </c>
      <c r="AV771">
        <v>146</v>
      </c>
      <c r="AW771" t="s">
        <v>74</v>
      </c>
      <c r="AX771" t="s">
        <v>74</v>
      </c>
      <c r="AY771" t="s">
        <v>74</v>
      </c>
      <c r="AZ771" t="s">
        <v>74</v>
      </c>
      <c r="BA771" t="s">
        <v>74</v>
      </c>
      <c r="BB771">
        <v>163</v>
      </c>
      <c r="BC771">
        <v>182</v>
      </c>
      <c r="BD771" t="s">
        <v>74</v>
      </c>
      <c r="BE771" t="s">
        <v>14755</v>
      </c>
      <c r="BF771" t="str">
        <f>HYPERLINK("http://dx.doi.org/10.1016/j.earscirev.2015.04.004","http://dx.doi.org/10.1016/j.earscirev.2015.04.004")</f>
        <v>http://dx.doi.org/10.1016/j.earscirev.2015.04.004</v>
      </c>
      <c r="BG771" t="s">
        <v>74</v>
      </c>
      <c r="BH771" t="s">
        <v>74</v>
      </c>
      <c r="BI771">
        <v>20</v>
      </c>
      <c r="BJ771" t="s">
        <v>314</v>
      </c>
      <c r="BK771" t="s">
        <v>101</v>
      </c>
      <c r="BL771" t="s">
        <v>315</v>
      </c>
      <c r="BM771" t="s">
        <v>14756</v>
      </c>
      <c r="BN771" t="s">
        <v>74</v>
      </c>
      <c r="BO771" t="s">
        <v>1781</v>
      </c>
      <c r="BP771" t="s">
        <v>74</v>
      </c>
      <c r="BQ771" t="s">
        <v>74</v>
      </c>
      <c r="BR771" t="s">
        <v>103</v>
      </c>
      <c r="BS771" t="s">
        <v>14757</v>
      </c>
      <c r="BT771" t="str">
        <f>HYPERLINK("https%3A%2F%2Fwww.webofscience.com%2Fwos%2Fwoscc%2Ffull-record%2FWOS:000356186400009","View Full Record in Web of Science")</f>
        <v>View Full Record in Web of Science</v>
      </c>
    </row>
    <row r="772" spans="1:72" x14ac:dyDescent="0.15">
      <c r="A772" t="s">
        <v>72</v>
      </c>
      <c r="B772" t="s">
        <v>14758</v>
      </c>
      <c r="C772" t="s">
        <v>74</v>
      </c>
      <c r="D772" t="s">
        <v>74</v>
      </c>
      <c r="E772" t="s">
        <v>74</v>
      </c>
      <c r="F772" t="s">
        <v>14759</v>
      </c>
      <c r="G772" t="s">
        <v>74</v>
      </c>
      <c r="H772" t="s">
        <v>74</v>
      </c>
      <c r="I772" t="s">
        <v>14760</v>
      </c>
      <c r="J772" t="s">
        <v>3829</v>
      </c>
      <c r="K772" t="s">
        <v>74</v>
      </c>
      <c r="L772" t="s">
        <v>74</v>
      </c>
      <c r="M772" t="s">
        <v>78</v>
      </c>
      <c r="N772" t="s">
        <v>79</v>
      </c>
      <c r="O772" t="s">
        <v>74</v>
      </c>
      <c r="P772" t="s">
        <v>74</v>
      </c>
      <c r="Q772" t="s">
        <v>74</v>
      </c>
      <c r="R772" t="s">
        <v>74</v>
      </c>
      <c r="S772" t="s">
        <v>74</v>
      </c>
      <c r="T772" t="s">
        <v>14761</v>
      </c>
      <c r="U772" t="s">
        <v>14762</v>
      </c>
      <c r="V772" t="s">
        <v>14763</v>
      </c>
      <c r="W772" t="s">
        <v>14764</v>
      </c>
      <c r="X772" t="s">
        <v>14765</v>
      </c>
      <c r="Y772" t="s">
        <v>14766</v>
      </c>
      <c r="Z772" t="s">
        <v>14767</v>
      </c>
      <c r="AA772" t="s">
        <v>14768</v>
      </c>
      <c r="AB772" t="s">
        <v>14769</v>
      </c>
      <c r="AC772" t="s">
        <v>14770</v>
      </c>
      <c r="AD772" t="s">
        <v>14771</v>
      </c>
      <c r="AE772" t="s">
        <v>14772</v>
      </c>
      <c r="AF772" t="s">
        <v>74</v>
      </c>
      <c r="AG772">
        <v>64</v>
      </c>
      <c r="AH772">
        <v>10</v>
      </c>
      <c r="AI772">
        <v>10</v>
      </c>
      <c r="AJ772">
        <v>0</v>
      </c>
      <c r="AK772">
        <v>68</v>
      </c>
      <c r="AL772" t="s">
        <v>208</v>
      </c>
      <c r="AM772" t="s">
        <v>209</v>
      </c>
      <c r="AN772" t="s">
        <v>210</v>
      </c>
      <c r="AO772" t="s">
        <v>3842</v>
      </c>
      <c r="AP772" t="s">
        <v>3843</v>
      </c>
      <c r="AQ772" t="s">
        <v>74</v>
      </c>
      <c r="AR772" t="s">
        <v>3829</v>
      </c>
      <c r="AS772" t="s">
        <v>643</v>
      </c>
      <c r="AT772" t="s">
        <v>13267</v>
      </c>
      <c r="AU772">
        <v>2015</v>
      </c>
      <c r="AV772">
        <v>96</v>
      </c>
      <c r="AW772">
        <v>7</v>
      </c>
      <c r="AX772" t="s">
        <v>74</v>
      </c>
      <c r="AY772" t="s">
        <v>74</v>
      </c>
      <c r="AZ772" t="s">
        <v>74</v>
      </c>
      <c r="BA772" t="s">
        <v>74</v>
      </c>
      <c r="BB772">
        <v>2004</v>
      </c>
      <c r="BC772">
        <v>2014</v>
      </c>
      <c r="BD772" t="s">
        <v>74</v>
      </c>
      <c r="BE772" t="s">
        <v>14773</v>
      </c>
      <c r="BF772" t="str">
        <f>HYPERLINK("http://dx.doi.org/10.1890/14-0726.1","http://dx.doi.org/10.1890/14-0726.1")</f>
        <v>http://dx.doi.org/10.1890/14-0726.1</v>
      </c>
      <c r="BG772" t="s">
        <v>74</v>
      </c>
      <c r="BH772" t="s">
        <v>74</v>
      </c>
      <c r="BI772">
        <v>11</v>
      </c>
      <c r="BJ772" t="s">
        <v>643</v>
      </c>
      <c r="BK772" t="s">
        <v>101</v>
      </c>
      <c r="BL772" t="s">
        <v>644</v>
      </c>
      <c r="BM772" t="s">
        <v>14774</v>
      </c>
      <c r="BN772">
        <v>26378322</v>
      </c>
      <c r="BO772" t="s">
        <v>290</v>
      </c>
      <c r="BP772" t="s">
        <v>74</v>
      </c>
      <c r="BQ772" t="s">
        <v>74</v>
      </c>
      <c r="BR772" t="s">
        <v>103</v>
      </c>
      <c r="BS772" t="s">
        <v>14775</v>
      </c>
      <c r="BT772" t="str">
        <f>HYPERLINK("https%3A%2F%2Fwww.webofscience.com%2Fwos%2Fwoscc%2Ffull-record%2FWOS:000357525800027","View Full Record in Web of Science")</f>
        <v>View Full Record in Web of Science</v>
      </c>
    </row>
    <row r="773" spans="1:72" x14ac:dyDescent="0.15">
      <c r="A773" t="s">
        <v>72</v>
      </c>
      <c r="B773" t="s">
        <v>14776</v>
      </c>
      <c r="C773" t="s">
        <v>74</v>
      </c>
      <c r="D773" t="s">
        <v>74</v>
      </c>
      <c r="E773" t="s">
        <v>74</v>
      </c>
      <c r="F773" t="s">
        <v>14777</v>
      </c>
      <c r="G773" t="s">
        <v>74</v>
      </c>
      <c r="H773" t="s">
        <v>74</v>
      </c>
      <c r="I773" t="s">
        <v>14778</v>
      </c>
      <c r="J773" t="s">
        <v>14779</v>
      </c>
      <c r="K773" t="s">
        <v>74</v>
      </c>
      <c r="L773" t="s">
        <v>74</v>
      </c>
      <c r="M773" t="s">
        <v>78</v>
      </c>
      <c r="N773" t="s">
        <v>79</v>
      </c>
      <c r="O773" t="s">
        <v>74</v>
      </c>
      <c r="P773" t="s">
        <v>74</v>
      </c>
      <c r="Q773" t="s">
        <v>74</v>
      </c>
      <c r="R773" t="s">
        <v>74</v>
      </c>
      <c r="S773" t="s">
        <v>74</v>
      </c>
      <c r="T773" t="s">
        <v>14780</v>
      </c>
      <c r="U773" t="s">
        <v>14781</v>
      </c>
      <c r="V773" t="s">
        <v>14782</v>
      </c>
      <c r="W773" t="s">
        <v>14783</v>
      </c>
      <c r="X773" t="s">
        <v>14784</v>
      </c>
      <c r="Y773" t="s">
        <v>14785</v>
      </c>
      <c r="Z773" t="s">
        <v>14786</v>
      </c>
      <c r="AA773" t="s">
        <v>14787</v>
      </c>
      <c r="AB773" t="s">
        <v>14788</v>
      </c>
      <c r="AC773" t="s">
        <v>14789</v>
      </c>
      <c r="AD773" t="s">
        <v>14790</v>
      </c>
      <c r="AE773" t="s">
        <v>14791</v>
      </c>
      <c r="AF773" t="s">
        <v>74</v>
      </c>
      <c r="AG773">
        <v>52</v>
      </c>
      <c r="AH773">
        <v>8</v>
      </c>
      <c r="AI773">
        <v>8</v>
      </c>
      <c r="AJ773">
        <v>0</v>
      </c>
      <c r="AK773">
        <v>19</v>
      </c>
      <c r="AL773" t="s">
        <v>208</v>
      </c>
      <c r="AM773" t="s">
        <v>209</v>
      </c>
      <c r="AN773" t="s">
        <v>210</v>
      </c>
      <c r="AO773" t="s">
        <v>14792</v>
      </c>
      <c r="AP773" t="s">
        <v>74</v>
      </c>
      <c r="AQ773" t="s">
        <v>74</v>
      </c>
      <c r="AR773" t="s">
        <v>14793</v>
      </c>
      <c r="AS773" t="s">
        <v>14794</v>
      </c>
      <c r="AT773" t="s">
        <v>13267</v>
      </c>
      <c r="AU773">
        <v>2015</v>
      </c>
      <c r="AV773">
        <v>5</v>
      </c>
      <c r="AW773">
        <v>13</v>
      </c>
      <c r="AX773" t="s">
        <v>74</v>
      </c>
      <c r="AY773" t="s">
        <v>74</v>
      </c>
      <c r="AZ773" t="s">
        <v>74</v>
      </c>
      <c r="BA773" t="s">
        <v>74</v>
      </c>
      <c r="BB773">
        <v>2633</v>
      </c>
      <c r="BC773">
        <v>2645</v>
      </c>
      <c r="BD773" t="s">
        <v>74</v>
      </c>
      <c r="BE773" t="s">
        <v>14795</v>
      </c>
      <c r="BF773" t="str">
        <f>HYPERLINK("http://dx.doi.org/10.1002/ece3.1493","http://dx.doi.org/10.1002/ece3.1493")</f>
        <v>http://dx.doi.org/10.1002/ece3.1493</v>
      </c>
      <c r="BG773" t="s">
        <v>74</v>
      </c>
      <c r="BH773" t="s">
        <v>74</v>
      </c>
      <c r="BI773">
        <v>13</v>
      </c>
      <c r="BJ773" t="s">
        <v>14796</v>
      </c>
      <c r="BK773" t="s">
        <v>101</v>
      </c>
      <c r="BL773" t="s">
        <v>14797</v>
      </c>
      <c r="BM773" t="s">
        <v>14798</v>
      </c>
      <c r="BN773">
        <v>26257876</v>
      </c>
      <c r="BO773" t="s">
        <v>5233</v>
      </c>
      <c r="BP773" t="s">
        <v>74</v>
      </c>
      <c r="BQ773" t="s">
        <v>74</v>
      </c>
      <c r="BR773" t="s">
        <v>103</v>
      </c>
      <c r="BS773" t="s">
        <v>14799</v>
      </c>
      <c r="BT773" t="str">
        <f>HYPERLINK("https%3A%2F%2Fwww.webofscience.com%2Fwos%2Fwoscc%2Ffull-record%2FWOS:000357962200012","View Full Record in Web of Science")</f>
        <v>View Full Record in Web of Science</v>
      </c>
    </row>
    <row r="774" spans="1:72" x14ac:dyDescent="0.15">
      <c r="A774" t="s">
        <v>72</v>
      </c>
      <c r="B774" t="s">
        <v>14800</v>
      </c>
      <c r="C774" t="s">
        <v>74</v>
      </c>
      <c r="D774" t="s">
        <v>74</v>
      </c>
      <c r="E774" t="s">
        <v>74</v>
      </c>
      <c r="F774" t="s">
        <v>14801</v>
      </c>
      <c r="G774" t="s">
        <v>74</v>
      </c>
      <c r="H774" t="s">
        <v>74</v>
      </c>
      <c r="I774" t="s">
        <v>14802</v>
      </c>
      <c r="J774" t="s">
        <v>3850</v>
      </c>
      <c r="K774" t="s">
        <v>74</v>
      </c>
      <c r="L774" t="s">
        <v>74</v>
      </c>
      <c r="M774" t="s">
        <v>78</v>
      </c>
      <c r="N774" t="s">
        <v>79</v>
      </c>
      <c r="O774" t="s">
        <v>74</v>
      </c>
      <c r="P774" t="s">
        <v>74</v>
      </c>
      <c r="Q774" t="s">
        <v>74</v>
      </c>
      <c r="R774" t="s">
        <v>74</v>
      </c>
      <c r="S774" t="s">
        <v>74</v>
      </c>
      <c r="T774" t="s">
        <v>74</v>
      </c>
      <c r="U774" t="s">
        <v>14803</v>
      </c>
      <c r="V774" t="s">
        <v>14804</v>
      </c>
      <c r="W774" t="s">
        <v>14805</v>
      </c>
      <c r="X774" t="s">
        <v>14806</v>
      </c>
      <c r="Y774" t="s">
        <v>14807</v>
      </c>
      <c r="Z774" t="s">
        <v>14808</v>
      </c>
      <c r="AA774" t="s">
        <v>14809</v>
      </c>
      <c r="AB774" t="s">
        <v>14810</v>
      </c>
      <c r="AC774" t="s">
        <v>14811</v>
      </c>
      <c r="AD774" t="s">
        <v>14812</v>
      </c>
      <c r="AE774" t="s">
        <v>14813</v>
      </c>
      <c r="AF774" t="s">
        <v>74</v>
      </c>
      <c r="AG774">
        <v>54</v>
      </c>
      <c r="AH774">
        <v>17</v>
      </c>
      <c r="AI774">
        <v>18</v>
      </c>
      <c r="AJ774">
        <v>1</v>
      </c>
      <c r="AK774">
        <v>29</v>
      </c>
      <c r="AL774" t="s">
        <v>208</v>
      </c>
      <c r="AM774" t="s">
        <v>209</v>
      </c>
      <c r="AN774" t="s">
        <v>210</v>
      </c>
      <c r="AO774" t="s">
        <v>3862</v>
      </c>
      <c r="AP774" t="s">
        <v>3863</v>
      </c>
      <c r="AQ774" t="s">
        <v>74</v>
      </c>
      <c r="AR774" t="s">
        <v>3864</v>
      </c>
      <c r="AS774" t="s">
        <v>3865</v>
      </c>
      <c r="AT774" t="s">
        <v>13267</v>
      </c>
      <c r="AU774">
        <v>2015</v>
      </c>
      <c r="AV774">
        <v>17</v>
      </c>
      <c r="AW774">
        <v>7</v>
      </c>
      <c r="AX774" t="s">
        <v>74</v>
      </c>
      <c r="AY774" t="s">
        <v>74</v>
      </c>
      <c r="AZ774" t="s">
        <v>74</v>
      </c>
      <c r="BA774" t="s">
        <v>74</v>
      </c>
      <c r="BB774">
        <v>2407</v>
      </c>
      <c r="BC774">
        <v>2420</v>
      </c>
      <c r="BD774" t="s">
        <v>74</v>
      </c>
      <c r="BE774" t="s">
        <v>14814</v>
      </c>
      <c r="BF774" t="str">
        <f>HYPERLINK("http://dx.doi.org/10.1111/1462-2920.12707","http://dx.doi.org/10.1111/1462-2920.12707")</f>
        <v>http://dx.doi.org/10.1111/1462-2920.12707</v>
      </c>
      <c r="BG774" t="s">
        <v>74</v>
      </c>
      <c r="BH774" t="s">
        <v>74</v>
      </c>
      <c r="BI774">
        <v>14</v>
      </c>
      <c r="BJ774" t="s">
        <v>160</v>
      </c>
      <c r="BK774" t="s">
        <v>101</v>
      </c>
      <c r="BL774" t="s">
        <v>160</v>
      </c>
      <c r="BM774" t="s">
        <v>13906</v>
      </c>
      <c r="BN774">
        <v>25389111</v>
      </c>
      <c r="BO774" t="s">
        <v>559</v>
      </c>
      <c r="BP774" t="s">
        <v>74</v>
      </c>
      <c r="BQ774" t="s">
        <v>74</v>
      </c>
      <c r="BR774" t="s">
        <v>103</v>
      </c>
      <c r="BS774" t="s">
        <v>14815</v>
      </c>
      <c r="BT774" t="str">
        <f>HYPERLINK("https%3A%2F%2Fwww.webofscience.com%2Fwos%2Fwoscc%2Ffull-record%2FWOS:000358114300019","View Full Record in Web of Science")</f>
        <v>View Full Record in Web of Science</v>
      </c>
    </row>
    <row r="775" spans="1:72" x14ac:dyDescent="0.15">
      <c r="A775" t="s">
        <v>72</v>
      </c>
      <c r="B775" t="s">
        <v>14816</v>
      </c>
      <c r="C775" t="s">
        <v>74</v>
      </c>
      <c r="D775" t="s">
        <v>74</v>
      </c>
      <c r="E775" t="s">
        <v>74</v>
      </c>
      <c r="F775" t="s">
        <v>14817</v>
      </c>
      <c r="G775" t="s">
        <v>74</v>
      </c>
      <c r="H775" t="s">
        <v>74</v>
      </c>
      <c r="I775" t="s">
        <v>14818</v>
      </c>
      <c r="J775" t="s">
        <v>7460</v>
      </c>
      <c r="K775" t="s">
        <v>74</v>
      </c>
      <c r="L775" t="s">
        <v>74</v>
      </c>
      <c r="M775" t="s">
        <v>78</v>
      </c>
      <c r="N775" t="s">
        <v>581</v>
      </c>
      <c r="O775" t="s">
        <v>74</v>
      </c>
      <c r="P775" t="s">
        <v>74</v>
      </c>
      <c r="Q775" t="s">
        <v>74</v>
      </c>
      <c r="R775" t="s">
        <v>74</v>
      </c>
      <c r="S775" t="s">
        <v>74</v>
      </c>
      <c r="T775" t="s">
        <v>14819</v>
      </c>
      <c r="U775" t="s">
        <v>14820</v>
      </c>
      <c r="V775" t="s">
        <v>14821</v>
      </c>
      <c r="W775" t="s">
        <v>14822</v>
      </c>
      <c r="X775" t="s">
        <v>14823</v>
      </c>
      <c r="Y775" t="s">
        <v>14824</v>
      </c>
      <c r="Z775" t="s">
        <v>14825</v>
      </c>
      <c r="AA775" t="s">
        <v>14826</v>
      </c>
      <c r="AB775" t="s">
        <v>14827</v>
      </c>
      <c r="AC775" t="s">
        <v>14828</v>
      </c>
      <c r="AD775" t="s">
        <v>14829</v>
      </c>
      <c r="AE775" t="s">
        <v>14830</v>
      </c>
      <c r="AF775" t="s">
        <v>74</v>
      </c>
      <c r="AG775">
        <v>90</v>
      </c>
      <c r="AH775">
        <v>27</v>
      </c>
      <c r="AI775">
        <v>31</v>
      </c>
      <c r="AJ775">
        <v>4</v>
      </c>
      <c r="AK775">
        <v>137</v>
      </c>
      <c r="AL775" t="s">
        <v>7473</v>
      </c>
      <c r="AM775" t="s">
        <v>7474</v>
      </c>
      <c r="AN775" t="s">
        <v>7475</v>
      </c>
      <c r="AO775" t="s">
        <v>7476</v>
      </c>
      <c r="AP775" t="s">
        <v>7477</v>
      </c>
      <c r="AQ775" t="s">
        <v>74</v>
      </c>
      <c r="AR775" t="s">
        <v>7460</v>
      </c>
      <c r="AS775" t="s">
        <v>7478</v>
      </c>
      <c r="AT775" t="s">
        <v>13267</v>
      </c>
      <c r="AU775">
        <v>2015</v>
      </c>
      <c r="AV775">
        <v>19</v>
      </c>
      <c r="AW775">
        <v>4</v>
      </c>
      <c r="AX775" t="s">
        <v>74</v>
      </c>
      <c r="AY775" t="s">
        <v>74</v>
      </c>
      <c r="AZ775" t="s">
        <v>74</v>
      </c>
      <c r="BA775" t="s">
        <v>74</v>
      </c>
      <c r="BB775">
        <v>693</v>
      </c>
      <c r="BC775">
        <v>705</v>
      </c>
      <c r="BD775" t="s">
        <v>74</v>
      </c>
      <c r="BE775" t="s">
        <v>14831</v>
      </c>
      <c r="BF775" t="str">
        <f>HYPERLINK("http://dx.doi.org/10.1007/s00792-015-0749-y","http://dx.doi.org/10.1007/s00792-015-0749-y")</f>
        <v>http://dx.doi.org/10.1007/s00792-015-0749-y</v>
      </c>
      <c r="BG775" t="s">
        <v>74</v>
      </c>
      <c r="BH775" t="s">
        <v>74</v>
      </c>
      <c r="BI775">
        <v>13</v>
      </c>
      <c r="BJ775" t="s">
        <v>7480</v>
      </c>
      <c r="BK775" t="s">
        <v>101</v>
      </c>
      <c r="BL775" t="s">
        <v>7480</v>
      </c>
      <c r="BM775" t="s">
        <v>13924</v>
      </c>
      <c r="BN775">
        <v>25925876</v>
      </c>
      <c r="BO775" t="s">
        <v>74</v>
      </c>
      <c r="BP775" t="s">
        <v>74</v>
      </c>
      <c r="BQ775" t="s">
        <v>74</v>
      </c>
      <c r="BR775" t="s">
        <v>103</v>
      </c>
      <c r="BS775" t="s">
        <v>14832</v>
      </c>
      <c r="BT775" t="str">
        <f>HYPERLINK("https%3A%2F%2Fwww.webofscience.com%2Fwos%2Fwoscc%2Ffull-record%2FWOS:000358290000001","View Full Record in Web of Science")</f>
        <v>View Full Record in Web of Science</v>
      </c>
    </row>
    <row r="776" spans="1:72" x14ac:dyDescent="0.15">
      <c r="A776" t="s">
        <v>72</v>
      </c>
      <c r="B776" t="s">
        <v>14833</v>
      </c>
      <c r="C776" t="s">
        <v>74</v>
      </c>
      <c r="D776" t="s">
        <v>74</v>
      </c>
      <c r="E776" t="s">
        <v>74</v>
      </c>
      <c r="F776" t="s">
        <v>14834</v>
      </c>
      <c r="G776" t="s">
        <v>74</v>
      </c>
      <c r="H776" t="s">
        <v>74</v>
      </c>
      <c r="I776" t="s">
        <v>14835</v>
      </c>
      <c r="J776" t="s">
        <v>3273</v>
      </c>
      <c r="K776" t="s">
        <v>74</v>
      </c>
      <c r="L776" t="s">
        <v>74</v>
      </c>
      <c r="M776" t="s">
        <v>78</v>
      </c>
      <c r="N776" t="s">
        <v>79</v>
      </c>
      <c r="O776" t="s">
        <v>74</v>
      </c>
      <c r="P776" t="s">
        <v>74</v>
      </c>
      <c r="Q776" t="s">
        <v>74</v>
      </c>
      <c r="R776" t="s">
        <v>74</v>
      </c>
      <c r="S776" t="s">
        <v>74</v>
      </c>
      <c r="T776" t="s">
        <v>14836</v>
      </c>
      <c r="U776" t="s">
        <v>14837</v>
      </c>
      <c r="V776" t="s">
        <v>14838</v>
      </c>
      <c r="W776" t="s">
        <v>14839</v>
      </c>
      <c r="X776" t="s">
        <v>14840</v>
      </c>
      <c r="Y776" t="s">
        <v>14841</v>
      </c>
      <c r="Z776" t="s">
        <v>14842</v>
      </c>
      <c r="AA776" t="s">
        <v>14843</v>
      </c>
      <c r="AB776" t="s">
        <v>14844</v>
      </c>
      <c r="AC776" t="s">
        <v>14845</v>
      </c>
      <c r="AD776" t="s">
        <v>14846</v>
      </c>
      <c r="AE776" t="s">
        <v>14847</v>
      </c>
      <c r="AF776" t="s">
        <v>74</v>
      </c>
      <c r="AG776">
        <v>82</v>
      </c>
      <c r="AH776">
        <v>75</v>
      </c>
      <c r="AI776">
        <v>86</v>
      </c>
      <c r="AJ776">
        <v>3</v>
      </c>
      <c r="AK776">
        <v>129</v>
      </c>
      <c r="AL776" t="s">
        <v>208</v>
      </c>
      <c r="AM776" t="s">
        <v>209</v>
      </c>
      <c r="AN776" t="s">
        <v>210</v>
      </c>
      <c r="AO776" t="s">
        <v>3286</v>
      </c>
      <c r="AP776" t="s">
        <v>3287</v>
      </c>
      <c r="AQ776" t="s">
        <v>74</v>
      </c>
      <c r="AR776" t="s">
        <v>3288</v>
      </c>
      <c r="AS776" t="s">
        <v>3289</v>
      </c>
      <c r="AT776" t="s">
        <v>13267</v>
      </c>
      <c r="AU776">
        <v>2015</v>
      </c>
      <c r="AV776">
        <v>29</v>
      </c>
      <c r="AW776">
        <v>7</v>
      </c>
      <c r="AX776" t="s">
        <v>74</v>
      </c>
      <c r="AY776" t="s">
        <v>74</v>
      </c>
      <c r="AZ776" t="s">
        <v>931</v>
      </c>
      <c r="BA776" t="s">
        <v>74</v>
      </c>
      <c r="BB776">
        <v>951</v>
      </c>
      <c r="BC776">
        <v>961</v>
      </c>
      <c r="BD776" t="s">
        <v>74</v>
      </c>
      <c r="BE776" t="s">
        <v>14848</v>
      </c>
      <c r="BF776" t="str">
        <f>HYPERLINK("http://dx.doi.org/10.1111/1365-2435.12395","http://dx.doi.org/10.1111/1365-2435.12395")</f>
        <v>http://dx.doi.org/10.1111/1365-2435.12395</v>
      </c>
      <c r="BG776" t="s">
        <v>74</v>
      </c>
      <c r="BH776" t="s">
        <v>74</v>
      </c>
      <c r="BI776">
        <v>11</v>
      </c>
      <c r="BJ776" t="s">
        <v>643</v>
      </c>
      <c r="BK776" t="s">
        <v>101</v>
      </c>
      <c r="BL776" t="s">
        <v>644</v>
      </c>
      <c r="BM776" t="s">
        <v>14849</v>
      </c>
      <c r="BN776" t="s">
        <v>74</v>
      </c>
      <c r="BO776" t="s">
        <v>162</v>
      </c>
      <c r="BP776" t="s">
        <v>74</v>
      </c>
      <c r="BQ776" t="s">
        <v>74</v>
      </c>
      <c r="BR776" t="s">
        <v>103</v>
      </c>
      <c r="BS776" t="s">
        <v>14850</v>
      </c>
      <c r="BT776" t="str">
        <f>HYPERLINK("https%3A%2F%2Fwww.webofscience.com%2Fwos%2Fwoscc%2Ffull-record%2FWOS:000357738300010","View Full Record in Web of Science")</f>
        <v>View Full Record in Web of Science</v>
      </c>
    </row>
    <row r="777" spans="1:72" x14ac:dyDescent="0.15">
      <c r="A777" t="s">
        <v>72</v>
      </c>
      <c r="B777" t="s">
        <v>14851</v>
      </c>
      <c r="C777" t="s">
        <v>74</v>
      </c>
      <c r="D777" t="s">
        <v>74</v>
      </c>
      <c r="E777" t="s">
        <v>74</v>
      </c>
      <c r="F777" t="s">
        <v>14852</v>
      </c>
      <c r="G777" t="s">
        <v>74</v>
      </c>
      <c r="H777" t="s">
        <v>74</v>
      </c>
      <c r="I777" t="s">
        <v>14853</v>
      </c>
      <c r="J777" t="s">
        <v>7799</v>
      </c>
      <c r="K777" t="s">
        <v>74</v>
      </c>
      <c r="L777" t="s">
        <v>74</v>
      </c>
      <c r="M777" t="s">
        <v>78</v>
      </c>
      <c r="N777" t="s">
        <v>79</v>
      </c>
      <c r="O777" t="s">
        <v>74</v>
      </c>
      <c r="P777" t="s">
        <v>74</v>
      </c>
      <c r="Q777" t="s">
        <v>74</v>
      </c>
      <c r="R777" t="s">
        <v>74</v>
      </c>
      <c r="S777" t="s">
        <v>74</v>
      </c>
      <c r="T777" t="s">
        <v>74</v>
      </c>
      <c r="U777" t="s">
        <v>74</v>
      </c>
      <c r="V777" t="s">
        <v>14854</v>
      </c>
      <c r="W777" t="s">
        <v>14855</v>
      </c>
      <c r="X777" t="s">
        <v>14856</v>
      </c>
      <c r="Y777" t="s">
        <v>14857</v>
      </c>
      <c r="Z777" t="s">
        <v>14858</v>
      </c>
      <c r="AA777" t="s">
        <v>14859</v>
      </c>
      <c r="AB777" t="s">
        <v>14860</v>
      </c>
      <c r="AC777" t="s">
        <v>14861</v>
      </c>
      <c r="AD777" t="s">
        <v>14862</v>
      </c>
      <c r="AE777" t="s">
        <v>14863</v>
      </c>
      <c r="AF777" t="s">
        <v>74</v>
      </c>
      <c r="AG777">
        <v>8</v>
      </c>
      <c r="AH777">
        <v>3</v>
      </c>
      <c r="AI777">
        <v>3</v>
      </c>
      <c r="AJ777">
        <v>0</v>
      </c>
      <c r="AK777">
        <v>2</v>
      </c>
      <c r="AL777" t="s">
        <v>7809</v>
      </c>
      <c r="AM777" t="s">
        <v>307</v>
      </c>
      <c r="AN777" t="s">
        <v>7810</v>
      </c>
      <c r="AO777" t="s">
        <v>74</v>
      </c>
      <c r="AP777" t="s">
        <v>7811</v>
      </c>
      <c r="AQ777" t="s">
        <v>74</v>
      </c>
      <c r="AR777" t="s">
        <v>7799</v>
      </c>
      <c r="AS777" t="s">
        <v>7812</v>
      </c>
      <c r="AT777" t="s">
        <v>13351</v>
      </c>
      <c r="AU777">
        <v>2015</v>
      </c>
      <c r="AV777">
        <v>3</v>
      </c>
      <c r="AW777">
        <v>4</v>
      </c>
      <c r="AX777" t="s">
        <v>74</v>
      </c>
      <c r="AY777" t="s">
        <v>74</v>
      </c>
      <c r="AZ777" t="s">
        <v>74</v>
      </c>
      <c r="BA777" t="s">
        <v>74</v>
      </c>
      <c r="BB777" t="s">
        <v>74</v>
      </c>
      <c r="BC777" t="s">
        <v>74</v>
      </c>
      <c r="BD777" t="s">
        <v>14864</v>
      </c>
      <c r="BE777" t="s">
        <v>14865</v>
      </c>
      <c r="BF777" t="str">
        <f>HYPERLINK("http://dx.doi.org/10.1128/genomeA.00906-15","http://dx.doi.org/10.1128/genomeA.00906-15")</f>
        <v>http://dx.doi.org/10.1128/genomeA.00906-15</v>
      </c>
      <c r="BG777" t="s">
        <v>74</v>
      </c>
      <c r="BH777" t="s">
        <v>74</v>
      </c>
      <c r="BI777">
        <v>2</v>
      </c>
      <c r="BJ777" t="s">
        <v>160</v>
      </c>
      <c r="BK777" t="s">
        <v>831</v>
      </c>
      <c r="BL777" t="s">
        <v>160</v>
      </c>
      <c r="BM777" t="s">
        <v>14866</v>
      </c>
      <c r="BN777">
        <v>26294625</v>
      </c>
      <c r="BO777" t="s">
        <v>533</v>
      </c>
      <c r="BP777" t="s">
        <v>74</v>
      </c>
      <c r="BQ777" t="s">
        <v>74</v>
      </c>
      <c r="BR777" t="s">
        <v>103</v>
      </c>
      <c r="BS777" t="s">
        <v>14867</v>
      </c>
      <c r="BT777" t="str">
        <f>HYPERLINK("https%3A%2F%2Fwww.webofscience.com%2Fwos%2Fwoscc%2Ffull-record%2FWOS:000460635800170","View Full Record in Web of Science")</f>
        <v>View Full Record in Web of Science</v>
      </c>
    </row>
    <row r="778" spans="1:72" x14ac:dyDescent="0.15">
      <c r="A778" t="s">
        <v>72</v>
      </c>
      <c r="B778" t="s">
        <v>14868</v>
      </c>
      <c r="C778" t="s">
        <v>74</v>
      </c>
      <c r="D778" t="s">
        <v>74</v>
      </c>
      <c r="E778" t="s">
        <v>74</v>
      </c>
      <c r="F778" t="s">
        <v>14869</v>
      </c>
      <c r="G778" t="s">
        <v>74</v>
      </c>
      <c r="H778" t="s">
        <v>74</v>
      </c>
      <c r="I778" t="s">
        <v>14870</v>
      </c>
      <c r="J778" t="s">
        <v>14871</v>
      </c>
      <c r="K778" t="s">
        <v>74</v>
      </c>
      <c r="L778" t="s">
        <v>74</v>
      </c>
      <c r="M778" t="s">
        <v>78</v>
      </c>
      <c r="N778" t="s">
        <v>79</v>
      </c>
      <c r="O778" t="s">
        <v>74</v>
      </c>
      <c r="P778" t="s">
        <v>74</v>
      </c>
      <c r="Q778" t="s">
        <v>74</v>
      </c>
      <c r="R778" t="s">
        <v>74</v>
      </c>
      <c r="S778" t="s">
        <v>74</v>
      </c>
      <c r="T778" t="s">
        <v>14872</v>
      </c>
      <c r="U778" t="s">
        <v>14873</v>
      </c>
      <c r="V778" t="s">
        <v>14874</v>
      </c>
      <c r="W778" t="s">
        <v>14875</v>
      </c>
      <c r="X778" t="s">
        <v>14876</v>
      </c>
      <c r="Y778" t="s">
        <v>14877</v>
      </c>
      <c r="Z778" t="s">
        <v>14878</v>
      </c>
      <c r="AA778" t="s">
        <v>14879</v>
      </c>
      <c r="AB778" t="s">
        <v>74</v>
      </c>
      <c r="AC778" t="s">
        <v>14880</v>
      </c>
      <c r="AD778" t="s">
        <v>14881</v>
      </c>
      <c r="AE778" t="s">
        <v>14882</v>
      </c>
      <c r="AF778" t="s">
        <v>74</v>
      </c>
      <c r="AG778">
        <v>68</v>
      </c>
      <c r="AH778">
        <v>26</v>
      </c>
      <c r="AI778">
        <v>27</v>
      </c>
      <c r="AJ778">
        <v>0</v>
      </c>
      <c r="AK778">
        <v>19</v>
      </c>
      <c r="AL778" t="s">
        <v>741</v>
      </c>
      <c r="AM778" t="s">
        <v>550</v>
      </c>
      <c r="AN778" t="s">
        <v>742</v>
      </c>
      <c r="AO778" t="s">
        <v>14883</v>
      </c>
      <c r="AP778" t="s">
        <v>14884</v>
      </c>
      <c r="AQ778" t="s">
        <v>74</v>
      </c>
      <c r="AR778" t="s">
        <v>14885</v>
      </c>
      <c r="AS778" t="s">
        <v>14886</v>
      </c>
      <c r="AT778" t="s">
        <v>13267</v>
      </c>
      <c r="AU778">
        <v>2015</v>
      </c>
      <c r="AV778">
        <v>152</v>
      </c>
      <c r="AW778">
        <v>4</v>
      </c>
      <c r="AX778" t="s">
        <v>74</v>
      </c>
      <c r="AY778" t="s">
        <v>74</v>
      </c>
      <c r="AZ778" t="s">
        <v>74</v>
      </c>
      <c r="BA778" t="s">
        <v>74</v>
      </c>
      <c r="BB778">
        <v>575</v>
      </c>
      <c r="BC778">
        <v>588</v>
      </c>
      <c r="BD778" t="s">
        <v>74</v>
      </c>
      <c r="BE778" t="s">
        <v>14887</v>
      </c>
      <c r="BF778" t="str">
        <f>HYPERLINK("http://dx.doi.org/10.1017/S0016756814000454","http://dx.doi.org/10.1017/S0016756814000454")</f>
        <v>http://dx.doi.org/10.1017/S0016756814000454</v>
      </c>
      <c r="BG778" t="s">
        <v>74</v>
      </c>
      <c r="BH778" t="s">
        <v>74</v>
      </c>
      <c r="BI778">
        <v>14</v>
      </c>
      <c r="BJ778" t="s">
        <v>314</v>
      </c>
      <c r="BK778" t="s">
        <v>101</v>
      </c>
      <c r="BL778" t="s">
        <v>315</v>
      </c>
      <c r="BM778" t="s">
        <v>14888</v>
      </c>
      <c r="BN778" t="s">
        <v>74</v>
      </c>
      <c r="BO778" t="s">
        <v>74</v>
      </c>
      <c r="BP778" t="s">
        <v>74</v>
      </c>
      <c r="BQ778" t="s">
        <v>74</v>
      </c>
      <c r="BR778" t="s">
        <v>103</v>
      </c>
      <c r="BS778" t="s">
        <v>14889</v>
      </c>
      <c r="BT778" t="str">
        <f>HYPERLINK("https%3A%2F%2Fwww.webofscience.com%2Fwos%2Fwoscc%2Ffull-record%2FWOS:000356057400001","View Full Record in Web of Science")</f>
        <v>View Full Record in Web of Science</v>
      </c>
    </row>
    <row r="779" spans="1:72" x14ac:dyDescent="0.15">
      <c r="A779" t="s">
        <v>72</v>
      </c>
      <c r="B779" t="s">
        <v>14890</v>
      </c>
      <c r="C779" t="s">
        <v>74</v>
      </c>
      <c r="D779" t="s">
        <v>74</v>
      </c>
      <c r="E779" t="s">
        <v>74</v>
      </c>
      <c r="F779" t="s">
        <v>14891</v>
      </c>
      <c r="G779" t="s">
        <v>74</v>
      </c>
      <c r="H779" t="s">
        <v>74</v>
      </c>
      <c r="I779" t="s">
        <v>14892</v>
      </c>
      <c r="J779" t="s">
        <v>3406</v>
      </c>
      <c r="K779" t="s">
        <v>74</v>
      </c>
      <c r="L779" t="s">
        <v>74</v>
      </c>
      <c r="M779" t="s">
        <v>78</v>
      </c>
      <c r="N779" t="s">
        <v>79</v>
      </c>
      <c r="O779" t="s">
        <v>74</v>
      </c>
      <c r="P779" t="s">
        <v>74</v>
      </c>
      <c r="Q779" t="s">
        <v>74</v>
      </c>
      <c r="R779" t="s">
        <v>74</v>
      </c>
      <c r="S779" t="s">
        <v>74</v>
      </c>
      <c r="T779" t="s">
        <v>74</v>
      </c>
      <c r="U779" t="s">
        <v>14893</v>
      </c>
      <c r="V779" t="s">
        <v>14894</v>
      </c>
      <c r="W779" t="s">
        <v>14895</v>
      </c>
      <c r="X779" t="s">
        <v>14896</v>
      </c>
      <c r="Y779" t="s">
        <v>14897</v>
      </c>
      <c r="Z779" t="s">
        <v>74</v>
      </c>
      <c r="AA779" t="s">
        <v>4724</v>
      </c>
      <c r="AB779" t="s">
        <v>14898</v>
      </c>
      <c r="AC779" t="s">
        <v>14899</v>
      </c>
      <c r="AD779" t="s">
        <v>14900</v>
      </c>
      <c r="AE779" t="s">
        <v>14901</v>
      </c>
      <c r="AF779" t="s">
        <v>74</v>
      </c>
      <c r="AG779">
        <v>35</v>
      </c>
      <c r="AH779">
        <v>16</v>
      </c>
      <c r="AI779">
        <v>16</v>
      </c>
      <c r="AJ779">
        <v>2</v>
      </c>
      <c r="AK779">
        <v>44</v>
      </c>
      <c r="AL779" t="s">
        <v>3418</v>
      </c>
      <c r="AM779" t="s">
        <v>3419</v>
      </c>
      <c r="AN779" t="s">
        <v>3420</v>
      </c>
      <c r="AO779" t="s">
        <v>3421</v>
      </c>
      <c r="AP779" t="s">
        <v>3422</v>
      </c>
      <c r="AQ779" t="s">
        <v>74</v>
      </c>
      <c r="AR779" t="s">
        <v>3406</v>
      </c>
      <c r="AS779" t="s">
        <v>315</v>
      </c>
      <c r="AT779" t="s">
        <v>13267</v>
      </c>
      <c r="AU779">
        <v>2015</v>
      </c>
      <c r="AV779">
        <v>43</v>
      </c>
      <c r="AW779">
        <v>7</v>
      </c>
      <c r="AX779" t="s">
        <v>74</v>
      </c>
      <c r="AY779" t="s">
        <v>74</v>
      </c>
      <c r="AZ779" t="s">
        <v>74</v>
      </c>
      <c r="BA779" t="s">
        <v>74</v>
      </c>
      <c r="BB779">
        <v>567</v>
      </c>
      <c r="BC779">
        <v>570</v>
      </c>
      <c r="BD779" t="s">
        <v>74</v>
      </c>
      <c r="BE779" t="s">
        <v>14902</v>
      </c>
      <c r="BF779" t="str">
        <f>HYPERLINK("http://dx.doi.org/10.1130/G36664.1","http://dx.doi.org/10.1130/G36664.1")</f>
        <v>http://dx.doi.org/10.1130/G36664.1</v>
      </c>
      <c r="BG779" t="s">
        <v>74</v>
      </c>
      <c r="BH779" t="s">
        <v>74</v>
      </c>
      <c r="BI779">
        <v>4</v>
      </c>
      <c r="BJ779" t="s">
        <v>315</v>
      </c>
      <c r="BK779" t="s">
        <v>101</v>
      </c>
      <c r="BL779" t="s">
        <v>315</v>
      </c>
      <c r="BM779" t="s">
        <v>14903</v>
      </c>
      <c r="BN779" t="s">
        <v>74</v>
      </c>
      <c r="BO779" t="s">
        <v>1213</v>
      </c>
      <c r="BP779" t="s">
        <v>74</v>
      </c>
      <c r="BQ779" t="s">
        <v>74</v>
      </c>
      <c r="BR779" t="s">
        <v>103</v>
      </c>
      <c r="BS779" t="s">
        <v>14904</v>
      </c>
      <c r="BT779" t="str">
        <f>HYPERLINK("https%3A%2F%2Fwww.webofscience.com%2Fwos%2Fwoscc%2Ffull-record%2FWOS:000359013400003","View Full Record in Web of Science")</f>
        <v>View Full Record in Web of Science</v>
      </c>
    </row>
    <row r="780" spans="1:72" x14ac:dyDescent="0.15">
      <c r="A780" t="s">
        <v>72</v>
      </c>
      <c r="B780" t="s">
        <v>14905</v>
      </c>
      <c r="C780" t="s">
        <v>74</v>
      </c>
      <c r="D780" t="s">
        <v>74</v>
      </c>
      <c r="E780" t="s">
        <v>74</v>
      </c>
      <c r="F780" t="s">
        <v>14906</v>
      </c>
      <c r="G780" t="s">
        <v>74</v>
      </c>
      <c r="H780" t="s">
        <v>74</v>
      </c>
      <c r="I780" t="s">
        <v>14907</v>
      </c>
      <c r="J780" t="s">
        <v>5709</v>
      </c>
      <c r="K780" t="s">
        <v>74</v>
      </c>
      <c r="L780" t="s">
        <v>74</v>
      </c>
      <c r="M780" t="s">
        <v>78</v>
      </c>
      <c r="N780" t="s">
        <v>1612</v>
      </c>
      <c r="O780" t="s">
        <v>14908</v>
      </c>
      <c r="P780" t="s">
        <v>14909</v>
      </c>
      <c r="Q780" t="s">
        <v>14910</v>
      </c>
      <c r="R780" t="s">
        <v>74</v>
      </c>
      <c r="S780" t="s">
        <v>74</v>
      </c>
      <c r="T780" t="s">
        <v>14911</v>
      </c>
      <c r="U780" t="s">
        <v>14912</v>
      </c>
      <c r="V780" t="s">
        <v>14913</v>
      </c>
      <c r="W780" t="s">
        <v>14914</v>
      </c>
      <c r="X780" t="s">
        <v>14915</v>
      </c>
      <c r="Y780" t="s">
        <v>14916</v>
      </c>
      <c r="Z780" t="s">
        <v>14917</v>
      </c>
      <c r="AA780" t="s">
        <v>74</v>
      </c>
      <c r="AB780" t="s">
        <v>14918</v>
      </c>
      <c r="AC780" t="s">
        <v>14919</v>
      </c>
      <c r="AD780" t="s">
        <v>14920</v>
      </c>
      <c r="AE780" t="s">
        <v>74</v>
      </c>
      <c r="AF780" t="s">
        <v>74</v>
      </c>
      <c r="AG780">
        <v>102</v>
      </c>
      <c r="AH780">
        <v>16</v>
      </c>
      <c r="AI780">
        <v>19</v>
      </c>
      <c r="AJ780">
        <v>4</v>
      </c>
      <c r="AK780">
        <v>57</v>
      </c>
      <c r="AL780" t="s">
        <v>925</v>
      </c>
      <c r="AM780" t="s">
        <v>884</v>
      </c>
      <c r="AN780" t="s">
        <v>926</v>
      </c>
      <c r="AO780" t="s">
        <v>5722</v>
      </c>
      <c r="AP780" t="s">
        <v>5723</v>
      </c>
      <c r="AQ780" t="s">
        <v>74</v>
      </c>
      <c r="AR780" t="s">
        <v>5709</v>
      </c>
      <c r="AS780" t="s">
        <v>5724</v>
      </c>
      <c r="AT780" t="s">
        <v>13421</v>
      </c>
      <c r="AU780">
        <v>2015</v>
      </c>
      <c r="AV780">
        <v>240</v>
      </c>
      <c r="AW780" t="s">
        <v>74</v>
      </c>
      <c r="AX780" t="s">
        <v>74</v>
      </c>
      <c r="AY780" t="s">
        <v>74</v>
      </c>
      <c r="AZ780" t="s">
        <v>931</v>
      </c>
      <c r="BA780" t="s">
        <v>74</v>
      </c>
      <c r="BB780">
        <v>70</v>
      </c>
      <c r="BC780">
        <v>82</v>
      </c>
      <c r="BD780" t="s">
        <v>74</v>
      </c>
      <c r="BE780" t="s">
        <v>14921</v>
      </c>
      <c r="BF780" t="str">
        <f>HYPERLINK("http://dx.doi.org/10.1016/j.geomorph.2014.02.033","http://dx.doi.org/10.1016/j.geomorph.2014.02.033")</f>
        <v>http://dx.doi.org/10.1016/j.geomorph.2014.02.033</v>
      </c>
      <c r="BG780" t="s">
        <v>74</v>
      </c>
      <c r="BH780" t="s">
        <v>74</v>
      </c>
      <c r="BI780">
        <v>13</v>
      </c>
      <c r="BJ780" t="s">
        <v>1778</v>
      </c>
      <c r="BK780" t="s">
        <v>1631</v>
      </c>
      <c r="BL780" t="s">
        <v>1779</v>
      </c>
      <c r="BM780" t="s">
        <v>14922</v>
      </c>
      <c r="BN780" t="s">
        <v>74</v>
      </c>
      <c r="BO780" t="s">
        <v>74</v>
      </c>
      <c r="BP780" t="s">
        <v>74</v>
      </c>
      <c r="BQ780" t="s">
        <v>74</v>
      </c>
      <c r="BR780" t="s">
        <v>103</v>
      </c>
      <c r="BS780" t="s">
        <v>14923</v>
      </c>
      <c r="BT780" t="str">
        <f>HYPERLINK("https%3A%2F%2Fwww.webofscience.com%2Fwos%2Fwoscc%2Ffull-record%2FWOS:000355355600007","View Full Record in Web of Science")</f>
        <v>View Full Record in Web of Science</v>
      </c>
    </row>
    <row r="781" spans="1:72" x14ac:dyDescent="0.15">
      <c r="A781" t="s">
        <v>72</v>
      </c>
      <c r="B781" t="s">
        <v>14924</v>
      </c>
      <c r="C781" t="s">
        <v>74</v>
      </c>
      <c r="D781" t="s">
        <v>74</v>
      </c>
      <c r="E781" t="s">
        <v>74</v>
      </c>
      <c r="F781" t="s">
        <v>14925</v>
      </c>
      <c r="G781" t="s">
        <v>74</v>
      </c>
      <c r="H781" t="s">
        <v>74</v>
      </c>
      <c r="I781" t="s">
        <v>14926</v>
      </c>
      <c r="J781" t="s">
        <v>14927</v>
      </c>
      <c r="K781" t="s">
        <v>74</v>
      </c>
      <c r="L781" t="s">
        <v>74</v>
      </c>
      <c r="M781" t="s">
        <v>78</v>
      </c>
      <c r="N781" t="s">
        <v>7762</v>
      </c>
      <c r="O781" t="s">
        <v>74</v>
      </c>
      <c r="P781" t="s">
        <v>74</v>
      </c>
      <c r="Q781" t="s">
        <v>74</v>
      </c>
      <c r="R781" t="s">
        <v>74</v>
      </c>
      <c r="S781" t="s">
        <v>74</v>
      </c>
      <c r="T781" t="s">
        <v>14928</v>
      </c>
      <c r="U781" t="s">
        <v>14929</v>
      </c>
      <c r="V781" t="s">
        <v>14930</v>
      </c>
      <c r="W781" t="s">
        <v>14931</v>
      </c>
      <c r="X781" t="s">
        <v>14932</v>
      </c>
      <c r="Y781" t="s">
        <v>14933</v>
      </c>
      <c r="Z781" t="s">
        <v>14934</v>
      </c>
      <c r="AA781" t="s">
        <v>14935</v>
      </c>
      <c r="AB781" t="s">
        <v>14936</v>
      </c>
      <c r="AC781" t="s">
        <v>14937</v>
      </c>
      <c r="AD781" t="s">
        <v>14938</v>
      </c>
      <c r="AE781" t="s">
        <v>14939</v>
      </c>
      <c r="AF781" t="s">
        <v>74</v>
      </c>
      <c r="AG781">
        <v>33</v>
      </c>
      <c r="AH781">
        <v>100</v>
      </c>
      <c r="AI781">
        <v>104</v>
      </c>
      <c r="AJ781">
        <v>1</v>
      </c>
      <c r="AK781">
        <v>30</v>
      </c>
      <c r="AL781" t="s">
        <v>208</v>
      </c>
      <c r="AM781" t="s">
        <v>209</v>
      </c>
      <c r="AN781" t="s">
        <v>210</v>
      </c>
      <c r="AO781" t="s">
        <v>14940</v>
      </c>
      <c r="AP781" t="s">
        <v>74</v>
      </c>
      <c r="AQ781" t="s">
        <v>74</v>
      </c>
      <c r="AR781" t="s">
        <v>14941</v>
      </c>
      <c r="AS781" t="s">
        <v>14942</v>
      </c>
      <c r="AT781" t="s">
        <v>13267</v>
      </c>
      <c r="AU781">
        <v>2015</v>
      </c>
      <c r="AV781">
        <v>2</v>
      </c>
      <c r="AW781">
        <v>1</v>
      </c>
      <c r="AX781" t="s">
        <v>74</v>
      </c>
      <c r="AY781" t="s">
        <v>74</v>
      </c>
      <c r="AZ781" t="s">
        <v>74</v>
      </c>
      <c r="BA781" t="s">
        <v>74</v>
      </c>
      <c r="BB781">
        <v>31</v>
      </c>
      <c r="BC781">
        <v>46</v>
      </c>
      <c r="BD781" t="s">
        <v>74</v>
      </c>
      <c r="BE781" t="s">
        <v>14943</v>
      </c>
      <c r="BF781" t="str">
        <f>HYPERLINK("http://dx.doi.org/10.1002/gdj3.25","http://dx.doi.org/10.1002/gdj3.25")</f>
        <v>http://dx.doi.org/10.1002/gdj3.25</v>
      </c>
      <c r="BG781" t="s">
        <v>74</v>
      </c>
      <c r="BH781" t="s">
        <v>74</v>
      </c>
      <c r="BI781">
        <v>16</v>
      </c>
      <c r="BJ781" t="s">
        <v>14944</v>
      </c>
      <c r="BK781" t="s">
        <v>101</v>
      </c>
      <c r="BL781" t="s">
        <v>14945</v>
      </c>
      <c r="BM781" t="s">
        <v>14946</v>
      </c>
      <c r="BN781" t="s">
        <v>74</v>
      </c>
      <c r="BO781" t="s">
        <v>14947</v>
      </c>
      <c r="BP781" t="s">
        <v>74</v>
      </c>
      <c r="BQ781" t="s">
        <v>74</v>
      </c>
      <c r="BR781" t="s">
        <v>103</v>
      </c>
      <c r="BS781" t="s">
        <v>14948</v>
      </c>
      <c r="BT781" t="str">
        <f>HYPERLINK("https%3A%2F%2Fwww.webofscience.com%2Fwos%2Fwoscc%2Ffull-record%2FWOS:000364220100004","View Full Record in Web of Science")</f>
        <v>View Full Record in Web of Science</v>
      </c>
    </row>
    <row r="782" spans="1:72" x14ac:dyDescent="0.15">
      <c r="A782" t="s">
        <v>72</v>
      </c>
      <c r="B782" t="s">
        <v>14949</v>
      </c>
      <c r="C782" t="s">
        <v>74</v>
      </c>
      <c r="D782" t="s">
        <v>74</v>
      </c>
      <c r="E782" t="s">
        <v>74</v>
      </c>
      <c r="F782" t="s">
        <v>14950</v>
      </c>
      <c r="G782" t="s">
        <v>74</v>
      </c>
      <c r="H782" t="s">
        <v>74</v>
      </c>
      <c r="I782" t="s">
        <v>14951</v>
      </c>
      <c r="J782" t="s">
        <v>4042</v>
      </c>
      <c r="K782" t="s">
        <v>74</v>
      </c>
      <c r="L782" t="s">
        <v>74</v>
      </c>
      <c r="M782" t="s">
        <v>78</v>
      </c>
      <c r="N782" t="s">
        <v>79</v>
      </c>
      <c r="O782" t="s">
        <v>74</v>
      </c>
      <c r="P782" t="s">
        <v>74</v>
      </c>
      <c r="Q782" t="s">
        <v>74</v>
      </c>
      <c r="R782" t="s">
        <v>74</v>
      </c>
      <c r="S782" t="s">
        <v>74</v>
      </c>
      <c r="T782" t="s">
        <v>14952</v>
      </c>
      <c r="U782" t="s">
        <v>14953</v>
      </c>
      <c r="V782" t="s">
        <v>14954</v>
      </c>
      <c r="W782" t="s">
        <v>14955</v>
      </c>
      <c r="X782" t="s">
        <v>14956</v>
      </c>
      <c r="Y782" t="s">
        <v>14957</v>
      </c>
      <c r="Z782" t="s">
        <v>14958</v>
      </c>
      <c r="AA782" t="s">
        <v>14959</v>
      </c>
      <c r="AB782" t="s">
        <v>14960</v>
      </c>
      <c r="AC782" t="s">
        <v>14961</v>
      </c>
      <c r="AD782" t="s">
        <v>14962</v>
      </c>
      <c r="AE782" t="s">
        <v>14963</v>
      </c>
      <c r="AF782" t="s">
        <v>74</v>
      </c>
      <c r="AG782">
        <v>82</v>
      </c>
      <c r="AH782">
        <v>20</v>
      </c>
      <c r="AI782">
        <v>21</v>
      </c>
      <c r="AJ782">
        <v>1</v>
      </c>
      <c r="AK782">
        <v>46</v>
      </c>
      <c r="AL782" t="s">
        <v>306</v>
      </c>
      <c r="AM782" t="s">
        <v>307</v>
      </c>
      <c r="AN782" t="s">
        <v>308</v>
      </c>
      <c r="AO782" t="s">
        <v>4054</v>
      </c>
      <c r="AP782" t="s">
        <v>4055</v>
      </c>
      <c r="AQ782" t="s">
        <v>74</v>
      </c>
      <c r="AR782" t="s">
        <v>4056</v>
      </c>
      <c r="AS782" t="s">
        <v>4057</v>
      </c>
      <c r="AT782" t="s">
        <v>13267</v>
      </c>
      <c r="AU782">
        <v>2015</v>
      </c>
      <c r="AV782">
        <v>29</v>
      </c>
      <c r="AW782">
        <v>7</v>
      </c>
      <c r="AX782" t="s">
        <v>74</v>
      </c>
      <c r="AY782" t="s">
        <v>74</v>
      </c>
      <c r="AZ782" t="s">
        <v>74</v>
      </c>
      <c r="BA782" t="s">
        <v>74</v>
      </c>
      <c r="BB782">
        <v>994</v>
      </c>
      <c r="BC782">
        <v>1013</v>
      </c>
      <c r="BD782" t="s">
        <v>74</v>
      </c>
      <c r="BE782" t="s">
        <v>14964</v>
      </c>
      <c r="BF782" t="str">
        <f>HYPERLINK("http://dx.doi.org/10.1002/2014GB004975","http://dx.doi.org/10.1002/2014GB004975")</f>
        <v>http://dx.doi.org/10.1002/2014GB004975</v>
      </c>
      <c r="BG782" t="s">
        <v>74</v>
      </c>
      <c r="BH782" t="s">
        <v>74</v>
      </c>
      <c r="BI782">
        <v>20</v>
      </c>
      <c r="BJ782" t="s">
        <v>2464</v>
      </c>
      <c r="BK782" t="s">
        <v>101</v>
      </c>
      <c r="BL782" t="s">
        <v>2465</v>
      </c>
      <c r="BM782" t="s">
        <v>14965</v>
      </c>
      <c r="BN782" t="s">
        <v>74</v>
      </c>
      <c r="BO782" t="s">
        <v>14966</v>
      </c>
      <c r="BP782" t="s">
        <v>74</v>
      </c>
      <c r="BQ782" t="s">
        <v>74</v>
      </c>
      <c r="BR782" t="s">
        <v>103</v>
      </c>
      <c r="BS782" t="s">
        <v>14967</v>
      </c>
      <c r="BT782" t="str">
        <f>HYPERLINK("https%3A%2F%2Fwww.webofscience.com%2Fwos%2Fwoscc%2Ffull-record%2FWOS:000359810400005","View Full Record in Web of Science")</f>
        <v>View Full Record in Web of Science</v>
      </c>
    </row>
    <row r="783" spans="1:72" x14ac:dyDescent="0.15">
      <c r="A783" t="s">
        <v>72</v>
      </c>
      <c r="B783" t="s">
        <v>14968</v>
      </c>
      <c r="C783" t="s">
        <v>74</v>
      </c>
      <c r="D783" t="s">
        <v>74</v>
      </c>
      <c r="E783" t="s">
        <v>74</v>
      </c>
      <c r="F783" t="s">
        <v>14969</v>
      </c>
      <c r="G783" t="s">
        <v>74</v>
      </c>
      <c r="H783" t="s">
        <v>74</v>
      </c>
      <c r="I783" t="s">
        <v>14970</v>
      </c>
      <c r="J783" t="s">
        <v>6314</v>
      </c>
      <c r="K783" t="s">
        <v>74</v>
      </c>
      <c r="L783" t="s">
        <v>74</v>
      </c>
      <c r="M783" t="s">
        <v>78</v>
      </c>
      <c r="N783" t="s">
        <v>79</v>
      </c>
      <c r="O783" t="s">
        <v>74</v>
      </c>
      <c r="P783" t="s">
        <v>74</v>
      </c>
      <c r="Q783" t="s">
        <v>74</v>
      </c>
      <c r="R783" t="s">
        <v>74</v>
      </c>
      <c r="S783" t="s">
        <v>74</v>
      </c>
      <c r="T783" t="s">
        <v>14971</v>
      </c>
      <c r="U783" t="s">
        <v>14972</v>
      </c>
      <c r="V783" t="s">
        <v>14973</v>
      </c>
      <c r="W783" t="s">
        <v>14974</v>
      </c>
      <c r="X783" t="s">
        <v>14975</v>
      </c>
      <c r="Y783" t="s">
        <v>14976</v>
      </c>
      <c r="Z783" t="s">
        <v>14977</v>
      </c>
      <c r="AA783" t="s">
        <v>14978</v>
      </c>
      <c r="AB783" t="s">
        <v>14979</v>
      </c>
      <c r="AC783" t="s">
        <v>14980</v>
      </c>
      <c r="AD783" t="s">
        <v>14981</v>
      </c>
      <c r="AE783" t="s">
        <v>14982</v>
      </c>
      <c r="AF783" t="s">
        <v>74</v>
      </c>
      <c r="AG783">
        <v>61</v>
      </c>
      <c r="AH783">
        <v>27</v>
      </c>
      <c r="AI783">
        <v>27</v>
      </c>
      <c r="AJ783">
        <v>0</v>
      </c>
      <c r="AK783">
        <v>72</v>
      </c>
      <c r="AL783" t="s">
        <v>2279</v>
      </c>
      <c r="AM783" t="s">
        <v>398</v>
      </c>
      <c r="AN783" t="s">
        <v>2280</v>
      </c>
      <c r="AO783" t="s">
        <v>6326</v>
      </c>
      <c r="AP783" t="s">
        <v>6327</v>
      </c>
      <c r="AQ783" t="s">
        <v>74</v>
      </c>
      <c r="AR783" t="s">
        <v>6328</v>
      </c>
      <c r="AS783" t="s">
        <v>6329</v>
      </c>
      <c r="AT783" t="s">
        <v>13267</v>
      </c>
      <c r="AU783">
        <v>2015</v>
      </c>
      <c r="AV783">
        <v>72</v>
      </c>
      <c r="AW783" t="s">
        <v>74</v>
      </c>
      <c r="AX783" t="s">
        <v>74</v>
      </c>
      <c r="AY783">
        <v>1</v>
      </c>
      <c r="AZ783" t="s">
        <v>74</v>
      </c>
      <c r="BA783" t="s">
        <v>74</v>
      </c>
      <c r="BB783">
        <v>59</v>
      </c>
      <c r="BC783">
        <v>68</v>
      </c>
      <c r="BD783" t="s">
        <v>74</v>
      </c>
      <c r="BE783" t="s">
        <v>14983</v>
      </c>
      <c r="BF783" t="str">
        <f>HYPERLINK("http://dx.doi.org/10.1093/icesjms/fsu199","http://dx.doi.org/10.1093/icesjms/fsu199")</f>
        <v>http://dx.doi.org/10.1093/icesjms/fsu199</v>
      </c>
      <c r="BG783" t="s">
        <v>74</v>
      </c>
      <c r="BH783" t="s">
        <v>74</v>
      </c>
      <c r="BI783">
        <v>10</v>
      </c>
      <c r="BJ783" t="s">
        <v>2128</v>
      </c>
      <c r="BK783" t="s">
        <v>101</v>
      </c>
      <c r="BL783" t="s">
        <v>2128</v>
      </c>
      <c r="BM783" t="s">
        <v>13777</v>
      </c>
      <c r="BN783" t="s">
        <v>74</v>
      </c>
      <c r="BO783" t="s">
        <v>162</v>
      </c>
      <c r="BP783" t="s">
        <v>74</v>
      </c>
      <c r="BQ783" t="s">
        <v>74</v>
      </c>
      <c r="BR783" t="s">
        <v>103</v>
      </c>
      <c r="BS783" t="s">
        <v>14984</v>
      </c>
      <c r="BT783" t="str">
        <f>HYPERLINK("https%3A%2F%2Fwww.webofscience.com%2Fwos%2Fwoscc%2Ffull-record%2FWOS:000359698700006","View Full Record in Web of Science")</f>
        <v>View Full Record in Web of Science</v>
      </c>
    </row>
    <row r="784" spans="1:72" x14ac:dyDescent="0.15">
      <c r="A784" t="s">
        <v>72</v>
      </c>
      <c r="B784" t="s">
        <v>14985</v>
      </c>
      <c r="C784" t="s">
        <v>74</v>
      </c>
      <c r="D784" t="s">
        <v>74</v>
      </c>
      <c r="E784" t="s">
        <v>74</v>
      </c>
      <c r="F784" t="s">
        <v>14986</v>
      </c>
      <c r="G784" t="s">
        <v>74</v>
      </c>
      <c r="H784" t="s">
        <v>74</v>
      </c>
      <c r="I784" t="s">
        <v>14987</v>
      </c>
      <c r="J784" t="s">
        <v>6314</v>
      </c>
      <c r="K784" t="s">
        <v>74</v>
      </c>
      <c r="L784" t="s">
        <v>74</v>
      </c>
      <c r="M784" t="s">
        <v>78</v>
      </c>
      <c r="N784" t="s">
        <v>79</v>
      </c>
      <c r="O784" t="s">
        <v>74</v>
      </c>
      <c r="P784" t="s">
        <v>74</v>
      </c>
      <c r="Q784" t="s">
        <v>74</v>
      </c>
      <c r="R784" t="s">
        <v>74</v>
      </c>
      <c r="S784" t="s">
        <v>74</v>
      </c>
      <c r="T784" t="s">
        <v>14988</v>
      </c>
      <c r="U784" t="s">
        <v>14989</v>
      </c>
      <c r="V784" t="s">
        <v>14990</v>
      </c>
      <c r="W784" t="s">
        <v>14991</v>
      </c>
      <c r="X784" t="s">
        <v>14992</v>
      </c>
      <c r="Y784" t="s">
        <v>14993</v>
      </c>
      <c r="Z784" t="s">
        <v>14994</v>
      </c>
      <c r="AA784" t="s">
        <v>14995</v>
      </c>
      <c r="AB784" t="s">
        <v>14996</v>
      </c>
      <c r="AC784" t="s">
        <v>14997</v>
      </c>
      <c r="AD784" t="s">
        <v>859</v>
      </c>
      <c r="AE784" t="s">
        <v>74</v>
      </c>
      <c r="AF784" t="s">
        <v>74</v>
      </c>
      <c r="AG784">
        <v>57</v>
      </c>
      <c r="AH784">
        <v>37</v>
      </c>
      <c r="AI784">
        <v>40</v>
      </c>
      <c r="AJ784">
        <v>0</v>
      </c>
      <c r="AK784">
        <v>33</v>
      </c>
      <c r="AL784" t="s">
        <v>2279</v>
      </c>
      <c r="AM784" t="s">
        <v>398</v>
      </c>
      <c r="AN784" t="s">
        <v>2280</v>
      </c>
      <c r="AO784" t="s">
        <v>6326</v>
      </c>
      <c r="AP784" t="s">
        <v>6327</v>
      </c>
      <c r="AQ784" t="s">
        <v>74</v>
      </c>
      <c r="AR784" t="s">
        <v>6328</v>
      </c>
      <c r="AS784" t="s">
        <v>6329</v>
      </c>
      <c r="AT784" t="s">
        <v>13351</v>
      </c>
      <c r="AU784">
        <v>2015</v>
      </c>
      <c r="AV784">
        <v>72</v>
      </c>
      <c r="AW784">
        <v>6</v>
      </c>
      <c r="AX784" t="s">
        <v>74</v>
      </c>
      <c r="AY784" t="s">
        <v>74</v>
      </c>
      <c r="AZ784" t="s">
        <v>74</v>
      </c>
      <c r="BA784" t="s">
        <v>74</v>
      </c>
      <c r="BB784">
        <v>1971</v>
      </c>
      <c r="BC784">
        <v>1984</v>
      </c>
      <c r="BD784" t="s">
        <v>74</v>
      </c>
      <c r="BE784" t="s">
        <v>14998</v>
      </c>
      <c r="BF784" t="str">
        <f>HYPERLINK("http://dx.doi.org/10.1093/icesjms/fsv053","http://dx.doi.org/10.1093/icesjms/fsv053")</f>
        <v>http://dx.doi.org/10.1093/icesjms/fsv053</v>
      </c>
      <c r="BG784" t="s">
        <v>74</v>
      </c>
      <c r="BH784" t="s">
        <v>74</v>
      </c>
      <c r="BI784">
        <v>14</v>
      </c>
      <c r="BJ784" t="s">
        <v>2128</v>
      </c>
      <c r="BK784" t="s">
        <v>101</v>
      </c>
      <c r="BL784" t="s">
        <v>2128</v>
      </c>
      <c r="BM784" t="s">
        <v>14999</v>
      </c>
      <c r="BN784" t="s">
        <v>74</v>
      </c>
      <c r="BO784" t="s">
        <v>162</v>
      </c>
      <c r="BP784" t="s">
        <v>74</v>
      </c>
      <c r="BQ784" t="s">
        <v>74</v>
      </c>
      <c r="BR784" t="s">
        <v>103</v>
      </c>
      <c r="BS784" t="s">
        <v>15000</v>
      </c>
      <c r="BT784" t="str">
        <f>HYPERLINK("https%3A%2F%2Fwww.webofscience.com%2Fwos%2Fwoscc%2Ffull-record%2FWOS:000359696500024","View Full Record in Web of Science")</f>
        <v>View Full Record in Web of Science</v>
      </c>
    </row>
    <row r="785" spans="1:72" x14ac:dyDescent="0.15">
      <c r="A785" t="s">
        <v>72</v>
      </c>
      <c r="B785" t="s">
        <v>15001</v>
      </c>
      <c r="C785" t="s">
        <v>74</v>
      </c>
      <c r="D785" t="s">
        <v>74</v>
      </c>
      <c r="E785" t="s">
        <v>74</v>
      </c>
      <c r="F785" t="s">
        <v>15002</v>
      </c>
      <c r="G785" t="s">
        <v>74</v>
      </c>
      <c r="H785" t="s">
        <v>74</v>
      </c>
      <c r="I785" t="s">
        <v>15003</v>
      </c>
      <c r="J785" t="s">
        <v>6314</v>
      </c>
      <c r="K785" t="s">
        <v>74</v>
      </c>
      <c r="L785" t="s">
        <v>74</v>
      </c>
      <c r="M785" t="s">
        <v>78</v>
      </c>
      <c r="N785" t="s">
        <v>79</v>
      </c>
      <c r="O785" t="s">
        <v>74</v>
      </c>
      <c r="P785" t="s">
        <v>74</v>
      </c>
      <c r="Q785" t="s">
        <v>74</v>
      </c>
      <c r="R785" t="s">
        <v>74</v>
      </c>
      <c r="S785" t="s">
        <v>74</v>
      </c>
      <c r="T785" t="s">
        <v>15004</v>
      </c>
      <c r="U785" t="s">
        <v>15005</v>
      </c>
      <c r="V785" t="s">
        <v>15006</v>
      </c>
      <c r="W785" t="s">
        <v>15007</v>
      </c>
      <c r="X785" t="s">
        <v>15008</v>
      </c>
      <c r="Y785" t="s">
        <v>15009</v>
      </c>
      <c r="Z785" t="s">
        <v>15010</v>
      </c>
      <c r="AA785" t="s">
        <v>15011</v>
      </c>
      <c r="AB785" t="s">
        <v>14996</v>
      </c>
      <c r="AC785" t="s">
        <v>15012</v>
      </c>
      <c r="AD785" t="s">
        <v>15013</v>
      </c>
      <c r="AE785" t="s">
        <v>15014</v>
      </c>
      <c r="AF785" t="s">
        <v>74</v>
      </c>
      <c r="AG785">
        <v>55</v>
      </c>
      <c r="AH785">
        <v>32</v>
      </c>
      <c r="AI785">
        <v>36</v>
      </c>
      <c r="AJ785">
        <v>0</v>
      </c>
      <c r="AK785">
        <v>35</v>
      </c>
      <c r="AL785" t="s">
        <v>2279</v>
      </c>
      <c r="AM785" t="s">
        <v>398</v>
      </c>
      <c r="AN785" t="s">
        <v>2280</v>
      </c>
      <c r="AO785" t="s">
        <v>6326</v>
      </c>
      <c r="AP785" t="s">
        <v>6327</v>
      </c>
      <c r="AQ785" t="s">
        <v>74</v>
      </c>
      <c r="AR785" t="s">
        <v>6328</v>
      </c>
      <c r="AS785" t="s">
        <v>6329</v>
      </c>
      <c r="AT785" t="s">
        <v>13351</v>
      </c>
      <c r="AU785">
        <v>2015</v>
      </c>
      <c r="AV785">
        <v>72</v>
      </c>
      <c r="AW785">
        <v>6</v>
      </c>
      <c r="AX785" t="s">
        <v>74</v>
      </c>
      <c r="AY785" t="s">
        <v>74</v>
      </c>
      <c r="AZ785" t="s">
        <v>74</v>
      </c>
      <c r="BA785" t="s">
        <v>74</v>
      </c>
      <c r="BB785">
        <v>1985</v>
      </c>
      <c r="BC785">
        <v>1998</v>
      </c>
      <c r="BD785" t="s">
        <v>74</v>
      </c>
      <c r="BE785" t="s">
        <v>15015</v>
      </c>
      <c r="BF785" t="str">
        <f>HYPERLINK("http://dx.doi.org/10.1093/icesjms/fsv069","http://dx.doi.org/10.1093/icesjms/fsv069")</f>
        <v>http://dx.doi.org/10.1093/icesjms/fsv069</v>
      </c>
      <c r="BG785" t="s">
        <v>74</v>
      </c>
      <c r="BH785" t="s">
        <v>74</v>
      </c>
      <c r="BI785">
        <v>14</v>
      </c>
      <c r="BJ785" t="s">
        <v>2128</v>
      </c>
      <c r="BK785" t="s">
        <v>101</v>
      </c>
      <c r="BL785" t="s">
        <v>2128</v>
      </c>
      <c r="BM785" t="s">
        <v>14999</v>
      </c>
      <c r="BN785" t="s">
        <v>74</v>
      </c>
      <c r="BO785" t="s">
        <v>162</v>
      </c>
      <c r="BP785" t="s">
        <v>74</v>
      </c>
      <c r="BQ785" t="s">
        <v>74</v>
      </c>
      <c r="BR785" t="s">
        <v>103</v>
      </c>
      <c r="BS785" t="s">
        <v>15016</v>
      </c>
      <c r="BT785" t="str">
        <f>HYPERLINK("https%3A%2F%2Fwww.webofscience.com%2Fwos%2Fwoscc%2Ffull-record%2FWOS:000359696500025","View Full Record in Web of Science")</f>
        <v>View Full Record in Web of Science</v>
      </c>
    </row>
    <row r="786" spans="1:72" x14ac:dyDescent="0.15">
      <c r="A786" t="s">
        <v>72</v>
      </c>
      <c r="B786" t="s">
        <v>15017</v>
      </c>
      <c r="C786" t="s">
        <v>74</v>
      </c>
      <c r="D786" t="s">
        <v>74</v>
      </c>
      <c r="E786" t="s">
        <v>74</v>
      </c>
      <c r="F786" t="s">
        <v>15018</v>
      </c>
      <c r="G786" t="s">
        <v>74</v>
      </c>
      <c r="H786" t="s">
        <v>74</v>
      </c>
      <c r="I786" t="s">
        <v>15019</v>
      </c>
      <c r="J786" t="s">
        <v>6314</v>
      </c>
      <c r="K786" t="s">
        <v>74</v>
      </c>
      <c r="L786" t="s">
        <v>74</v>
      </c>
      <c r="M786" t="s">
        <v>78</v>
      </c>
      <c r="N786" t="s">
        <v>79</v>
      </c>
      <c r="O786" t="s">
        <v>74</v>
      </c>
      <c r="P786" t="s">
        <v>74</v>
      </c>
      <c r="Q786" t="s">
        <v>74</v>
      </c>
      <c r="R786" t="s">
        <v>74</v>
      </c>
      <c r="S786" t="s">
        <v>74</v>
      </c>
      <c r="T786" t="s">
        <v>15020</v>
      </c>
      <c r="U786" t="s">
        <v>15021</v>
      </c>
      <c r="V786" t="s">
        <v>15022</v>
      </c>
      <c r="W786" t="s">
        <v>15023</v>
      </c>
      <c r="X786" t="s">
        <v>15024</v>
      </c>
      <c r="Y786" t="s">
        <v>15025</v>
      </c>
      <c r="Z786" t="s">
        <v>15026</v>
      </c>
      <c r="AA786" t="s">
        <v>15027</v>
      </c>
      <c r="AB786" t="s">
        <v>15028</v>
      </c>
      <c r="AC786" t="s">
        <v>15029</v>
      </c>
      <c r="AD786" t="s">
        <v>15030</v>
      </c>
      <c r="AE786" t="s">
        <v>15031</v>
      </c>
      <c r="AF786" t="s">
        <v>74</v>
      </c>
      <c r="AG786">
        <v>123</v>
      </c>
      <c r="AH786">
        <v>33</v>
      </c>
      <c r="AI786">
        <v>35</v>
      </c>
      <c r="AJ786">
        <v>2</v>
      </c>
      <c r="AK786">
        <v>33</v>
      </c>
      <c r="AL786" t="s">
        <v>2279</v>
      </c>
      <c r="AM786" t="s">
        <v>398</v>
      </c>
      <c r="AN786" t="s">
        <v>2280</v>
      </c>
      <c r="AO786" t="s">
        <v>6326</v>
      </c>
      <c r="AP786" t="s">
        <v>6327</v>
      </c>
      <c r="AQ786" t="s">
        <v>74</v>
      </c>
      <c r="AR786" t="s">
        <v>6328</v>
      </c>
      <c r="AS786" t="s">
        <v>6329</v>
      </c>
      <c r="AT786" t="s">
        <v>13351</v>
      </c>
      <c r="AU786">
        <v>2015</v>
      </c>
      <c r="AV786">
        <v>72</v>
      </c>
      <c r="AW786">
        <v>6</v>
      </c>
      <c r="AX786" t="s">
        <v>74</v>
      </c>
      <c r="AY786" t="s">
        <v>74</v>
      </c>
      <c r="AZ786" t="s">
        <v>74</v>
      </c>
      <c r="BA786" t="s">
        <v>74</v>
      </c>
      <c r="BB786">
        <v>1999</v>
      </c>
      <c r="BC786">
        <v>2020</v>
      </c>
      <c r="BD786" t="s">
        <v>74</v>
      </c>
      <c r="BE786" t="s">
        <v>15032</v>
      </c>
      <c r="BF786" t="str">
        <f>HYPERLINK("http://dx.doi.org/10.1093/icesjms/fsv105","http://dx.doi.org/10.1093/icesjms/fsv105")</f>
        <v>http://dx.doi.org/10.1093/icesjms/fsv105</v>
      </c>
      <c r="BG786" t="s">
        <v>74</v>
      </c>
      <c r="BH786" t="s">
        <v>74</v>
      </c>
      <c r="BI786">
        <v>22</v>
      </c>
      <c r="BJ786" t="s">
        <v>2128</v>
      </c>
      <c r="BK786" t="s">
        <v>101</v>
      </c>
      <c r="BL786" t="s">
        <v>2128</v>
      </c>
      <c r="BM786" t="s">
        <v>14999</v>
      </c>
      <c r="BN786" t="s">
        <v>74</v>
      </c>
      <c r="BO786" t="s">
        <v>162</v>
      </c>
      <c r="BP786" t="s">
        <v>74</v>
      </c>
      <c r="BQ786" t="s">
        <v>74</v>
      </c>
      <c r="BR786" t="s">
        <v>103</v>
      </c>
      <c r="BS786" t="s">
        <v>15033</v>
      </c>
      <c r="BT786" t="str">
        <f>HYPERLINK("https%3A%2F%2Fwww.webofscience.com%2Fwos%2Fwoscc%2Ffull-record%2FWOS:000359696500026","View Full Record in Web of Science")</f>
        <v>View Full Record in Web of Science</v>
      </c>
    </row>
    <row r="787" spans="1:72" x14ac:dyDescent="0.15">
      <c r="A787" t="s">
        <v>72</v>
      </c>
      <c r="B787" t="s">
        <v>15034</v>
      </c>
      <c r="C787" t="s">
        <v>74</v>
      </c>
      <c r="D787" t="s">
        <v>74</v>
      </c>
      <c r="E787" t="s">
        <v>74</v>
      </c>
      <c r="F787" t="s">
        <v>15035</v>
      </c>
      <c r="G787" t="s">
        <v>74</v>
      </c>
      <c r="H787" t="s">
        <v>74</v>
      </c>
      <c r="I787" t="s">
        <v>15036</v>
      </c>
      <c r="J787" t="s">
        <v>15037</v>
      </c>
      <c r="K787" t="s">
        <v>74</v>
      </c>
      <c r="L787" t="s">
        <v>74</v>
      </c>
      <c r="M787" t="s">
        <v>78</v>
      </c>
      <c r="N787" t="s">
        <v>79</v>
      </c>
      <c r="O787" t="s">
        <v>74</v>
      </c>
      <c r="P787" t="s">
        <v>74</v>
      </c>
      <c r="Q787" t="s">
        <v>74</v>
      </c>
      <c r="R787" t="s">
        <v>74</v>
      </c>
      <c r="S787" t="s">
        <v>74</v>
      </c>
      <c r="T787" t="s">
        <v>15038</v>
      </c>
      <c r="U787" t="s">
        <v>15039</v>
      </c>
      <c r="V787" t="s">
        <v>15040</v>
      </c>
      <c r="W787" t="s">
        <v>15041</v>
      </c>
      <c r="X787" t="s">
        <v>15042</v>
      </c>
      <c r="Y787" t="s">
        <v>15043</v>
      </c>
      <c r="Z787" t="s">
        <v>15044</v>
      </c>
      <c r="AA787" t="s">
        <v>15045</v>
      </c>
      <c r="AB787" t="s">
        <v>15046</v>
      </c>
      <c r="AC787" t="s">
        <v>15047</v>
      </c>
      <c r="AD787" t="s">
        <v>15048</v>
      </c>
      <c r="AE787" t="s">
        <v>15049</v>
      </c>
      <c r="AF787" t="s">
        <v>74</v>
      </c>
      <c r="AG787">
        <v>21</v>
      </c>
      <c r="AH787">
        <v>29</v>
      </c>
      <c r="AI787">
        <v>34</v>
      </c>
      <c r="AJ787">
        <v>4</v>
      </c>
      <c r="AK787">
        <v>47</v>
      </c>
      <c r="AL787" t="s">
        <v>4118</v>
      </c>
      <c r="AM787" t="s">
        <v>4119</v>
      </c>
      <c r="AN787" t="s">
        <v>4120</v>
      </c>
      <c r="AO787" t="s">
        <v>15050</v>
      </c>
      <c r="AP787" t="s">
        <v>15051</v>
      </c>
      <c r="AQ787" t="s">
        <v>74</v>
      </c>
      <c r="AR787" t="s">
        <v>15052</v>
      </c>
      <c r="AS787" t="s">
        <v>15053</v>
      </c>
      <c r="AT787" t="s">
        <v>13267</v>
      </c>
      <c r="AU787">
        <v>2015</v>
      </c>
      <c r="AV787">
        <v>12</v>
      </c>
      <c r="AW787">
        <v>7</v>
      </c>
      <c r="AX787" t="s">
        <v>74</v>
      </c>
      <c r="AY787" t="s">
        <v>74</v>
      </c>
      <c r="AZ787" t="s">
        <v>74</v>
      </c>
      <c r="BA787" t="s">
        <v>74</v>
      </c>
      <c r="BB787">
        <v>1516</v>
      </c>
      <c r="BC787">
        <v>1520</v>
      </c>
      <c r="BD787" t="s">
        <v>74</v>
      </c>
      <c r="BE787" t="s">
        <v>15054</v>
      </c>
      <c r="BF787" t="str">
        <f>HYPERLINK("http://dx.doi.org/10.1109/LGRS.2015.2411434","http://dx.doi.org/10.1109/LGRS.2015.2411434")</f>
        <v>http://dx.doi.org/10.1109/LGRS.2015.2411434</v>
      </c>
      <c r="BG787" t="s">
        <v>74</v>
      </c>
      <c r="BH787" t="s">
        <v>74</v>
      </c>
      <c r="BI787">
        <v>5</v>
      </c>
      <c r="BJ787" t="s">
        <v>12418</v>
      </c>
      <c r="BK787" t="s">
        <v>101</v>
      </c>
      <c r="BL787" t="s">
        <v>12419</v>
      </c>
      <c r="BM787" t="s">
        <v>15055</v>
      </c>
      <c r="BN787" t="s">
        <v>74</v>
      </c>
      <c r="BO787" t="s">
        <v>74</v>
      </c>
      <c r="BP787" t="s">
        <v>74</v>
      </c>
      <c r="BQ787" t="s">
        <v>74</v>
      </c>
      <c r="BR787" t="s">
        <v>103</v>
      </c>
      <c r="BS787" t="s">
        <v>15056</v>
      </c>
      <c r="BT787" t="str">
        <f>HYPERLINK("https%3A%2F%2Fwww.webofscience.com%2Fwos%2Fwoscc%2Ffull-record%2FWOS:000356543100017","View Full Record in Web of Science")</f>
        <v>View Full Record in Web of Science</v>
      </c>
    </row>
    <row r="788" spans="1:72" x14ac:dyDescent="0.15">
      <c r="A788" t="s">
        <v>72</v>
      </c>
      <c r="B788" t="s">
        <v>15057</v>
      </c>
      <c r="C788" t="s">
        <v>74</v>
      </c>
      <c r="D788" t="s">
        <v>74</v>
      </c>
      <c r="E788" t="s">
        <v>74</v>
      </c>
      <c r="F788" t="s">
        <v>15058</v>
      </c>
      <c r="G788" t="s">
        <v>74</v>
      </c>
      <c r="H788" t="s">
        <v>74</v>
      </c>
      <c r="I788" t="s">
        <v>15059</v>
      </c>
      <c r="J788" t="s">
        <v>195</v>
      </c>
      <c r="K788" t="s">
        <v>74</v>
      </c>
      <c r="L788" t="s">
        <v>74</v>
      </c>
      <c r="M788" t="s">
        <v>78</v>
      </c>
      <c r="N788" t="s">
        <v>79</v>
      </c>
      <c r="O788" t="s">
        <v>74</v>
      </c>
      <c r="P788" t="s">
        <v>74</v>
      </c>
      <c r="Q788" t="s">
        <v>74</v>
      </c>
      <c r="R788" t="s">
        <v>74</v>
      </c>
      <c r="S788" t="s">
        <v>74</v>
      </c>
      <c r="T788" t="s">
        <v>15060</v>
      </c>
      <c r="U788" t="s">
        <v>15061</v>
      </c>
      <c r="V788" t="s">
        <v>15062</v>
      </c>
      <c r="W788" t="s">
        <v>15063</v>
      </c>
      <c r="X788" t="s">
        <v>9639</v>
      </c>
      <c r="Y788" t="s">
        <v>15064</v>
      </c>
      <c r="Z788" t="s">
        <v>15065</v>
      </c>
      <c r="AA788" t="s">
        <v>15066</v>
      </c>
      <c r="AB788" t="s">
        <v>74</v>
      </c>
      <c r="AC788" t="s">
        <v>15067</v>
      </c>
      <c r="AD788" t="s">
        <v>15068</v>
      </c>
      <c r="AE788" t="s">
        <v>15069</v>
      </c>
      <c r="AF788" t="s">
        <v>74</v>
      </c>
      <c r="AG788">
        <v>64</v>
      </c>
      <c r="AH788">
        <v>67</v>
      </c>
      <c r="AI788">
        <v>72</v>
      </c>
      <c r="AJ788">
        <v>1</v>
      </c>
      <c r="AK788">
        <v>82</v>
      </c>
      <c r="AL788" t="s">
        <v>208</v>
      </c>
      <c r="AM788" t="s">
        <v>209</v>
      </c>
      <c r="AN788" t="s">
        <v>210</v>
      </c>
      <c r="AO788" t="s">
        <v>211</v>
      </c>
      <c r="AP788" t="s">
        <v>212</v>
      </c>
      <c r="AQ788" t="s">
        <v>74</v>
      </c>
      <c r="AR788" t="s">
        <v>213</v>
      </c>
      <c r="AS788" t="s">
        <v>214</v>
      </c>
      <c r="AT788" t="s">
        <v>13267</v>
      </c>
      <c r="AU788">
        <v>2015</v>
      </c>
      <c r="AV788">
        <v>84</v>
      </c>
      <c r="AW788">
        <v>4</v>
      </c>
      <c r="AX788" t="s">
        <v>74</v>
      </c>
      <c r="AY788" t="s">
        <v>74</v>
      </c>
      <c r="AZ788" t="s">
        <v>74</v>
      </c>
      <c r="BA788" t="s">
        <v>74</v>
      </c>
      <c r="BB788">
        <v>1081</v>
      </c>
      <c r="BC788">
        <v>1091</v>
      </c>
      <c r="BD788" t="s">
        <v>74</v>
      </c>
      <c r="BE788" t="s">
        <v>15070</v>
      </c>
      <c r="BF788" t="str">
        <f>HYPERLINK("http://dx.doi.org/10.1111/1365-2656.12347","http://dx.doi.org/10.1111/1365-2656.12347")</f>
        <v>http://dx.doi.org/10.1111/1365-2656.12347</v>
      </c>
      <c r="BG788" t="s">
        <v>74</v>
      </c>
      <c r="BH788" t="s">
        <v>74</v>
      </c>
      <c r="BI788">
        <v>11</v>
      </c>
      <c r="BJ788" t="s">
        <v>216</v>
      </c>
      <c r="BK788" t="s">
        <v>101</v>
      </c>
      <c r="BL788" t="s">
        <v>217</v>
      </c>
      <c r="BM788" t="s">
        <v>15071</v>
      </c>
      <c r="BN788">
        <v>25649011</v>
      </c>
      <c r="BO788" t="s">
        <v>162</v>
      </c>
      <c r="BP788" t="s">
        <v>74</v>
      </c>
      <c r="BQ788" t="s">
        <v>74</v>
      </c>
      <c r="BR788" t="s">
        <v>103</v>
      </c>
      <c r="BS788" t="s">
        <v>15072</v>
      </c>
      <c r="BT788" t="str">
        <f>HYPERLINK("https%3A%2F%2Fwww.webofscience.com%2Fwos%2Fwoscc%2Ffull-record%2FWOS:000357813500020","View Full Record in Web of Science")</f>
        <v>View Full Record in Web of Science</v>
      </c>
    </row>
    <row r="789" spans="1:72" x14ac:dyDescent="0.15">
      <c r="A789" t="s">
        <v>72</v>
      </c>
      <c r="B789" t="s">
        <v>15073</v>
      </c>
      <c r="C789" t="s">
        <v>74</v>
      </c>
      <c r="D789" t="s">
        <v>74</v>
      </c>
      <c r="E789" t="s">
        <v>74</v>
      </c>
      <c r="F789" t="s">
        <v>15074</v>
      </c>
      <c r="G789" t="s">
        <v>74</v>
      </c>
      <c r="H789" t="s">
        <v>74</v>
      </c>
      <c r="I789" t="s">
        <v>15075</v>
      </c>
      <c r="J789" t="s">
        <v>15076</v>
      </c>
      <c r="K789" t="s">
        <v>74</v>
      </c>
      <c r="L789" t="s">
        <v>74</v>
      </c>
      <c r="M789" t="s">
        <v>78</v>
      </c>
      <c r="N789" t="s">
        <v>79</v>
      </c>
      <c r="O789" t="s">
        <v>74</v>
      </c>
      <c r="P789" t="s">
        <v>74</v>
      </c>
      <c r="Q789" t="s">
        <v>74</v>
      </c>
      <c r="R789" t="s">
        <v>74</v>
      </c>
      <c r="S789" t="s">
        <v>74</v>
      </c>
      <c r="T789" t="s">
        <v>74</v>
      </c>
      <c r="U789" t="s">
        <v>15077</v>
      </c>
      <c r="V789" t="s">
        <v>15078</v>
      </c>
      <c r="W789" t="s">
        <v>15079</v>
      </c>
      <c r="X789" t="s">
        <v>15080</v>
      </c>
      <c r="Y789" t="s">
        <v>15081</v>
      </c>
      <c r="Z789" t="s">
        <v>15082</v>
      </c>
      <c r="AA789" t="s">
        <v>15083</v>
      </c>
      <c r="AB789" t="s">
        <v>15084</v>
      </c>
      <c r="AC789" t="s">
        <v>15085</v>
      </c>
      <c r="AD789" t="s">
        <v>15085</v>
      </c>
      <c r="AE789" t="s">
        <v>15086</v>
      </c>
      <c r="AF789" t="s">
        <v>74</v>
      </c>
      <c r="AG789">
        <v>45</v>
      </c>
      <c r="AH789">
        <v>21</v>
      </c>
      <c r="AI789">
        <v>23</v>
      </c>
      <c r="AJ789">
        <v>0</v>
      </c>
      <c r="AK789">
        <v>8</v>
      </c>
      <c r="AL789" t="s">
        <v>263</v>
      </c>
      <c r="AM789" t="s">
        <v>264</v>
      </c>
      <c r="AN789" t="s">
        <v>10653</v>
      </c>
      <c r="AO789" t="s">
        <v>15087</v>
      </c>
      <c r="AP789" t="s">
        <v>15088</v>
      </c>
      <c r="AQ789" t="s">
        <v>74</v>
      </c>
      <c r="AR789" t="s">
        <v>15089</v>
      </c>
      <c r="AS789" t="s">
        <v>15090</v>
      </c>
      <c r="AT789" t="s">
        <v>13267</v>
      </c>
      <c r="AU789">
        <v>2015</v>
      </c>
      <c r="AV789">
        <v>54</v>
      </c>
      <c r="AW789">
        <v>7</v>
      </c>
      <c r="AX789" t="s">
        <v>74</v>
      </c>
      <c r="AY789" t="s">
        <v>74</v>
      </c>
      <c r="AZ789" t="s">
        <v>74</v>
      </c>
      <c r="BA789" t="s">
        <v>74</v>
      </c>
      <c r="BB789">
        <v>1393</v>
      </c>
      <c r="BC789">
        <v>1412</v>
      </c>
      <c r="BD789" t="s">
        <v>74</v>
      </c>
      <c r="BE789" t="s">
        <v>15091</v>
      </c>
      <c r="BF789" t="str">
        <f>HYPERLINK("http://dx.doi.org/10.1175/JAMC-D-14-0251.1","http://dx.doi.org/10.1175/JAMC-D-14-0251.1")</f>
        <v>http://dx.doi.org/10.1175/JAMC-D-14-0251.1</v>
      </c>
      <c r="BG789" t="s">
        <v>74</v>
      </c>
      <c r="BH789" t="s">
        <v>74</v>
      </c>
      <c r="BI789">
        <v>20</v>
      </c>
      <c r="BJ789" t="s">
        <v>271</v>
      </c>
      <c r="BK789" t="s">
        <v>101</v>
      </c>
      <c r="BL789" t="s">
        <v>271</v>
      </c>
      <c r="BM789" t="s">
        <v>15092</v>
      </c>
      <c r="BN789" t="s">
        <v>74</v>
      </c>
      <c r="BO789" t="s">
        <v>74</v>
      </c>
      <c r="BP789" t="s">
        <v>74</v>
      </c>
      <c r="BQ789" t="s">
        <v>74</v>
      </c>
      <c r="BR789" t="s">
        <v>103</v>
      </c>
      <c r="BS789" t="s">
        <v>15093</v>
      </c>
      <c r="BT789" t="str">
        <f>HYPERLINK("https%3A%2F%2Fwww.webofscience.com%2Fwos%2Fwoscc%2Ffull-record%2FWOS:000357998100002","View Full Record in Web of Science")</f>
        <v>View Full Record in Web of Science</v>
      </c>
    </row>
    <row r="790" spans="1:72" x14ac:dyDescent="0.15">
      <c r="A790" t="s">
        <v>72</v>
      </c>
      <c r="B790" t="s">
        <v>15094</v>
      </c>
      <c r="C790" t="s">
        <v>74</v>
      </c>
      <c r="D790" t="s">
        <v>74</v>
      </c>
      <c r="E790" t="s">
        <v>74</v>
      </c>
      <c r="F790" t="s">
        <v>15095</v>
      </c>
      <c r="G790" t="s">
        <v>74</v>
      </c>
      <c r="H790" t="s">
        <v>74</v>
      </c>
      <c r="I790" t="s">
        <v>15096</v>
      </c>
      <c r="J790" t="s">
        <v>7633</v>
      </c>
      <c r="K790" t="s">
        <v>74</v>
      </c>
      <c r="L790" t="s">
        <v>74</v>
      </c>
      <c r="M790" t="s">
        <v>78</v>
      </c>
      <c r="N790" t="s">
        <v>79</v>
      </c>
      <c r="O790" t="s">
        <v>74</v>
      </c>
      <c r="P790" t="s">
        <v>74</v>
      </c>
      <c r="Q790" t="s">
        <v>74</v>
      </c>
      <c r="R790" t="s">
        <v>74</v>
      </c>
      <c r="S790" t="s">
        <v>74</v>
      </c>
      <c r="T790" t="s">
        <v>15097</v>
      </c>
      <c r="U790" t="s">
        <v>15098</v>
      </c>
      <c r="V790" t="s">
        <v>15099</v>
      </c>
      <c r="W790" t="s">
        <v>15100</v>
      </c>
      <c r="X790" t="s">
        <v>15101</v>
      </c>
      <c r="Y790" t="s">
        <v>15102</v>
      </c>
      <c r="Z790" t="s">
        <v>15103</v>
      </c>
      <c r="AA790" t="s">
        <v>15104</v>
      </c>
      <c r="AB790" t="s">
        <v>15105</v>
      </c>
      <c r="AC790" t="s">
        <v>15106</v>
      </c>
      <c r="AD790" t="s">
        <v>15107</v>
      </c>
      <c r="AE790" t="s">
        <v>15108</v>
      </c>
      <c r="AF790" t="s">
        <v>74</v>
      </c>
      <c r="AG790">
        <v>62</v>
      </c>
      <c r="AH790">
        <v>29</v>
      </c>
      <c r="AI790">
        <v>33</v>
      </c>
      <c r="AJ790">
        <v>0</v>
      </c>
      <c r="AK790">
        <v>47</v>
      </c>
      <c r="AL790" t="s">
        <v>208</v>
      </c>
      <c r="AM790" t="s">
        <v>209</v>
      </c>
      <c r="AN790" t="s">
        <v>210</v>
      </c>
      <c r="AO790" t="s">
        <v>7645</v>
      </c>
      <c r="AP790" t="s">
        <v>7646</v>
      </c>
      <c r="AQ790" t="s">
        <v>74</v>
      </c>
      <c r="AR790" t="s">
        <v>7647</v>
      </c>
      <c r="AS790" t="s">
        <v>7648</v>
      </c>
      <c r="AT790" t="s">
        <v>13267</v>
      </c>
      <c r="AU790">
        <v>2015</v>
      </c>
      <c r="AV790">
        <v>42</v>
      </c>
      <c r="AW790">
        <v>7</v>
      </c>
      <c r="AX790" t="s">
        <v>74</v>
      </c>
      <c r="AY790" t="s">
        <v>74</v>
      </c>
      <c r="AZ790" t="s">
        <v>74</v>
      </c>
      <c r="BA790" t="s">
        <v>74</v>
      </c>
      <c r="BB790">
        <v>1197</v>
      </c>
      <c r="BC790">
        <v>1209</v>
      </c>
      <c r="BD790" t="s">
        <v>74</v>
      </c>
      <c r="BE790" t="s">
        <v>15109</v>
      </c>
      <c r="BF790" t="str">
        <f>HYPERLINK("http://dx.doi.org/10.1111/jbi.12522","http://dx.doi.org/10.1111/jbi.12522")</f>
        <v>http://dx.doi.org/10.1111/jbi.12522</v>
      </c>
      <c r="BG790" t="s">
        <v>74</v>
      </c>
      <c r="BH790" t="s">
        <v>74</v>
      </c>
      <c r="BI790">
        <v>13</v>
      </c>
      <c r="BJ790" t="s">
        <v>7650</v>
      </c>
      <c r="BK790" t="s">
        <v>101</v>
      </c>
      <c r="BL790" t="s">
        <v>7651</v>
      </c>
      <c r="BM790" t="s">
        <v>15110</v>
      </c>
      <c r="BN790" t="s">
        <v>74</v>
      </c>
      <c r="BO790" t="s">
        <v>74</v>
      </c>
      <c r="BP790" t="s">
        <v>74</v>
      </c>
      <c r="BQ790" t="s">
        <v>74</v>
      </c>
      <c r="BR790" t="s">
        <v>103</v>
      </c>
      <c r="BS790" t="s">
        <v>15111</v>
      </c>
      <c r="BT790" t="str">
        <f>HYPERLINK("https%3A%2F%2Fwww.webofscience.com%2Fwos%2Fwoscc%2Ffull-record%2FWOS:000356674300002","View Full Record in Web of Science")</f>
        <v>View Full Record in Web of Science</v>
      </c>
    </row>
    <row r="791" spans="1:72" x14ac:dyDescent="0.15">
      <c r="A791" t="s">
        <v>72</v>
      </c>
      <c r="B791" t="s">
        <v>15112</v>
      </c>
      <c r="C791" t="s">
        <v>74</v>
      </c>
      <c r="D791" t="s">
        <v>74</v>
      </c>
      <c r="E791" t="s">
        <v>74</v>
      </c>
      <c r="F791" t="s">
        <v>15113</v>
      </c>
      <c r="G791" t="s">
        <v>74</v>
      </c>
      <c r="H791" t="s">
        <v>74</v>
      </c>
      <c r="I791" t="s">
        <v>15114</v>
      </c>
      <c r="J791" t="s">
        <v>15115</v>
      </c>
      <c r="K791" t="s">
        <v>74</v>
      </c>
      <c r="L791" t="s">
        <v>74</v>
      </c>
      <c r="M791" t="s">
        <v>78</v>
      </c>
      <c r="N791" t="s">
        <v>79</v>
      </c>
      <c r="O791" t="s">
        <v>74</v>
      </c>
      <c r="P791" t="s">
        <v>74</v>
      </c>
      <c r="Q791" t="s">
        <v>74</v>
      </c>
      <c r="R791" t="s">
        <v>74</v>
      </c>
      <c r="S791" t="s">
        <v>74</v>
      </c>
      <c r="T791" t="s">
        <v>15116</v>
      </c>
      <c r="U791" t="s">
        <v>15117</v>
      </c>
      <c r="V791" t="s">
        <v>15118</v>
      </c>
      <c r="W791" t="s">
        <v>15119</v>
      </c>
      <c r="X791" t="s">
        <v>15120</v>
      </c>
      <c r="Y791" t="s">
        <v>15121</v>
      </c>
      <c r="Z791" t="s">
        <v>15122</v>
      </c>
      <c r="AA791" t="s">
        <v>74</v>
      </c>
      <c r="AB791" t="s">
        <v>74</v>
      </c>
      <c r="AC791" t="s">
        <v>15123</v>
      </c>
      <c r="AD791" t="s">
        <v>15124</v>
      </c>
      <c r="AE791" t="s">
        <v>15125</v>
      </c>
      <c r="AF791" t="s">
        <v>74</v>
      </c>
      <c r="AG791">
        <v>41</v>
      </c>
      <c r="AH791">
        <v>28</v>
      </c>
      <c r="AI791">
        <v>31</v>
      </c>
      <c r="AJ791">
        <v>1</v>
      </c>
      <c r="AK791">
        <v>14</v>
      </c>
      <c r="AL791" t="s">
        <v>15126</v>
      </c>
      <c r="AM791" t="s">
        <v>15127</v>
      </c>
      <c r="AN791" t="s">
        <v>15128</v>
      </c>
      <c r="AO791" t="s">
        <v>15129</v>
      </c>
      <c r="AP791" t="s">
        <v>15130</v>
      </c>
      <c r="AQ791" t="s">
        <v>74</v>
      </c>
      <c r="AR791" t="s">
        <v>15131</v>
      </c>
      <c r="AS791" t="s">
        <v>15132</v>
      </c>
      <c r="AT791" t="s">
        <v>13267</v>
      </c>
      <c r="AU791">
        <v>2015</v>
      </c>
      <c r="AV791">
        <v>120</v>
      </c>
      <c r="AW791">
        <v>1</v>
      </c>
      <c r="AX791" t="s">
        <v>74</v>
      </c>
      <c r="AY791" t="s">
        <v>74</v>
      </c>
      <c r="AZ791" t="s">
        <v>74</v>
      </c>
      <c r="BA791" t="s">
        <v>74</v>
      </c>
      <c r="BB791">
        <v>58</v>
      </c>
      <c r="BC791">
        <v>61</v>
      </c>
      <c r="BD791" t="s">
        <v>74</v>
      </c>
      <c r="BE791" t="s">
        <v>15133</v>
      </c>
      <c r="BF791" t="str">
        <f>HYPERLINK("http://dx.doi.org/10.1016/j.jbiosc.2014.11.020","http://dx.doi.org/10.1016/j.jbiosc.2014.11.020")</f>
        <v>http://dx.doi.org/10.1016/j.jbiosc.2014.11.020</v>
      </c>
      <c r="BG791" t="s">
        <v>74</v>
      </c>
      <c r="BH791" t="s">
        <v>74</v>
      </c>
      <c r="BI791">
        <v>4</v>
      </c>
      <c r="BJ791" t="s">
        <v>15134</v>
      </c>
      <c r="BK791" t="s">
        <v>101</v>
      </c>
      <c r="BL791" t="s">
        <v>15134</v>
      </c>
      <c r="BM791" t="s">
        <v>15135</v>
      </c>
      <c r="BN791">
        <v>25533380</v>
      </c>
      <c r="BO791" t="s">
        <v>74</v>
      </c>
      <c r="BP791" t="s">
        <v>74</v>
      </c>
      <c r="BQ791" t="s">
        <v>74</v>
      </c>
      <c r="BR791" t="s">
        <v>103</v>
      </c>
      <c r="BS791" t="s">
        <v>15136</v>
      </c>
      <c r="BT791" t="str">
        <f>HYPERLINK("https%3A%2F%2Fwww.webofscience.com%2Fwos%2Fwoscc%2Ffull-record%2FWOS:000356757000011","View Full Record in Web of Science")</f>
        <v>View Full Record in Web of Science</v>
      </c>
    </row>
    <row r="792" spans="1:72" x14ac:dyDescent="0.15">
      <c r="A792" t="s">
        <v>72</v>
      </c>
      <c r="B792" t="s">
        <v>15137</v>
      </c>
      <c r="C792" t="s">
        <v>74</v>
      </c>
      <c r="D792" t="s">
        <v>74</v>
      </c>
      <c r="E792" t="s">
        <v>74</v>
      </c>
      <c r="F792" t="s">
        <v>15138</v>
      </c>
      <c r="G792" t="s">
        <v>74</v>
      </c>
      <c r="H792" t="s">
        <v>74</v>
      </c>
      <c r="I792" t="s">
        <v>15139</v>
      </c>
      <c r="J792" t="s">
        <v>15140</v>
      </c>
      <c r="K792" t="s">
        <v>74</v>
      </c>
      <c r="L792" t="s">
        <v>74</v>
      </c>
      <c r="M792" t="s">
        <v>78</v>
      </c>
      <c r="N792" t="s">
        <v>79</v>
      </c>
      <c r="O792" t="s">
        <v>74</v>
      </c>
      <c r="P792" t="s">
        <v>74</v>
      </c>
      <c r="Q792" t="s">
        <v>74</v>
      </c>
      <c r="R792" t="s">
        <v>74</v>
      </c>
      <c r="S792" t="s">
        <v>74</v>
      </c>
      <c r="T792" t="s">
        <v>15141</v>
      </c>
      <c r="U792" t="s">
        <v>15142</v>
      </c>
      <c r="V792" t="s">
        <v>15143</v>
      </c>
      <c r="W792" t="s">
        <v>15144</v>
      </c>
      <c r="X792" t="s">
        <v>15145</v>
      </c>
      <c r="Y792" t="s">
        <v>15146</v>
      </c>
      <c r="Z792" t="s">
        <v>15147</v>
      </c>
      <c r="AA792" t="s">
        <v>15148</v>
      </c>
      <c r="AB792" t="s">
        <v>15149</v>
      </c>
      <c r="AC792" t="s">
        <v>15150</v>
      </c>
      <c r="AD792" t="s">
        <v>15151</v>
      </c>
      <c r="AE792" t="s">
        <v>15152</v>
      </c>
      <c r="AF792" t="s">
        <v>74</v>
      </c>
      <c r="AG792">
        <v>81</v>
      </c>
      <c r="AH792">
        <v>21</v>
      </c>
      <c r="AI792">
        <v>22</v>
      </c>
      <c r="AJ792">
        <v>0</v>
      </c>
      <c r="AK792">
        <v>14</v>
      </c>
      <c r="AL792" t="s">
        <v>2279</v>
      </c>
      <c r="AM792" t="s">
        <v>398</v>
      </c>
      <c r="AN792" t="s">
        <v>2280</v>
      </c>
      <c r="AO792" t="s">
        <v>15153</v>
      </c>
      <c r="AP792" t="s">
        <v>15154</v>
      </c>
      <c r="AQ792" t="s">
        <v>74</v>
      </c>
      <c r="AR792" t="s">
        <v>15155</v>
      </c>
      <c r="AS792" t="s">
        <v>15156</v>
      </c>
      <c r="AT792" t="s">
        <v>13267</v>
      </c>
      <c r="AU792">
        <v>2015</v>
      </c>
      <c r="AV792">
        <v>35</v>
      </c>
      <c r="AW792">
        <v>4</v>
      </c>
      <c r="AX792" t="s">
        <v>74</v>
      </c>
      <c r="AY792" t="s">
        <v>74</v>
      </c>
      <c r="AZ792" t="s">
        <v>74</v>
      </c>
      <c r="BA792" t="s">
        <v>74</v>
      </c>
      <c r="BB792">
        <v>480</v>
      </c>
      <c r="BC792">
        <v>490</v>
      </c>
      <c r="BD792" t="s">
        <v>74</v>
      </c>
      <c r="BE792" t="s">
        <v>15157</v>
      </c>
      <c r="BF792" t="str">
        <f>HYPERLINK("http://dx.doi.org/10.1163/1937240X-00002351","http://dx.doi.org/10.1163/1937240X-00002351")</f>
        <v>http://dx.doi.org/10.1163/1937240X-00002351</v>
      </c>
      <c r="BG792" t="s">
        <v>74</v>
      </c>
      <c r="BH792" t="s">
        <v>74</v>
      </c>
      <c r="BI792">
        <v>11</v>
      </c>
      <c r="BJ792" t="s">
        <v>2581</v>
      </c>
      <c r="BK792" t="s">
        <v>101</v>
      </c>
      <c r="BL792" t="s">
        <v>2581</v>
      </c>
      <c r="BM792" t="s">
        <v>15158</v>
      </c>
      <c r="BN792" t="s">
        <v>74</v>
      </c>
      <c r="BO792" t="s">
        <v>1528</v>
      </c>
      <c r="BP792" t="s">
        <v>74</v>
      </c>
      <c r="BQ792" t="s">
        <v>74</v>
      </c>
      <c r="BR792" t="s">
        <v>103</v>
      </c>
      <c r="BS792" t="s">
        <v>15159</v>
      </c>
      <c r="BT792" t="str">
        <f>HYPERLINK("https%3A%2F%2Fwww.webofscience.com%2Fwos%2Fwoscc%2Ffull-record%2FWOS:000357350300003","View Full Record in Web of Science")</f>
        <v>View Full Record in Web of Science</v>
      </c>
    </row>
    <row r="793" spans="1:72" x14ac:dyDescent="0.15">
      <c r="A793" t="s">
        <v>72</v>
      </c>
      <c r="B793" t="s">
        <v>15160</v>
      </c>
      <c r="C793" t="s">
        <v>74</v>
      </c>
      <c r="D793" t="s">
        <v>74</v>
      </c>
      <c r="E793" t="s">
        <v>74</v>
      </c>
      <c r="F793" t="s">
        <v>15161</v>
      </c>
      <c r="G793" t="s">
        <v>74</v>
      </c>
      <c r="H793" t="s">
        <v>74</v>
      </c>
      <c r="I793" t="s">
        <v>15162</v>
      </c>
      <c r="J793" t="s">
        <v>15163</v>
      </c>
      <c r="K793" t="s">
        <v>74</v>
      </c>
      <c r="L793" t="s">
        <v>74</v>
      </c>
      <c r="M793" t="s">
        <v>78</v>
      </c>
      <c r="N793" t="s">
        <v>79</v>
      </c>
      <c r="O793" t="s">
        <v>74</v>
      </c>
      <c r="P793" t="s">
        <v>74</v>
      </c>
      <c r="Q793" t="s">
        <v>74</v>
      </c>
      <c r="R793" t="s">
        <v>74</v>
      </c>
      <c r="S793" t="s">
        <v>74</v>
      </c>
      <c r="T793" t="s">
        <v>15164</v>
      </c>
      <c r="U793" t="s">
        <v>15165</v>
      </c>
      <c r="V793" t="s">
        <v>15166</v>
      </c>
      <c r="W793" t="s">
        <v>15167</v>
      </c>
      <c r="X793" t="s">
        <v>15168</v>
      </c>
      <c r="Y793" t="s">
        <v>15169</v>
      </c>
      <c r="Z793" t="s">
        <v>15170</v>
      </c>
      <c r="AA793" t="s">
        <v>15171</v>
      </c>
      <c r="AB793" t="s">
        <v>15172</v>
      </c>
      <c r="AC793" t="s">
        <v>15173</v>
      </c>
      <c r="AD793" t="s">
        <v>15174</v>
      </c>
      <c r="AE793" t="s">
        <v>15175</v>
      </c>
      <c r="AF793" t="s">
        <v>74</v>
      </c>
      <c r="AG793">
        <v>52</v>
      </c>
      <c r="AH793">
        <v>128</v>
      </c>
      <c r="AI793">
        <v>149</v>
      </c>
      <c r="AJ793">
        <v>6</v>
      </c>
      <c r="AK793">
        <v>224</v>
      </c>
      <c r="AL793" t="s">
        <v>208</v>
      </c>
      <c r="AM793" t="s">
        <v>209</v>
      </c>
      <c r="AN793" t="s">
        <v>210</v>
      </c>
      <c r="AO793" t="s">
        <v>15176</v>
      </c>
      <c r="AP793" t="s">
        <v>15177</v>
      </c>
      <c r="AQ793" t="s">
        <v>74</v>
      </c>
      <c r="AR793" t="s">
        <v>15178</v>
      </c>
      <c r="AS793" t="s">
        <v>15179</v>
      </c>
      <c r="AT793" t="s">
        <v>13267</v>
      </c>
      <c r="AU793">
        <v>2015</v>
      </c>
      <c r="AV793">
        <v>103</v>
      </c>
      <c r="AW793">
        <v>4</v>
      </c>
      <c r="AX793" t="s">
        <v>74</v>
      </c>
      <c r="AY793" t="s">
        <v>74</v>
      </c>
      <c r="AZ793" t="s">
        <v>74</v>
      </c>
      <c r="BA793" t="s">
        <v>74</v>
      </c>
      <c r="BB793">
        <v>978</v>
      </c>
      <c r="BC793">
        <v>989</v>
      </c>
      <c r="BD793" t="s">
        <v>74</v>
      </c>
      <c r="BE793" t="s">
        <v>15180</v>
      </c>
      <c r="BF793" t="str">
        <f>HYPERLINK("http://dx.doi.org/10.1111/1365-2745.12401","http://dx.doi.org/10.1111/1365-2745.12401")</f>
        <v>http://dx.doi.org/10.1111/1365-2745.12401</v>
      </c>
      <c r="BG793" t="s">
        <v>74</v>
      </c>
      <c r="BH793" t="s">
        <v>74</v>
      </c>
      <c r="BI793">
        <v>12</v>
      </c>
      <c r="BJ793" t="s">
        <v>15181</v>
      </c>
      <c r="BK793" t="s">
        <v>101</v>
      </c>
      <c r="BL793" t="s">
        <v>15182</v>
      </c>
      <c r="BM793" t="s">
        <v>15183</v>
      </c>
      <c r="BN793" t="s">
        <v>74</v>
      </c>
      <c r="BO793" t="s">
        <v>701</v>
      </c>
      <c r="BP793" t="s">
        <v>74</v>
      </c>
      <c r="BQ793" t="s">
        <v>74</v>
      </c>
      <c r="BR793" t="s">
        <v>103</v>
      </c>
      <c r="BS793" t="s">
        <v>15184</v>
      </c>
      <c r="BT793" t="str">
        <f>HYPERLINK("https%3A%2F%2Fwww.webofscience.com%2Fwos%2Fwoscc%2Ffull-record%2FWOS:000356630600020","View Full Record in Web of Science")</f>
        <v>View Full Record in Web of Science</v>
      </c>
    </row>
    <row r="794" spans="1:72" x14ac:dyDescent="0.15">
      <c r="A794" t="s">
        <v>72</v>
      </c>
      <c r="B794" t="s">
        <v>15185</v>
      </c>
      <c r="C794" t="s">
        <v>74</v>
      </c>
      <c r="D794" t="s">
        <v>74</v>
      </c>
      <c r="E794" t="s">
        <v>74</v>
      </c>
      <c r="F794" t="s">
        <v>15186</v>
      </c>
      <c r="G794" t="s">
        <v>74</v>
      </c>
      <c r="H794" t="s">
        <v>74</v>
      </c>
      <c r="I794" t="s">
        <v>15187</v>
      </c>
      <c r="J794" t="s">
        <v>11730</v>
      </c>
      <c r="K794" t="s">
        <v>74</v>
      </c>
      <c r="L794" t="s">
        <v>74</v>
      </c>
      <c r="M794" t="s">
        <v>78</v>
      </c>
      <c r="N794" t="s">
        <v>754</v>
      </c>
      <c r="O794" t="s">
        <v>74</v>
      </c>
      <c r="P794" t="s">
        <v>74</v>
      </c>
      <c r="Q794" t="s">
        <v>74</v>
      </c>
      <c r="R794" t="s">
        <v>74</v>
      </c>
      <c r="S794" t="s">
        <v>74</v>
      </c>
      <c r="T794" t="s">
        <v>74</v>
      </c>
      <c r="U794" t="s">
        <v>15188</v>
      </c>
      <c r="V794" t="s">
        <v>74</v>
      </c>
      <c r="W794" t="s">
        <v>15189</v>
      </c>
      <c r="X794" t="s">
        <v>439</v>
      </c>
      <c r="Y794" t="s">
        <v>15190</v>
      </c>
      <c r="Z794" t="s">
        <v>15191</v>
      </c>
      <c r="AA794" t="s">
        <v>74</v>
      </c>
      <c r="AB794" t="s">
        <v>74</v>
      </c>
      <c r="AC794" t="s">
        <v>5525</v>
      </c>
      <c r="AD794" t="s">
        <v>5526</v>
      </c>
      <c r="AE794" t="s">
        <v>74</v>
      </c>
      <c r="AF794" t="s">
        <v>74</v>
      </c>
      <c r="AG794">
        <v>13</v>
      </c>
      <c r="AH794">
        <v>4</v>
      </c>
      <c r="AI794">
        <v>4</v>
      </c>
      <c r="AJ794">
        <v>0</v>
      </c>
      <c r="AK794">
        <v>11</v>
      </c>
      <c r="AL794" t="s">
        <v>11743</v>
      </c>
      <c r="AM794" t="s">
        <v>5528</v>
      </c>
      <c r="AN794" t="s">
        <v>11744</v>
      </c>
      <c r="AO794" t="s">
        <v>11745</v>
      </c>
      <c r="AP794" t="s">
        <v>11746</v>
      </c>
      <c r="AQ794" t="s">
        <v>74</v>
      </c>
      <c r="AR794" t="s">
        <v>11747</v>
      </c>
      <c r="AS794" t="s">
        <v>11748</v>
      </c>
      <c r="AT794" t="s">
        <v>13267</v>
      </c>
      <c r="AU794">
        <v>2015</v>
      </c>
      <c r="AV794">
        <v>218</v>
      </c>
      <c r="AW794">
        <v>14</v>
      </c>
      <c r="AX794" t="s">
        <v>74</v>
      </c>
      <c r="AY794" t="s">
        <v>74</v>
      </c>
      <c r="AZ794" t="s">
        <v>74</v>
      </c>
      <c r="BA794" t="s">
        <v>74</v>
      </c>
      <c r="BB794">
        <v>2146</v>
      </c>
      <c r="BC794">
        <v>2147</v>
      </c>
      <c r="BD794" t="s">
        <v>74</v>
      </c>
      <c r="BE794" t="s">
        <v>15192</v>
      </c>
      <c r="BF794" t="str">
        <f>HYPERLINK("http://dx.doi.org/10.1242/jeb.109330","http://dx.doi.org/10.1242/jeb.109330")</f>
        <v>http://dx.doi.org/10.1242/jeb.109330</v>
      </c>
      <c r="BG794" t="s">
        <v>74</v>
      </c>
      <c r="BH794" t="s">
        <v>74</v>
      </c>
      <c r="BI794">
        <v>2</v>
      </c>
      <c r="BJ794" t="s">
        <v>11750</v>
      </c>
      <c r="BK794" t="s">
        <v>101</v>
      </c>
      <c r="BL794" t="s">
        <v>11751</v>
      </c>
      <c r="BM794" t="s">
        <v>15193</v>
      </c>
      <c r="BN794">
        <v>26202775</v>
      </c>
      <c r="BO794" t="s">
        <v>1528</v>
      </c>
      <c r="BP794" t="s">
        <v>74</v>
      </c>
      <c r="BQ794" t="s">
        <v>74</v>
      </c>
      <c r="BR794" t="s">
        <v>103</v>
      </c>
      <c r="BS794" t="s">
        <v>15194</v>
      </c>
      <c r="BT794" t="str">
        <f>HYPERLINK("https%3A%2F%2Fwww.webofscience.com%2Fwos%2Fwoscc%2Ffull-record%2FWOS:000358301300005","View Full Record in Web of Science")</f>
        <v>View Full Record in Web of Science</v>
      </c>
    </row>
    <row r="795" spans="1:72" x14ac:dyDescent="0.15">
      <c r="A795" t="s">
        <v>72</v>
      </c>
      <c r="B795" t="s">
        <v>15195</v>
      </c>
      <c r="C795" t="s">
        <v>74</v>
      </c>
      <c r="D795" t="s">
        <v>74</v>
      </c>
      <c r="E795" t="s">
        <v>74</v>
      </c>
      <c r="F795" t="s">
        <v>15196</v>
      </c>
      <c r="G795" t="s">
        <v>74</v>
      </c>
      <c r="H795" t="s">
        <v>74</v>
      </c>
      <c r="I795" t="s">
        <v>15197</v>
      </c>
      <c r="J795" t="s">
        <v>971</v>
      </c>
      <c r="K795" t="s">
        <v>74</v>
      </c>
      <c r="L795" t="s">
        <v>74</v>
      </c>
      <c r="M795" t="s">
        <v>78</v>
      </c>
      <c r="N795" t="s">
        <v>79</v>
      </c>
      <c r="O795" t="s">
        <v>74</v>
      </c>
      <c r="P795" t="s">
        <v>74</v>
      </c>
      <c r="Q795" t="s">
        <v>74</v>
      </c>
      <c r="R795" t="s">
        <v>74</v>
      </c>
      <c r="S795" t="s">
        <v>74</v>
      </c>
      <c r="T795" t="s">
        <v>15198</v>
      </c>
      <c r="U795" t="s">
        <v>15199</v>
      </c>
      <c r="V795" t="s">
        <v>15200</v>
      </c>
      <c r="W795" t="s">
        <v>15201</v>
      </c>
      <c r="X795" t="s">
        <v>15202</v>
      </c>
      <c r="Y795" t="s">
        <v>15203</v>
      </c>
      <c r="Z795" t="s">
        <v>15204</v>
      </c>
      <c r="AA795" t="s">
        <v>15205</v>
      </c>
      <c r="AB795" t="s">
        <v>15206</v>
      </c>
      <c r="AC795" t="s">
        <v>15207</v>
      </c>
      <c r="AD795" t="s">
        <v>15208</v>
      </c>
      <c r="AE795" t="s">
        <v>15209</v>
      </c>
      <c r="AF795" t="s">
        <v>74</v>
      </c>
      <c r="AG795">
        <v>45</v>
      </c>
      <c r="AH795">
        <v>12</v>
      </c>
      <c r="AI795">
        <v>12</v>
      </c>
      <c r="AJ795">
        <v>0</v>
      </c>
      <c r="AK795">
        <v>26</v>
      </c>
      <c r="AL795" t="s">
        <v>883</v>
      </c>
      <c r="AM795" t="s">
        <v>884</v>
      </c>
      <c r="AN795" t="s">
        <v>885</v>
      </c>
      <c r="AO795" t="s">
        <v>984</v>
      </c>
      <c r="AP795" t="s">
        <v>985</v>
      </c>
      <c r="AQ795" t="s">
        <v>74</v>
      </c>
      <c r="AR795" t="s">
        <v>986</v>
      </c>
      <c r="AS795" t="s">
        <v>987</v>
      </c>
      <c r="AT795" t="s">
        <v>13267</v>
      </c>
      <c r="AU795">
        <v>2015</v>
      </c>
      <c r="AV795">
        <v>468</v>
      </c>
      <c r="AW795" t="s">
        <v>74</v>
      </c>
      <c r="AX795" t="s">
        <v>74</v>
      </c>
      <c r="AY795" t="s">
        <v>74</v>
      </c>
      <c r="AZ795" t="s">
        <v>74</v>
      </c>
      <c r="BA795" t="s">
        <v>74</v>
      </c>
      <c r="BB795">
        <v>91</v>
      </c>
      <c r="BC795">
        <v>96</v>
      </c>
      <c r="BD795" t="s">
        <v>74</v>
      </c>
      <c r="BE795" t="s">
        <v>15210</v>
      </c>
      <c r="BF795" t="str">
        <f>HYPERLINK("http://dx.doi.org/10.1016/j.jembe.2015.03.020","http://dx.doi.org/10.1016/j.jembe.2015.03.020")</f>
        <v>http://dx.doi.org/10.1016/j.jembe.2015.03.020</v>
      </c>
      <c r="BG795" t="s">
        <v>74</v>
      </c>
      <c r="BH795" t="s">
        <v>74</v>
      </c>
      <c r="BI795">
        <v>6</v>
      </c>
      <c r="BJ795" t="s">
        <v>989</v>
      </c>
      <c r="BK795" t="s">
        <v>101</v>
      </c>
      <c r="BL795" t="s">
        <v>990</v>
      </c>
      <c r="BM795" t="s">
        <v>14590</v>
      </c>
      <c r="BN795" t="s">
        <v>74</v>
      </c>
      <c r="BO795" t="s">
        <v>74</v>
      </c>
      <c r="BP795" t="s">
        <v>74</v>
      </c>
      <c r="BQ795" t="s">
        <v>74</v>
      </c>
      <c r="BR795" t="s">
        <v>103</v>
      </c>
      <c r="BS795" t="s">
        <v>15211</v>
      </c>
      <c r="BT795" t="str">
        <f>HYPERLINK("https%3A%2F%2Fwww.webofscience.com%2Fwos%2Fwoscc%2Ffull-record%2FWOS:000355774300011","View Full Record in Web of Science")</f>
        <v>View Full Record in Web of Science</v>
      </c>
    </row>
    <row r="796" spans="1:72" x14ac:dyDescent="0.15">
      <c r="A796" t="s">
        <v>72</v>
      </c>
      <c r="B796" t="s">
        <v>15212</v>
      </c>
      <c r="C796" t="s">
        <v>74</v>
      </c>
      <c r="D796" t="s">
        <v>74</v>
      </c>
      <c r="E796" t="s">
        <v>74</v>
      </c>
      <c r="F796" t="s">
        <v>15213</v>
      </c>
      <c r="G796" t="s">
        <v>74</v>
      </c>
      <c r="H796" t="s">
        <v>74</v>
      </c>
      <c r="I796" t="s">
        <v>15214</v>
      </c>
      <c r="J796" t="s">
        <v>971</v>
      </c>
      <c r="K796" t="s">
        <v>74</v>
      </c>
      <c r="L796" t="s">
        <v>74</v>
      </c>
      <c r="M796" t="s">
        <v>78</v>
      </c>
      <c r="N796" t="s">
        <v>79</v>
      </c>
      <c r="O796" t="s">
        <v>74</v>
      </c>
      <c r="P796" t="s">
        <v>74</v>
      </c>
      <c r="Q796" t="s">
        <v>74</v>
      </c>
      <c r="R796" t="s">
        <v>74</v>
      </c>
      <c r="S796" t="s">
        <v>74</v>
      </c>
      <c r="T796" t="s">
        <v>15215</v>
      </c>
      <c r="U796" t="s">
        <v>15216</v>
      </c>
      <c r="V796" t="s">
        <v>15217</v>
      </c>
      <c r="W796" t="s">
        <v>15218</v>
      </c>
      <c r="X796" t="s">
        <v>15219</v>
      </c>
      <c r="Y796" t="s">
        <v>15220</v>
      </c>
      <c r="Z796" t="s">
        <v>15221</v>
      </c>
      <c r="AA796" t="s">
        <v>15222</v>
      </c>
      <c r="AB796" t="s">
        <v>15223</v>
      </c>
      <c r="AC796" t="s">
        <v>15224</v>
      </c>
      <c r="AD796" t="s">
        <v>15225</v>
      </c>
      <c r="AE796" t="s">
        <v>15226</v>
      </c>
      <c r="AF796" t="s">
        <v>74</v>
      </c>
      <c r="AG796">
        <v>57</v>
      </c>
      <c r="AH796">
        <v>88</v>
      </c>
      <c r="AI796">
        <v>95</v>
      </c>
      <c r="AJ796">
        <v>5</v>
      </c>
      <c r="AK796">
        <v>71</v>
      </c>
      <c r="AL796" t="s">
        <v>883</v>
      </c>
      <c r="AM796" t="s">
        <v>884</v>
      </c>
      <c r="AN796" t="s">
        <v>885</v>
      </c>
      <c r="AO796" t="s">
        <v>984</v>
      </c>
      <c r="AP796" t="s">
        <v>985</v>
      </c>
      <c r="AQ796" t="s">
        <v>74</v>
      </c>
      <c r="AR796" t="s">
        <v>986</v>
      </c>
      <c r="AS796" t="s">
        <v>987</v>
      </c>
      <c r="AT796" t="s">
        <v>13267</v>
      </c>
      <c r="AU796">
        <v>2015</v>
      </c>
      <c r="AV796">
        <v>468</v>
      </c>
      <c r="AW796" t="s">
        <v>74</v>
      </c>
      <c r="AX796" t="s">
        <v>74</v>
      </c>
      <c r="AY796" t="s">
        <v>74</v>
      </c>
      <c r="AZ796" t="s">
        <v>74</v>
      </c>
      <c r="BA796" t="s">
        <v>74</v>
      </c>
      <c r="BB796">
        <v>130</v>
      </c>
      <c r="BC796">
        <v>137</v>
      </c>
      <c r="BD796" t="s">
        <v>74</v>
      </c>
      <c r="BE796" t="s">
        <v>15227</v>
      </c>
      <c r="BF796" t="str">
        <f>HYPERLINK("http://dx.doi.org/10.1016/j.jembe.2015.02.018","http://dx.doi.org/10.1016/j.jembe.2015.02.018")</f>
        <v>http://dx.doi.org/10.1016/j.jembe.2015.02.018</v>
      </c>
      <c r="BG796" t="s">
        <v>74</v>
      </c>
      <c r="BH796" t="s">
        <v>74</v>
      </c>
      <c r="BI796">
        <v>8</v>
      </c>
      <c r="BJ796" t="s">
        <v>989</v>
      </c>
      <c r="BK796" t="s">
        <v>101</v>
      </c>
      <c r="BL796" t="s">
        <v>990</v>
      </c>
      <c r="BM796" t="s">
        <v>14590</v>
      </c>
      <c r="BN796" t="s">
        <v>74</v>
      </c>
      <c r="BO796" t="s">
        <v>74</v>
      </c>
      <c r="BP796" t="s">
        <v>74</v>
      </c>
      <c r="BQ796" t="s">
        <v>74</v>
      </c>
      <c r="BR796" t="s">
        <v>103</v>
      </c>
      <c r="BS796" t="s">
        <v>15228</v>
      </c>
      <c r="BT796" t="str">
        <f>HYPERLINK("https%3A%2F%2Fwww.webofscience.com%2Fwos%2Fwoscc%2Ffull-record%2FWOS:000355774300015","View Full Record in Web of Science")</f>
        <v>View Full Record in Web of Science</v>
      </c>
    </row>
    <row r="797" spans="1:72" x14ac:dyDescent="0.15">
      <c r="A797" t="s">
        <v>72</v>
      </c>
      <c r="B797" t="s">
        <v>15229</v>
      </c>
      <c r="C797" t="s">
        <v>74</v>
      </c>
      <c r="D797" t="s">
        <v>74</v>
      </c>
      <c r="E797" t="s">
        <v>74</v>
      </c>
      <c r="F797" t="s">
        <v>15230</v>
      </c>
      <c r="G797" t="s">
        <v>74</v>
      </c>
      <c r="H797" t="s">
        <v>74</v>
      </c>
      <c r="I797" t="s">
        <v>15231</v>
      </c>
      <c r="J797" t="s">
        <v>295</v>
      </c>
      <c r="K797" t="s">
        <v>74</v>
      </c>
      <c r="L797" t="s">
        <v>74</v>
      </c>
      <c r="M797" t="s">
        <v>78</v>
      </c>
      <c r="N797" t="s">
        <v>79</v>
      </c>
      <c r="O797" t="s">
        <v>74</v>
      </c>
      <c r="P797" t="s">
        <v>74</v>
      </c>
      <c r="Q797" t="s">
        <v>74</v>
      </c>
      <c r="R797" t="s">
        <v>74</v>
      </c>
      <c r="S797" t="s">
        <v>74</v>
      </c>
      <c r="T797" t="s">
        <v>15232</v>
      </c>
      <c r="U797" t="s">
        <v>15233</v>
      </c>
      <c r="V797" t="s">
        <v>15234</v>
      </c>
      <c r="W797" t="s">
        <v>15235</v>
      </c>
      <c r="X797" t="s">
        <v>439</v>
      </c>
      <c r="Y797" t="s">
        <v>15236</v>
      </c>
      <c r="Z797" t="s">
        <v>15237</v>
      </c>
      <c r="AA797" t="s">
        <v>15238</v>
      </c>
      <c r="AB797" t="s">
        <v>15239</v>
      </c>
      <c r="AC797" t="s">
        <v>15240</v>
      </c>
      <c r="AD797" t="s">
        <v>15241</v>
      </c>
      <c r="AE797" t="s">
        <v>15242</v>
      </c>
      <c r="AF797" t="s">
        <v>74</v>
      </c>
      <c r="AG797">
        <v>68</v>
      </c>
      <c r="AH797">
        <v>53</v>
      </c>
      <c r="AI797">
        <v>56</v>
      </c>
      <c r="AJ797">
        <v>0</v>
      </c>
      <c r="AK797">
        <v>36</v>
      </c>
      <c r="AL797" t="s">
        <v>306</v>
      </c>
      <c r="AM797" t="s">
        <v>307</v>
      </c>
      <c r="AN797" t="s">
        <v>308</v>
      </c>
      <c r="AO797" t="s">
        <v>309</v>
      </c>
      <c r="AP797" t="s">
        <v>310</v>
      </c>
      <c r="AQ797" t="s">
        <v>74</v>
      </c>
      <c r="AR797" t="s">
        <v>311</v>
      </c>
      <c r="AS797" t="s">
        <v>312</v>
      </c>
      <c r="AT797" t="s">
        <v>13267</v>
      </c>
      <c r="AU797">
        <v>2015</v>
      </c>
      <c r="AV797">
        <v>120</v>
      </c>
      <c r="AW797">
        <v>7</v>
      </c>
      <c r="AX797" t="s">
        <v>74</v>
      </c>
      <c r="AY797" t="s">
        <v>74</v>
      </c>
      <c r="AZ797" t="s">
        <v>74</v>
      </c>
      <c r="BA797" t="s">
        <v>74</v>
      </c>
      <c r="BB797">
        <v>1171</v>
      </c>
      <c r="BC797">
        <v>1188</v>
      </c>
      <c r="BD797" t="s">
        <v>74</v>
      </c>
      <c r="BE797" t="s">
        <v>15243</v>
      </c>
      <c r="BF797" t="str">
        <f>HYPERLINK("http://dx.doi.org/10.1002/2014JF003239","http://dx.doi.org/10.1002/2014JF003239")</f>
        <v>http://dx.doi.org/10.1002/2014JF003239</v>
      </c>
      <c r="BG797" t="s">
        <v>74</v>
      </c>
      <c r="BH797" t="s">
        <v>74</v>
      </c>
      <c r="BI797">
        <v>18</v>
      </c>
      <c r="BJ797" t="s">
        <v>314</v>
      </c>
      <c r="BK797" t="s">
        <v>101</v>
      </c>
      <c r="BL797" t="s">
        <v>315</v>
      </c>
      <c r="BM797" t="s">
        <v>15244</v>
      </c>
      <c r="BN797" t="s">
        <v>74</v>
      </c>
      <c r="BO797" t="s">
        <v>4305</v>
      </c>
      <c r="BP797" t="s">
        <v>74</v>
      </c>
      <c r="BQ797" t="s">
        <v>74</v>
      </c>
      <c r="BR797" t="s">
        <v>103</v>
      </c>
      <c r="BS797" t="s">
        <v>15245</v>
      </c>
      <c r="BT797" t="str">
        <f>HYPERLINK("https%3A%2F%2Fwww.webofscience.com%2Fwos%2Fwoscc%2Ffull-record%2FWOS:000359870300002","View Full Record in Web of Science")</f>
        <v>View Full Record in Web of Science</v>
      </c>
    </row>
    <row r="798" spans="1:72" x14ac:dyDescent="0.15">
      <c r="A798" t="s">
        <v>72</v>
      </c>
      <c r="B798" t="s">
        <v>15246</v>
      </c>
      <c r="C798" t="s">
        <v>74</v>
      </c>
      <c r="D798" t="s">
        <v>74</v>
      </c>
      <c r="E798" t="s">
        <v>74</v>
      </c>
      <c r="F798" t="s">
        <v>15247</v>
      </c>
      <c r="G798" t="s">
        <v>74</v>
      </c>
      <c r="H798" t="s">
        <v>74</v>
      </c>
      <c r="I798" t="s">
        <v>15248</v>
      </c>
      <c r="J798" t="s">
        <v>322</v>
      </c>
      <c r="K798" t="s">
        <v>74</v>
      </c>
      <c r="L798" t="s">
        <v>74</v>
      </c>
      <c r="M798" t="s">
        <v>78</v>
      </c>
      <c r="N798" t="s">
        <v>79</v>
      </c>
      <c r="O798" t="s">
        <v>74</v>
      </c>
      <c r="P798" t="s">
        <v>74</v>
      </c>
      <c r="Q798" t="s">
        <v>74</v>
      </c>
      <c r="R798" t="s">
        <v>74</v>
      </c>
      <c r="S798" t="s">
        <v>74</v>
      </c>
      <c r="T798" t="s">
        <v>74</v>
      </c>
      <c r="U798" t="s">
        <v>15249</v>
      </c>
      <c r="V798" t="s">
        <v>15250</v>
      </c>
      <c r="W798" t="s">
        <v>15251</v>
      </c>
      <c r="X798" t="s">
        <v>15252</v>
      </c>
      <c r="Y798" t="s">
        <v>15253</v>
      </c>
      <c r="Z798" t="s">
        <v>15254</v>
      </c>
      <c r="AA798" t="s">
        <v>15255</v>
      </c>
      <c r="AB798" t="s">
        <v>15256</v>
      </c>
      <c r="AC798" t="s">
        <v>15257</v>
      </c>
      <c r="AD798" t="s">
        <v>15258</v>
      </c>
      <c r="AE798" t="s">
        <v>15259</v>
      </c>
      <c r="AF798" t="s">
        <v>74</v>
      </c>
      <c r="AG798">
        <v>70</v>
      </c>
      <c r="AH798">
        <v>46</v>
      </c>
      <c r="AI798">
        <v>49</v>
      </c>
      <c r="AJ798">
        <v>0</v>
      </c>
      <c r="AK798">
        <v>15</v>
      </c>
      <c r="AL798" t="s">
        <v>306</v>
      </c>
      <c r="AM798" t="s">
        <v>307</v>
      </c>
      <c r="AN798" t="s">
        <v>308</v>
      </c>
      <c r="AO798" t="s">
        <v>334</v>
      </c>
      <c r="AP798" t="s">
        <v>335</v>
      </c>
      <c r="AQ798" t="s">
        <v>74</v>
      </c>
      <c r="AR798" t="s">
        <v>336</v>
      </c>
      <c r="AS798" t="s">
        <v>337</v>
      </c>
      <c r="AT798" t="s">
        <v>13267</v>
      </c>
      <c r="AU798">
        <v>2015</v>
      </c>
      <c r="AV798">
        <v>120</v>
      </c>
      <c r="AW798">
        <v>7</v>
      </c>
      <c r="AX798" t="s">
        <v>74</v>
      </c>
      <c r="AY798" t="s">
        <v>74</v>
      </c>
      <c r="AZ798" t="s">
        <v>74</v>
      </c>
      <c r="BA798" t="s">
        <v>74</v>
      </c>
      <c r="BB798">
        <v>4925</v>
      </c>
      <c r="BC798">
        <v>4944</v>
      </c>
      <c r="BD798" t="s">
        <v>74</v>
      </c>
      <c r="BE798" t="s">
        <v>15260</v>
      </c>
      <c r="BF798" t="str">
        <f>HYPERLINK("http://dx.doi.org/10.1002/2014JC010635","http://dx.doi.org/10.1002/2014JC010635")</f>
        <v>http://dx.doi.org/10.1002/2014JC010635</v>
      </c>
      <c r="BG798" t="s">
        <v>74</v>
      </c>
      <c r="BH798" t="s">
        <v>74</v>
      </c>
      <c r="BI798">
        <v>20</v>
      </c>
      <c r="BJ798" t="s">
        <v>339</v>
      </c>
      <c r="BK798" t="s">
        <v>101</v>
      </c>
      <c r="BL798" t="s">
        <v>339</v>
      </c>
      <c r="BM798" t="s">
        <v>13634</v>
      </c>
      <c r="BN798" t="s">
        <v>74</v>
      </c>
      <c r="BO798" t="s">
        <v>4836</v>
      </c>
      <c r="BP798" t="s">
        <v>74</v>
      </c>
      <c r="BQ798" t="s">
        <v>74</v>
      </c>
      <c r="BR798" t="s">
        <v>103</v>
      </c>
      <c r="BS798" t="s">
        <v>15261</v>
      </c>
      <c r="BT798" t="str">
        <f>HYPERLINK("https%3A%2F%2Fwww.webofscience.com%2Fwos%2Fwoscc%2Ffull-record%2FWOS:000359776000017","View Full Record in Web of Science")</f>
        <v>View Full Record in Web of Science</v>
      </c>
    </row>
    <row r="799" spans="1:72" x14ac:dyDescent="0.15">
      <c r="A799" t="s">
        <v>72</v>
      </c>
      <c r="B799" t="s">
        <v>15262</v>
      </c>
      <c r="C799" t="s">
        <v>74</v>
      </c>
      <c r="D799" t="s">
        <v>74</v>
      </c>
      <c r="E799" t="s">
        <v>74</v>
      </c>
      <c r="F799" t="s">
        <v>15263</v>
      </c>
      <c r="G799" t="s">
        <v>74</v>
      </c>
      <c r="H799" t="s">
        <v>74</v>
      </c>
      <c r="I799" t="s">
        <v>15264</v>
      </c>
      <c r="J799" t="s">
        <v>322</v>
      </c>
      <c r="K799" t="s">
        <v>74</v>
      </c>
      <c r="L799" t="s">
        <v>74</v>
      </c>
      <c r="M799" t="s">
        <v>78</v>
      </c>
      <c r="N799" t="s">
        <v>79</v>
      </c>
      <c r="O799" t="s">
        <v>74</v>
      </c>
      <c r="P799" t="s">
        <v>74</v>
      </c>
      <c r="Q799" t="s">
        <v>74</v>
      </c>
      <c r="R799" t="s">
        <v>74</v>
      </c>
      <c r="S799" t="s">
        <v>74</v>
      </c>
      <c r="T799" t="s">
        <v>74</v>
      </c>
      <c r="U799" t="s">
        <v>15265</v>
      </c>
      <c r="V799" t="s">
        <v>15266</v>
      </c>
      <c r="W799" t="s">
        <v>15267</v>
      </c>
      <c r="X799" t="s">
        <v>15268</v>
      </c>
      <c r="Y799" t="s">
        <v>15269</v>
      </c>
      <c r="Z799" t="s">
        <v>15270</v>
      </c>
      <c r="AA799" t="s">
        <v>15271</v>
      </c>
      <c r="AB799" t="s">
        <v>15272</v>
      </c>
      <c r="AC799" t="s">
        <v>15273</v>
      </c>
      <c r="AD799" t="s">
        <v>15274</v>
      </c>
      <c r="AE799" t="s">
        <v>15275</v>
      </c>
      <c r="AF799" t="s">
        <v>74</v>
      </c>
      <c r="AG799">
        <v>71</v>
      </c>
      <c r="AH799">
        <v>36</v>
      </c>
      <c r="AI799">
        <v>41</v>
      </c>
      <c r="AJ799">
        <v>1</v>
      </c>
      <c r="AK799">
        <v>17</v>
      </c>
      <c r="AL799" t="s">
        <v>306</v>
      </c>
      <c r="AM799" t="s">
        <v>307</v>
      </c>
      <c r="AN799" t="s">
        <v>308</v>
      </c>
      <c r="AO799" t="s">
        <v>334</v>
      </c>
      <c r="AP799" t="s">
        <v>335</v>
      </c>
      <c r="AQ799" t="s">
        <v>74</v>
      </c>
      <c r="AR799" t="s">
        <v>336</v>
      </c>
      <c r="AS799" t="s">
        <v>337</v>
      </c>
      <c r="AT799" t="s">
        <v>13267</v>
      </c>
      <c r="AU799">
        <v>2015</v>
      </c>
      <c r="AV799">
        <v>120</v>
      </c>
      <c r="AW799">
        <v>7</v>
      </c>
      <c r="AX799" t="s">
        <v>74</v>
      </c>
      <c r="AY799" t="s">
        <v>74</v>
      </c>
      <c r="AZ799" t="s">
        <v>74</v>
      </c>
      <c r="BA799" t="s">
        <v>74</v>
      </c>
      <c r="BB799">
        <v>5158</v>
      </c>
      <c r="BC799">
        <v>5178</v>
      </c>
      <c r="BD799" t="s">
        <v>74</v>
      </c>
      <c r="BE799" t="s">
        <v>15276</v>
      </c>
      <c r="BF799" t="str">
        <f>HYPERLINK("http://dx.doi.org/10.1002/2015JC010804","http://dx.doi.org/10.1002/2015JC010804")</f>
        <v>http://dx.doi.org/10.1002/2015JC010804</v>
      </c>
      <c r="BG799" t="s">
        <v>74</v>
      </c>
      <c r="BH799" t="s">
        <v>74</v>
      </c>
      <c r="BI799">
        <v>21</v>
      </c>
      <c r="BJ799" t="s">
        <v>339</v>
      </c>
      <c r="BK799" t="s">
        <v>101</v>
      </c>
      <c r="BL799" t="s">
        <v>339</v>
      </c>
      <c r="BM799" t="s">
        <v>13634</v>
      </c>
      <c r="BN799" t="s">
        <v>74</v>
      </c>
      <c r="BO799" t="s">
        <v>290</v>
      </c>
      <c r="BP799" t="s">
        <v>74</v>
      </c>
      <c r="BQ799" t="s">
        <v>74</v>
      </c>
      <c r="BR799" t="s">
        <v>103</v>
      </c>
      <c r="BS799" t="s">
        <v>15277</v>
      </c>
      <c r="BT799" t="str">
        <f>HYPERLINK("https%3A%2F%2Fwww.webofscience.com%2Fwos%2Fwoscc%2Ffull-record%2FWOS:000359776000030","View Full Record in Web of Science")</f>
        <v>View Full Record in Web of Science</v>
      </c>
    </row>
    <row r="800" spans="1:72" x14ac:dyDescent="0.15">
      <c r="A800" t="s">
        <v>72</v>
      </c>
      <c r="B800" t="s">
        <v>15278</v>
      </c>
      <c r="C800" t="s">
        <v>74</v>
      </c>
      <c r="D800" t="s">
        <v>74</v>
      </c>
      <c r="E800" t="s">
        <v>74</v>
      </c>
      <c r="F800" t="s">
        <v>15279</v>
      </c>
      <c r="G800" t="s">
        <v>74</v>
      </c>
      <c r="H800" t="s">
        <v>74</v>
      </c>
      <c r="I800" t="s">
        <v>15280</v>
      </c>
      <c r="J800" t="s">
        <v>361</v>
      </c>
      <c r="K800" t="s">
        <v>74</v>
      </c>
      <c r="L800" t="s">
        <v>74</v>
      </c>
      <c r="M800" t="s">
        <v>78</v>
      </c>
      <c r="N800" t="s">
        <v>79</v>
      </c>
      <c r="O800" t="s">
        <v>74</v>
      </c>
      <c r="P800" t="s">
        <v>74</v>
      </c>
      <c r="Q800" t="s">
        <v>74</v>
      </c>
      <c r="R800" t="s">
        <v>74</v>
      </c>
      <c r="S800" t="s">
        <v>74</v>
      </c>
      <c r="T800" t="s">
        <v>15281</v>
      </c>
      <c r="U800" t="s">
        <v>15282</v>
      </c>
      <c r="V800" t="s">
        <v>15283</v>
      </c>
      <c r="W800" t="s">
        <v>15284</v>
      </c>
      <c r="X800" t="s">
        <v>15285</v>
      </c>
      <c r="Y800" t="s">
        <v>15286</v>
      </c>
      <c r="Z800" t="s">
        <v>15287</v>
      </c>
      <c r="AA800" t="s">
        <v>15288</v>
      </c>
      <c r="AB800" t="s">
        <v>15289</v>
      </c>
      <c r="AC800" t="s">
        <v>15290</v>
      </c>
      <c r="AD800" t="s">
        <v>15291</v>
      </c>
      <c r="AE800" t="s">
        <v>15292</v>
      </c>
      <c r="AF800" t="s">
        <v>74</v>
      </c>
      <c r="AG800">
        <v>76</v>
      </c>
      <c r="AH800">
        <v>125</v>
      </c>
      <c r="AI800">
        <v>135</v>
      </c>
      <c r="AJ800">
        <v>0</v>
      </c>
      <c r="AK800">
        <v>12</v>
      </c>
      <c r="AL800" t="s">
        <v>306</v>
      </c>
      <c r="AM800" t="s">
        <v>307</v>
      </c>
      <c r="AN800" t="s">
        <v>308</v>
      </c>
      <c r="AO800" t="s">
        <v>373</v>
      </c>
      <c r="AP800" t="s">
        <v>374</v>
      </c>
      <c r="AQ800" t="s">
        <v>74</v>
      </c>
      <c r="AR800" t="s">
        <v>375</v>
      </c>
      <c r="AS800" t="s">
        <v>376</v>
      </c>
      <c r="AT800" t="s">
        <v>13267</v>
      </c>
      <c r="AU800">
        <v>2015</v>
      </c>
      <c r="AV800">
        <v>120</v>
      </c>
      <c r="AW800">
        <v>7</v>
      </c>
      <c r="AX800" t="s">
        <v>74</v>
      </c>
      <c r="AY800" t="s">
        <v>74</v>
      </c>
      <c r="AZ800" t="s">
        <v>74</v>
      </c>
      <c r="BA800" t="s">
        <v>74</v>
      </c>
      <c r="BB800">
        <v>5465</v>
      </c>
      <c r="BC800">
        <v>5488</v>
      </c>
      <c r="BD800" t="s">
        <v>74</v>
      </c>
      <c r="BE800" t="s">
        <v>15293</v>
      </c>
      <c r="BF800" t="str">
        <f>HYPERLINK("http://dx.doi.org/10.1002/2015JA021227","http://dx.doi.org/10.1002/2015JA021227")</f>
        <v>http://dx.doi.org/10.1002/2015JA021227</v>
      </c>
      <c r="BG800" t="s">
        <v>74</v>
      </c>
      <c r="BH800" t="s">
        <v>74</v>
      </c>
      <c r="BI800">
        <v>24</v>
      </c>
      <c r="BJ800" t="s">
        <v>378</v>
      </c>
      <c r="BK800" t="s">
        <v>101</v>
      </c>
      <c r="BL800" t="s">
        <v>378</v>
      </c>
      <c r="BM800" t="s">
        <v>13516</v>
      </c>
      <c r="BN800" t="s">
        <v>74</v>
      </c>
      <c r="BO800" t="s">
        <v>1528</v>
      </c>
      <c r="BP800" t="s">
        <v>74</v>
      </c>
      <c r="BQ800" t="s">
        <v>74</v>
      </c>
      <c r="BR800" t="s">
        <v>103</v>
      </c>
      <c r="BS800" t="s">
        <v>15294</v>
      </c>
      <c r="BT800" t="str">
        <f>HYPERLINK("https%3A%2F%2Fwww.webofscience.com%2Fwos%2Fwoscc%2Ffull-record%2FWOS:000360381400018","View Full Record in Web of Science")</f>
        <v>View Full Record in Web of Science</v>
      </c>
    </row>
    <row r="801" spans="1:72" x14ac:dyDescent="0.15">
      <c r="A801" t="s">
        <v>72</v>
      </c>
      <c r="B801" t="s">
        <v>15295</v>
      </c>
      <c r="C801" t="s">
        <v>74</v>
      </c>
      <c r="D801" t="s">
        <v>74</v>
      </c>
      <c r="E801" t="s">
        <v>74</v>
      </c>
      <c r="F801" t="s">
        <v>15296</v>
      </c>
      <c r="G801" t="s">
        <v>74</v>
      </c>
      <c r="H801" t="s">
        <v>74</v>
      </c>
      <c r="I801" t="s">
        <v>15297</v>
      </c>
      <c r="J801" t="s">
        <v>12311</v>
      </c>
      <c r="K801" t="s">
        <v>74</v>
      </c>
      <c r="L801" t="s">
        <v>74</v>
      </c>
      <c r="M801" t="s">
        <v>78</v>
      </c>
      <c r="N801" t="s">
        <v>79</v>
      </c>
      <c r="O801" t="s">
        <v>74</v>
      </c>
      <c r="P801" t="s">
        <v>74</v>
      </c>
      <c r="Q801" t="s">
        <v>74</v>
      </c>
      <c r="R801" t="s">
        <v>74</v>
      </c>
      <c r="S801" t="s">
        <v>74</v>
      </c>
      <c r="T801" t="s">
        <v>15298</v>
      </c>
      <c r="U801" t="s">
        <v>15299</v>
      </c>
      <c r="V801" t="s">
        <v>15300</v>
      </c>
      <c r="W801" t="s">
        <v>15301</v>
      </c>
      <c r="X801" t="s">
        <v>15302</v>
      </c>
      <c r="Y801" t="s">
        <v>15303</v>
      </c>
      <c r="Z801" t="s">
        <v>15304</v>
      </c>
      <c r="AA801" t="s">
        <v>15305</v>
      </c>
      <c r="AB801" t="s">
        <v>15306</v>
      </c>
      <c r="AC801" t="s">
        <v>15307</v>
      </c>
      <c r="AD801" t="s">
        <v>15308</v>
      </c>
      <c r="AE801" t="s">
        <v>15309</v>
      </c>
      <c r="AF801" t="s">
        <v>74</v>
      </c>
      <c r="AG801">
        <v>65</v>
      </c>
      <c r="AH801">
        <v>11</v>
      </c>
      <c r="AI801">
        <v>11</v>
      </c>
      <c r="AJ801">
        <v>5</v>
      </c>
      <c r="AK801">
        <v>32</v>
      </c>
      <c r="AL801" t="s">
        <v>883</v>
      </c>
      <c r="AM801" t="s">
        <v>884</v>
      </c>
      <c r="AN801" t="s">
        <v>885</v>
      </c>
      <c r="AO801" t="s">
        <v>12324</v>
      </c>
      <c r="AP801" t="s">
        <v>12325</v>
      </c>
      <c r="AQ801" t="s">
        <v>74</v>
      </c>
      <c r="AR801" t="s">
        <v>12326</v>
      </c>
      <c r="AS801" t="s">
        <v>12327</v>
      </c>
      <c r="AT801" t="s">
        <v>13267</v>
      </c>
      <c r="AU801">
        <v>2015</v>
      </c>
      <c r="AV801">
        <v>147</v>
      </c>
      <c r="AW801" t="s">
        <v>74</v>
      </c>
      <c r="AX801" t="s">
        <v>74</v>
      </c>
      <c r="AY801" t="s">
        <v>74</v>
      </c>
      <c r="AZ801" t="s">
        <v>931</v>
      </c>
      <c r="BA801" t="s">
        <v>74</v>
      </c>
      <c r="BB801">
        <v>52</v>
      </c>
      <c r="BC801">
        <v>60</v>
      </c>
      <c r="BD801" t="s">
        <v>74</v>
      </c>
      <c r="BE801" t="s">
        <v>15310</v>
      </c>
      <c r="BF801" t="str">
        <f>HYPERLINK("http://dx.doi.org/10.1016/j.jmarsys.2014.07.006","http://dx.doi.org/10.1016/j.jmarsys.2014.07.006")</f>
        <v>http://dx.doi.org/10.1016/j.jmarsys.2014.07.006</v>
      </c>
      <c r="BG801" t="s">
        <v>74</v>
      </c>
      <c r="BH801" t="s">
        <v>74</v>
      </c>
      <c r="BI801">
        <v>9</v>
      </c>
      <c r="BJ801" t="s">
        <v>12329</v>
      </c>
      <c r="BK801" t="s">
        <v>101</v>
      </c>
      <c r="BL801" t="s">
        <v>12330</v>
      </c>
      <c r="BM801" t="s">
        <v>14329</v>
      </c>
      <c r="BN801" t="s">
        <v>74</v>
      </c>
      <c r="BO801" t="s">
        <v>74</v>
      </c>
      <c r="BP801" t="s">
        <v>74</v>
      </c>
      <c r="BQ801" t="s">
        <v>74</v>
      </c>
      <c r="BR801" t="s">
        <v>103</v>
      </c>
      <c r="BS801" t="s">
        <v>15311</v>
      </c>
      <c r="BT801" t="str">
        <f>HYPERLINK("https%3A%2F%2Fwww.webofscience.com%2Fwos%2Fwoscc%2Ffull-record%2FWOS:000356547200007","View Full Record in Web of Science")</f>
        <v>View Full Record in Web of Science</v>
      </c>
    </row>
    <row r="802" spans="1:72" x14ac:dyDescent="0.15">
      <c r="A802" t="s">
        <v>72</v>
      </c>
      <c r="B802" t="s">
        <v>15312</v>
      </c>
      <c r="C802" t="s">
        <v>74</v>
      </c>
      <c r="D802" t="s">
        <v>74</v>
      </c>
      <c r="E802" t="s">
        <v>74</v>
      </c>
      <c r="F802" t="s">
        <v>15313</v>
      </c>
      <c r="G802" t="s">
        <v>74</v>
      </c>
      <c r="H802" t="s">
        <v>74</v>
      </c>
      <c r="I802" t="s">
        <v>15314</v>
      </c>
      <c r="J802" t="s">
        <v>4327</v>
      </c>
      <c r="K802" t="s">
        <v>74</v>
      </c>
      <c r="L802" t="s">
        <v>74</v>
      </c>
      <c r="M802" t="s">
        <v>78</v>
      </c>
      <c r="N802" t="s">
        <v>79</v>
      </c>
      <c r="O802" t="s">
        <v>74</v>
      </c>
      <c r="P802" t="s">
        <v>74</v>
      </c>
      <c r="Q802" t="s">
        <v>74</v>
      </c>
      <c r="R802" t="s">
        <v>74</v>
      </c>
      <c r="S802" t="s">
        <v>74</v>
      </c>
      <c r="T802" t="s">
        <v>15315</v>
      </c>
      <c r="U802" t="s">
        <v>15316</v>
      </c>
      <c r="V802" t="s">
        <v>15317</v>
      </c>
      <c r="W802" t="s">
        <v>15318</v>
      </c>
      <c r="X802" t="s">
        <v>15319</v>
      </c>
      <c r="Y802" t="s">
        <v>15320</v>
      </c>
      <c r="Z802" t="s">
        <v>15321</v>
      </c>
      <c r="AA802" t="s">
        <v>15322</v>
      </c>
      <c r="AB802" t="s">
        <v>15323</v>
      </c>
      <c r="AC802" t="s">
        <v>15324</v>
      </c>
      <c r="AD802" t="s">
        <v>15325</v>
      </c>
      <c r="AE802" t="s">
        <v>15326</v>
      </c>
      <c r="AF802" t="s">
        <v>74</v>
      </c>
      <c r="AG802">
        <v>56</v>
      </c>
      <c r="AH802">
        <v>26</v>
      </c>
      <c r="AI802">
        <v>27</v>
      </c>
      <c r="AJ802">
        <v>0</v>
      </c>
      <c r="AK802">
        <v>33</v>
      </c>
      <c r="AL802" t="s">
        <v>3146</v>
      </c>
      <c r="AM802" t="s">
        <v>3147</v>
      </c>
      <c r="AN802" t="s">
        <v>3148</v>
      </c>
      <c r="AO802" t="s">
        <v>4340</v>
      </c>
      <c r="AP802" t="s">
        <v>4341</v>
      </c>
      <c r="AQ802" t="s">
        <v>74</v>
      </c>
      <c r="AR802" t="s">
        <v>4342</v>
      </c>
      <c r="AS802" t="s">
        <v>4343</v>
      </c>
      <c r="AT802" t="s">
        <v>13267</v>
      </c>
      <c r="AU802">
        <v>2015</v>
      </c>
      <c r="AV802">
        <v>156</v>
      </c>
      <c r="AW802">
        <v>3</v>
      </c>
      <c r="AX802" t="s">
        <v>74</v>
      </c>
      <c r="AY802" t="s">
        <v>74</v>
      </c>
      <c r="AZ802" t="s">
        <v>74</v>
      </c>
      <c r="BA802" t="s">
        <v>74</v>
      </c>
      <c r="BB802">
        <v>625</v>
      </c>
      <c r="BC802">
        <v>633</v>
      </c>
      <c r="BD802" t="s">
        <v>74</v>
      </c>
      <c r="BE802" t="s">
        <v>15327</v>
      </c>
      <c r="BF802" t="str">
        <f>HYPERLINK("http://dx.doi.org/10.1007/s10336-015-1156-y","http://dx.doi.org/10.1007/s10336-015-1156-y")</f>
        <v>http://dx.doi.org/10.1007/s10336-015-1156-y</v>
      </c>
      <c r="BG802" t="s">
        <v>74</v>
      </c>
      <c r="BH802" t="s">
        <v>74</v>
      </c>
      <c r="BI802">
        <v>9</v>
      </c>
      <c r="BJ802" t="s">
        <v>242</v>
      </c>
      <c r="BK802" t="s">
        <v>101</v>
      </c>
      <c r="BL802" t="s">
        <v>243</v>
      </c>
      <c r="BM802" t="s">
        <v>14383</v>
      </c>
      <c r="BN802" t="s">
        <v>74</v>
      </c>
      <c r="BO802" t="s">
        <v>290</v>
      </c>
      <c r="BP802" t="s">
        <v>74</v>
      </c>
      <c r="BQ802" t="s">
        <v>74</v>
      </c>
      <c r="BR802" t="s">
        <v>103</v>
      </c>
      <c r="BS802" t="s">
        <v>15328</v>
      </c>
      <c r="BT802" t="str">
        <f>HYPERLINK("https%3A%2F%2Fwww.webofscience.com%2Fwos%2Fwoscc%2Ffull-record%2FWOS:000356447100007","View Full Record in Web of Science")</f>
        <v>View Full Record in Web of Science</v>
      </c>
    </row>
    <row r="803" spans="1:72" x14ac:dyDescent="0.15">
      <c r="A803" t="s">
        <v>72</v>
      </c>
      <c r="B803" t="s">
        <v>15329</v>
      </c>
      <c r="C803" t="s">
        <v>74</v>
      </c>
      <c r="D803" t="s">
        <v>74</v>
      </c>
      <c r="E803" t="s">
        <v>74</v>
      </c>
      <c r="F803" t="s">
        <v>15330</v>
      </c>
      <c r="G803" t="s">
        <v>74</v>
      </c>
      <c r="H803" t="s">
        <v>74</v>
      </c>
      <c r="I803" t="s">
        <v>15331</v>
      </c>
      <c r="J803" t="s">
        <v>4327</v>
      </c>
      <c r="K803" t="s">
        <v>74</v>
      </c>
      <c r="L803" t="s">
        <v>74</v>
      </c>
      <c r="M803" t="s">
        <v>78</v>
      </c>
      <c r="N803" t="s">
        <v>79</v>
      </c>
      <c r="O803" t="s">
        <v>74</v>
      </c>
      <c r="P803" t="s">
        <v>74</v>
      </c>
      <c r="Q803" t="s">
        <v>74</v>
      </c>
      <c r="R803" t="s">
        <v>74</v>
      </c>
      <c r="S803" t="s">
        <v>74</v>
      </c>
      <c r="T803" t="s">
        <v>15332</v>
      </c>
      <c r="U803" t="s">
        <v>15333</v>
      </c>
      <c r="V803" t="s">
        <v>15334</v>
      </c>
      <c r="W803" t="s">
        <v>15335</v>
      </c>
      <c r="X803" t="s">
        <v>15336</v>
      </c>
      <c r="Y803" t="s">
        <v>15337</v>
      </c>
      <c r="Z803" t="s">
        <v>15338</v>
      </c>
      <c r="AA803" t="s">
        <v>15339</v>
      </c>
      <c r="AB803" t="s">
        <v>15340</v>
      </c>
      <c r="AC803" t="s">
        <v>15341</v>
      </c>
      <c r="AD803" t="s">
        <v>15342</v>
      </c>
      <c r="AE803" t="s">
        <v>15343</v>
      </c>
      <c r="AF803" t="s">
        <v>74</v>
      </c>
      <c r="AG803">
        <v>15</v>
      </c>
      <c r="AH803">
        <v>6</v>
      </c>
      <c r="AI803">
        <v>9</v>
      </c>
      <c r="AJ803">
        <v>0</v>
      </c>
      <c r="AK803">
        <v>24</v>
      </c>
      <c r="AL803" t="s">
        <v>92</v>
      </c>
      <c r="AM803" t="s">
        <v>550</v>
      </c>
      <c r="AN803" t="s">
        <v>4772</v>
      </c>
      <c r="AO803" t="s">
        <v>14380</v>
      </c>
      <c r="AP803" t="s">
        <v>14381</v>
      </c>
      <c r="AQ803" t="s">
        <v>74</v>
      </c>
      <c r="AR803" t="s">
        <v>4342</v>
      </c>
      <c r="AS803" t="s">
        <v>4343</v>
      </c>
      <c r="AT803" t="s">
        <v>13267</v>
      </c>
      <c r="AU803">
        <v>2015</v>
      </c>
      <c r="AV803">
        <v>156</v>
      </c>
      <c r="AW803">
        <v>3</v>
      </c>
      <c r="AX803" t="s">
        <v>74</v>
      </c>
      <c r="AY803" t="s">
        <v>74</v>
      </c>
      <c r="AZ803" t="s">
        <v>74</v>
      </c>
      <c r="BA803" t="s">
        <v>74</v>
      </c>
      <c r="BB803">
        <v>847</v>
      </c>
      <c r="BC803">
        <v>850</v>
      </c>
      <c r="BD803" t="s">
        <v>74</v>
      </c>
      <c r="BE803" t="s">
        <v>15344</v>
      </c>
      <c r="BF803" t="str">
        <f>HYPERLINK("http://dx.doi.org/10.1007/s10336-015-1205-6","http://dx.doi.org/10.1007/s10336-015-1205-6")</f>
        <v>http://dx.doi.org/10.1007/s10336-015-1205-6</v>
      </c>
      <c r="BG803" t="s">
        <v>74</v>
      </c>
      <c r="BH803" t="s">
        <v>74</v>
      </c>
      <c r="BI803">
        <v>4</v>
      </c>
      <c r="BJ803" t="s">
        <v>242</v>
      </c>
      <c r="BK803" t="s">
        <v>101</v>
      </c>
      <c r="BL803" t="s">
        <v>243</v>
      </c>
      <c r="BM803" t="s">
        <v>14383</v>
      </c>
      <c r="BN803" t="s">
        <v>74</v>
      </c>
      <c r="BO803" t="s">
        <v>1801</v>
      </c>
      <c r="BP803" t="s">
        <v>74</v>
      </c>
      <c r="BQ803" t="s">
        <v>74</v>
      </c>
      <c r="BR803" t="s">
        <v>103</v>
      </c>
      <c r="BS803" t="s">
        <v>15345</v>
      </c>
      <c r="BT803" t="str">
        <f>HYPERLINK("https%3A%2F%2Fwww.webofscience.com%2Fwos%2Fwoscc%2Ffull-record%2FWOS:000356447100029","View Full Record in Web of Science")</f>
        <v>View Full Record in Web of Science</v>
      </c>
    </row>
    <row r="804" spans="1:72" x14ac:dyDescent="0.15">
      <c r="A804" t="s">
        <v>72</v>
      </c>
      <c r="B804" t="s">
        <v>15346</v>
      </c>
      <c r="C804" t="s">
        <v>74</v>
      </c>
      <c r="D804" t="s">
        <v>74</v>
      </c>
      <c r="E804" t="s">
        <v>74</v>
      </c>
      <c r="F804" t="s">
        <v>15347</v>
      </c>
      <c r="G804" t="s">
        <v>74</v>
      </c>
      <c r="H804" t="s">
        <v>74</v>
      </c>
      <c r="I804" t="s">
        <v>15348</v>
      </c>
      <c r="J804" t="s">
        <v>13655</v>
      </c>
      <c r="K804" t="s">
        <v>74</v>
      </c>
      <c r="L804" t="s">
        <v>74</v>
      </c>
      <c r="M804" t="s">
        <v>78</v>
      </c>
      <c r="N804" t="s">
        <v>79</v>
      </c>
      <c r="O804" t="s">
        <v>74</v>
      </c>
      <c r="P804" t="s">
        <v>74</v>
      </c>
      <c r="Q804" t="s">
        <v>74</v>
      </c>
      <c r="R804" t="s">
        <v>74</v>
      </c>
      <c r="S804" t="s">
        <v>74</v>
      </c>
      <c r="T804" t="s">
        <v>15349</v>
      </c>
      <c r="U804" t="s">
        <v>15350</v>
      </c>
      <c r="V804" t="s">
        <v>15351</v>
      </c>
      <c r="W804" t="s">
        <v>15352</v>
      </c>
      <c r="X804" t="s">
        <v>15353</v>
      </c>
      <c r="Y804" t="s">
        <v>15354</v>
      </c>
      <c r="Z804" t="s">
        <v>15355</v>
      </c>
      <c r="AA804" t="s">
        <v>15356</v>
      </c>
      <c r="AB804" t="s">
        <v>15357</v>
      </c>
      <c r="AC804" t="s">
        <v>15358</v>
      </c>
      <c r="AD804" t="s">
        <v>15359</v>
      </c>
      <c r="AE804" t="s">
        <v>15360</v>
      </c>
      <c r="AF804" t="s">
        <v>74</v>
      </c>
      <c r="AG804">
        <v>84</v>
      </c>
      <c r="AH804">
        <v>21</v>
      </c>
      <c r="AI804">
        <v>21</v>
      </c>
      <c r="AJ804">
        <v>1</v>
      </c>
      <c r="AK804">
        <v>40</v>
      </c>
      <c r="AL804" t="s">
        <v>2279</v>
      </c>
      <c r="AM804" t="s">
        <v>398</v>
      </c>
      <c r="AN804" t="s">
        <v>2280</v>
      </c>
      <c r="AO804" t="s">
        <v>13668</v>
      </c>
      <c r="AP804" t="s">
        <v>13669</v>
      </c>
      <c r="AQ804" t="s">
        <v>74</v>
      </c>
      <c r="AR804" t="s">
        <v>13670</v>
      </c>
      <c r="AS804" t="s">
        <v>13671</v>
      </c>
      <c r="AT804" t="s">
        <v>13351</v>
      </c>
      <c r="AU804">
        <v>2015</v>
      </c>
      <c r="AV804">
        <v>37</v>
      </c>
      <c r="AW804">
        <v>4</v>
      </c>
      <c r="AX804" t="s">
        <v>74</v>
      </c>
      <c r="AY804" t="s">
        <v>74</v>
      </c>
      <c r="AZ804" t="s">
        <v>74</v>
      </c>
      <c r="BA804" t="s">
        <v>74</v>
      </c>
      <c r="BB804">
        <v>790</v>
      </c>
      <c r="BC804">
        <v>807</v>
      </c>
      <c r="BD804" t="s">
        <v>74</v>
      </c>
      <c r="BE804" t="s">
        <v>15361</v>
      </c>
      <c r="BF804" t="str">
        <f>HYPERLINK("http://dx.doi.org/10.1093/plankt/fbv052","http://dx.doi.org/10.1093/plankt/fbv052")</f>
        <v>http://dx.doi.org/10.1093/plankt/fbv052</v>
      </c>
      <c r="BG804" t="s">
        <v>74</v>
      </c>
      <c r="BH804" t="s">
        <v>74</v>
      </c>
      <c r="BI804">
        <v>18</v>
      </c>
      <c r="BJ804" t="s">
        <v>478</v>
      </c>
      <c r="BK804" t="s">
        <v>101</v>
      </c>
      <c r="BL804" t="s">
        <v>478</v>
      </c>
      <c r="BM804" t="s">
        <v>13673</v>
      </c>
      <c r="BN804" t="s">
        <v>74</v>
      </c>
      <c r="BO804" t="s">
        <v>13737</v>
      </c>
      <c r="BP804" t="s">
        <v>74</v>
      </c>
      <c r="BQ804" t="s">
        <v>74</v>
      </c>
      <c r="BR804" t="s">
        <v>103</v>
      </c>
      <c r="BS804" t="s">
        <v>15362</v>
      </c>
      <c r="BT804" t="str">
        <f>HYPERLINK("https%3A%2F%2Fwww.webofscience.com%2Fwos%2Fwoscc%2Ffull-record%2FWOS:000359646700013","View Full Record in Web of Science")</f>
        <v>View Full Record in Web of Science</v>
      </c>
    </row>
    <row r="805" spans="1:72" x14ac:dyDescent="0.15">
      <c r="A805" t="s">
        <v>72</v>
      </c>
      <c r="B805" t="s">
        <v>15363</v>
      </c>
      <c r="C805" t="s">
        <v>74</v>
      </c>
      <c r="D805" t="s">
        <v>74</v>
      </c>
      <c r="E805" t="s">
        <v>74</v>
      </c>
      <c r="F805" t="s">
        <v>15364</v>
      </c>
      <c r="G805" t="s">
        <v>74</v>
      </c>
      <c r="H805" t="s">
        <v>74</v>
      </c>
      <c r="I805" t="s">
        <v>15365</v>
      </c>
      <c r="J805" t="s">
        <v>15366</v>
      </c>
      <c r="K805" t="s">
        <v>74</v>
      </c>
      <c r="L805" t="s">
        <v>74</v>
      </c>
      <c r="M805" t="s">
        <v>78</v>
      </c>
      <c r="N805" t="s">
        <v>79</v>
      </c>
      <c r="O805" t="s">
        <v>74</v>
      </c>
      <c r="P805" t="s">
        <v>74</v>
      </c>
      <c r="Q805" t="s">
        <v>74</v>
      </c>
      <c r="R805" t="s">
        <v>74</v>
      </c>
      <c r="S805" t="s">
        <v>74</v>
      </c>
      <c r="T805" t="s">
        <v>15367</v>
      </c>
      <c r="U805" t="s">
        <v>15368</v>
      </c>
      <c r="V805" t="s">
        <v>15369</v>
      </c>
      <c r="W805" t="s">
        <v>15370</v>
      </c>
      <c r="X805" t="s">
        <v>15371</v>
      </c>
      <c r="Y805" t="s">
        <v>15372</v>
      </c>
      <c r="Z805" t="s">
        <v>15373</v>
      </c>
      <c r="AA805" t="s">
        <v>15374</v>
      </c>
      <c r="AB805" t="s">
        <v>15375</v>
      </c>
      <c r="AC805" t="s">
        <v>15376</v>
      </c>
      <c r="AD805" t="s">
        <v>15377</v>
      </c>
      <c r="AE805" t="s">
        <v>15378</v>
      </c>
      <c r="AF805" t="s">
        <v>74</v>
      </c>
      <c r="AG805">
        <v>37</v>
      </c>
      <c r="AH805">
        <v>18</v>
      </c>
      <c r="AI805">
        <v>19</v>
      </c>
      <c r="AJ805">
        <v>4</v>
      </c>
      <c r="AK805">
        <v>56</v>
      </c>
      <c r="AL805" t="s">
        <v>208</v>
      </c>
      <c r="AM805" t="s">
        <v>209</v>
      </c>
      <c r="AN805" t="s">
        <v>210</v>
      </c>
      <c r="AO805" t="s">
        <v>15379</v>
      </c>
      <c r="AP805" t="s">
        <v>15380</v>
      </c>
      <c r="AQ805" t="s">
        <v>74</v>
      </c>
      <c r="AR805" t="s">
        <v>15381</v>
      </c>
      <c r="AS805" t="s">
        <v>15382</v>
      </c>
      <c r="AT805" t="s">
        <v>13267</v>
      </c>
      <c r="AU805">
        <v>2015</v>
      </c>
      <c r="AV805">
        <v>30</v>
      </c>
      <c r="AW805">
        <v>5</v>
      </c>
      <c r="AX805" t="s">
        <v>74</v>
      </c>
      <c r="AY805" t="s">
        <v>74</v>
      </c>
      <c r="AZ805" t="s">
        <v>74</v>
      </c>
      <c r="BA805" t="s">
        <v>74</v>
      </c>
      <c r="BB805">
        <v>391</v>
      </c>
      <c r="BC805">
        <v>395</v>
      </c>
      <c r="BD805" t="s">
        <v>74</v>
      </c>
      <c r="BE805" t="s">
        <v>15383</v>
      </c>
      <c r="BF805" t="str">
        <f>HYPERLINK("http://dx.doi.org/10.1002/jqs.2794","http://dx.doi.org/10.1002/jqs.2794")</f>
        <v>http://dx.doi.org/10.1002/jqs.2794</v>
      </c>
      <c r="BG805" t="s">
        <v>74</v>
      </c>
      <c r="BH805" t="s">
        <v>74</v>
      </c>
      <c r="BI805">
        <v>5</v>
      </c>
      <c r="BJ805" t="s">
        <v>1778</v>
      </c>
      <c r="BK805" t="s">
        <v>101</v>
      </c>
      <c r="BL805" t="s">
        <v>1779</v>
      </c>
      <c r="BM805" t="s">
        <v>15384</v>
      </c>
      <c r="BN805" t="s">
        <v>74</v>
      </c>
      <c r="BO805" t="s">
        <v>455</v>
      </c>
      <c r="BP805" t="s">
        <v>74</v>
      </c>
      <c r="BQ805" t="s">
        <v>74</v>
      </c>
      <c r="BR805" t="s">
        <v>103</v>
      </c>
      <c r="BS805" t="s">
        <v>15385</v>
      </c>
      <c r="BT805" t="str">
        <f>HYPERLINK("https%3A%2F%2Fwww.webofscience.com%2Fwos%2Fwoscc%2Ffull-record%2FWOS:000358111900001","View Full Record in Web of Science")</f>
        <v>View Full Record in Web of Science</v>
      </c>
    </row>
    <row r="806" spans="1:72" x14ac:dyDescent="0.15">
      <c r="A806" t="s">
        <v>72</v>
      </c>
      <c r="B806" t="s">
        <v>15386</v>
      </c>
      <c r="C806" t="s">
        <v>74</v>
      </c>
      <c r="D806" t="s">
        <v>74</v>
      </c>
      <c r="E806" t="s">
        <v>74</v>
      </c>
      <c r="F806" t="s">
        <v>15387</v>
      </c>
      <c r="G806" t="s">
        <v>74</v>
      </c>
      <c r="H806" t="s">
        <v>74</v>
      </c>
      <c r="I806" t="s">
        <v>15388</v>
      </c>
      <c r="J806" t="s">
        <v>15366</v>
      </c>
      <c r="K806" t="s">
        <v>74</v>
      </c>
      <c r="L806" t="s">
        <v>74</v>
      </c>
      <c r="M806" t="s">
        <v>78</v>
      </c>
      <c r="N806" t="s">
        <v>79</v>
      </c>
      <c r="O806" t="s">
        <v>74</v>
      </c>
      <c r="P806" t="s">
        <v>74</v>
      </c>
      <c r="Q806" t="s">
        <v>74</v>
      </c>
      <c r="R806" t="s">
        <v>74</v>
      </c>
      <c r="S806" t="s">
        <v>74</v>
      </c>
      <c r="T806" t="s">
        <v>15389</v>
      </c>
      <c r="U806" t="s">
        <v>15390</v>
      </c>
      <c r="V806" t="s">
        <v>15391</v>
      </c>
      <c r="W806" t="s">
        <v>15392</v>
      </c>
      <c r="X806" t="s">
        <v>15393</v>
      </c>
      <c r="Y806" t="s">
        <v>15394</v>
      </c>
      <c r="Z806" t="s">
        <v>15395</v>
      </c>
      <c r="AA806" t="s">
        <v>15396</v>
      </c>
      <c r="AB806" t="s">
        <v>15397</v>
      </c>
      <c r="AC806" t="s">
        <v>15398</v>
      </c>
      <c r="AD806" t="s">
        <v>15399</v>
      </c>
      <c r="AE806" t="s">
        <v>15400</v>
      </c>
      <c r="AF806" t="s">
        <v>74</v>
      </c>
      <c r="AG806">
        <v>83</v>
      </c>
      <c r="AH806">
        <v>11</v>
      </c>
      <c r="AI806">
        <v>12</v>
      </c>
      <c r="AJ806">
        <v>1</v>
      </c>
      <c r="AK806">
        <v>33</v>
      </c>
      <c r="AL806" t="s">
        <v>208</v>
      </c>
      <c r="AM806" t="s">
        <v>209</v>
      </c>
      <c r="AN806" t="s">
        <v>210</v>
      </c>
      <c r="AO806" t="s">
        <v>15379</v>
      </c>
      <c r="AP806" t="s">
        <v>15380</v>
      </c>
      <c r="AQ806" t="s">
        <v>74</v>
      </c>
      <c r="AR806" t="s">
        <v>15381</v>
      </c>
      <c r="AS806" t="s">
        <v>15382</v>
      </c>
      <c r="AT806" t="s">
        <v>13267</v>
      </c>
      <c r="AU806">
        <v>2015</v>
      </c>
      <c r="AV806">
        <v>30</v>
      </c>
      <c r="AW806">
        <v>5</v>
      </c>
      <c r="AX806" t="s">
        <v>74</v>
      </c>
      <c r="AY806" t="s">
        <v>74</v>
      </c>
      <c r="AZ806" t="s">
        <v>74</v>
      </c>
      <c r="BA806" t="s">
        <v>74</v>
      </c>
      <c r="BB806">
        <v>464</v>
      </c>
      <c r="BC806">
        <v>477</v>
      </c>
      <c r="BD806" t="s">
        <v>74</v>
      </c>
      <c r="BE806" t="s">
        <v>15401</v>
      </c>
      <c r="BF806" t="str">
        <f>HYPERLINK("http://dx.doi.org/10.1002/jqs.2788","http://dx.doi.org/10.1002/jqs.2788")</f>
        <v>http://dx.doi.org/10.1002/jqs.2788</v>
      </c>
      <c r="BG806" t="s">
        <v>74</v>
      </c>
      <c r="BH806" t="s">
        <v>74</v>
      </c>
      <c r="BI806">
        <v>14</v>
      </c>
      <c r="BJ806" t="s">
        <v>1778</v>
      </c>
      <c r="BK806" t="s">
        <v>101</v>
      </c>
      <c r="BL806" t="s">
        <v>1779</v>
      </c>
      <c r="BM806" t="s">
        <v>15384</v>
      </c>
      <c r="BN806" t="s">
        <v>74</v>
      </c>
      <c r="BO806" t="s">
        <v>74</v>
      </c>
      <c r="BP806" t="s">
        <v>74</v>
      </c>
      <c r="BQ806" t="s">
        <v>74</v>
      </c>
      <c r="BR806" t="s">
        <v>103</v>
      </c>
      <c r="BS806" t="s">
        <v>15402</v>
      </c>
      <c r="BT806" t="str">
        <f>HYPERLINK("https%3A%2F%2Fwww.webofscience.com%2Fwos%2Fwoscc%2Ffull-record%2FWOS:000358111900006","View Full Record in Web of Science")</f>
        <v>View Full Record in Web of Science</v>
      </c>
    </row>
    <row r="807" spans="1:72" x14ac:dyDescent="0.15">
      <c r="A807" t="s">
        <v>72</v>
      </c>
      <c r="B807" t="s">
        <v>15403</v>
      </c>
      <c r="C807" t="s">
        <v>74</v>
      </c>
      <c r="D807" t="s">
        <v>74</v>
      </c>
      <c r="E807" t="s">
        <v>74</v>
      </c>
      <c r="F807" t="s">
        <v>15404</v>
      </c>
      <c r="G807" t="s">
        <v>74</v>
      </c>
      <c r="H807" t="s">
        <v>74</v>
      </c>
      <c r="I807" t="s">
        <v>15405</v>
      </c>
      <c r="J807" t="s">
        <v>15406</v>
      </c>
      <c r="K807" t="s">
        <v>74</v>
      </c>
      <c r="L807" t="s">
        <v>74</v>
      </c>
      <c r="M807" t="s">
        <v>78</v>
      </c>
      <c r="N807" t="s">
        <v>79</v>
      </c>
      <c r="O807" t="s">
        <v>74</v>
      </c>
      <c r="P807" t="s">
        <v>74</v>
      </c>
      <c r="Q807" t="s">
        <v>74</v>
      </c>
      <c r="R807" t="s">
        <v>74</v>
      </c>
      <c r="S807" t="s">
        <v>74</v>
      </c>
      <c r="T807" t="s">
        <v>15407</v>
      </c>
      <c r="U807" t="s">
        <v>15408</v>
      </c>
      <c r="V807" t="s">
        <v>15409</v>
      </c>
      <c r="W807" t="s">
        <v>15410</v>
      </c>
      <c r="X807" t="s">
        <v>15411</v>
      </c>
      <c r="Y807" t="s">
        <v>15412</v>
      </c>
      <c r="Z807" t="s">
        <v>15413</v>
      </c>
      <c r="AA807" t="s">
        <v>74</v>
      </c>
      <c r="AB807" t="s">
        <v>74</v>
      </c>
      <c r="AC807" t="s">
        <v>15414</v>
      </c>
      <c r="AD807" t="s">
        <v>15415</v>
      </c>
      <c r="AE807" t="s">
        <v>15416</v>
      </c>
      <c r="AF807" t="s">
        <v>74</v>
      </c>
      <c r="AG807">
        <v>79</v>
      </c>
      <c r="AH807">
        <v>9</v>
      </c>
      <c r="AI807">
        <v>10</v>
      </c>
      <c r="AJ807">
        <v>0</v>
      </c>
      <c r="AK807">
        <v>2</v>
      </c>
      <c r="AL807" t="s">
        <v>397</v>
      </c>
      <c r="AM807" t="s">
        <v>398</v>
      </c>
      <c r="AN807" t="s">
        <v>399</v>
      </c>
      <c r="AO807" t="s">
        <v>15417</v>
      </c>
      <c r="AP807" t="s">
        <v>74</v>
      </c>
      <c r="AQ807" t="s">
        <v>74</v>
      </c>
      <c r="AR807" t="s">
        <v>15418</v>
      </c>
      <c r="AS807" t="s">
        <v>15419</v>
      </c>
      <c r="AT807" t="s">
        <v>13267</v>
      </c>
      <c r="AU807">
        <v>2015</v>
      </c>
      <c r="AV807">
        <v>60</v>
      </c>
      <c r="AW807" t="s">
        <v>74</v>
      </c>
      <c r="AX807" t="s">
        <v>74</v>
      </c>
      <c r="AY807" t="s">
        <v>74</v>
      </c>
      <c r="AZ807" t="s">
        <v>74</v>
      </c>
      <c r="BA807" t="s">
        <v>74</v>
      </c>
      <c r="BB807">
        <v>92</v>
      </c>
      <c r="BC807">
        <v>103</v>
      </c>
      <c r="BD807" t="s">
        <v>74</v>
      </c>
      <c r="BE807" t="s">
        <v>15420</v>
      </c>
      <c r="BF807" t="str">
        <f>HYPERLINK("http://dx.doi.org/10.1016/j.jsames.2015.03.004","http://dx.doi.org/10.1016/j.jsames.2015.03.004")</f>
        <v>http://dx.doi.org/10.1016/j.jsames.2015.03.004</v>
      </c>
      <c r="BG807" t="s">
        <v>74</v>
      </c>
      <c r="BH807" t="s">
        <v>74</v>
      </c>
      <c r="BI807">
        <v>12</v>
      </c>
      <c r="BJ807" t="s">
        <v>314</v>
      </c>
      <c r="BK807" t="s">
        <v>101</v>
      </c>
      <c r="BL807" t="s">
        <v>315</v>
      </c>
      <c r="BM807" t="s">
        <v>15421</v>
      </c>
      <c r="BN807" t="s">
        <v>74</v>
      </c>
      <c r="BO807" t="s">
        <v>290</v>
      </c>
      <c r="BP807" t="s">
        <v>74</v>
      </c>
      <c r="BQ807" t="s">
        <v>74</v>
      </c>
      <c r="BR807" t="s">
        <v>103</v>
      </c>
      <c r="BS807" t="s">
        <v>15422</v>
      </c>
      <c r="BT807" t="str">
        <f>HYPERLINK("https%3A%2F%2Fwww.webofscience.com%2Fwos%2Fwoscc%2Ffull-record%2FWOS:000355358500008","View Full Record in Web of Science")</f>
        <v>View Full Record in Web of Science</v>
      </c>
    </row>
    <row r="808" spans="1:72" x14ac:dyDescent="0.15">
      <c r="A808" t="s">
        <v>72</v>
      </c>
      <c r="B808" t="s">
        <v>15423</v>
      </c>
      <c r="C808" t="s">
        <v>74</v>
      </c>
      <c r="D808" t="s">
        <v>74</v>
      </c>
      <c r="E808" t="s">
        <v>74</v>
      </c>
      <c r="F808" t="s">
        <v>15424</v>
      </c>
      <c r="G808" t="s">
        <v>74</v>
      </c>
      <c r="H808" t="s">
        <v>74</v>
      </c>
      <c r="I808" t="s">
        <v>15425</v>
      </c>
      <c r="J808" t="s">
        <v>15426</v>
      </c>
      <c r="K808" t="s">
        <v>74</v>
      </c>
      <c r="L808" t="s">
        <v>74</v>
      </c>
      <c r="M808" t="s">
        <v>78</v>
      </c>
      <c r="N808" t="s">
        <v>581</v>
      </c>
      <c r="O808" t="s">
        <v>74</v>
      </c>
      <c r="P808" t="s">
        <v>74</v>
      </c>
      <c r="Q808" t="s">
        <v>74</v>
      </c>
      <c r="R808" t="s">
        <v>74</v>
      </c>
      <c r="S808" t="s">
        <v>74</v>
      </c>
      <c r="T808" t="s">
        <v>15427</v>
      </c>
      <c r="U808" t="s">
        <v>74</v>
      </c>
      <c r="V808" t="s">
        <v>15428</v>
      </c>
      <c r="W808" t="s">
        <v>15429</v>
      </c>
      <c r="X808" t="s">
        <v>74</v>
      </c>
      <c r="Y808" t="s">
        <v>15430</v>
      </c>
      <c r="Z808" t="s">
        <v>15431</v>
      </c>
      <c r="AA808" t="s">
        <v>15432</v>
      </c>
      <c r="AB808" t="s">
        <v>74</v>
      </c>
      <c r="AC808" t="s">
        <v>74</v>
      </c>
      <c r="AD808" t="s">
        <v>74</v>
      </c>
      <c r="AE808" t="s">
        <v>74</v>
      </c>
      <c r="AF808" t="s">
        <v>74</v>
      </c>
      <c r="AG808">
        <v>42</v>
      </c>
      <c r="AH808">
        <v>11</v>
      </c>
      <c r="AI808">
        <v>16</v>
      </c>
      <c r="AJ808">
        <v>0</v>
      </c>
      <c r="AK808">
        <v>27</v>
      </c>
      <c r="AL808" t="s">
        <v>925</v>
      </c>
      <c r="AM808" t="s">
        <v>884</v>
      </c>
      <c r="AN808" t="s">
        <v>926</v>
      </c>
      <c r="AO808" t="s">
        <v>15433</v>
      </c>
      <c r="AP808" t="s">
        <v>15434</v>
      </c>
      <c r="AQ808" t="s">
        <v>74</v>
      </c>
      <c r="AR808" t="s">
        <v>15435</v>
      </c>
      <c r="AS808" t="s">
        <v>15436</v>
      </c>
      <c r="AT808" t="s">
        <v>13267</v>
      </c>
      <c r="AU808">
        <v>2015</v>
      </c>
      <c r="AV808">
        <v>6</v>
      </c>
      <c r="AW808" t="s">
        <v>74</v>
      </c>
      <c r="AX808" t="s">
        <v>74</v>
      </c>
      <c r="AY808" t="s">
        <v>74</v>
      </c>
      <c r="AZ808" t="s">
        <v>74</v>
      </c>
      <c r="BA808" t="s">
        <v>74</v>
      </c>
      <c r="BB808">
        <v>79</v>
      </c>
      <c r="BC808">
        <v>86</v>
      </c>
      <c r="BD808" t="s">
        <v>74</v>
      </c>
      <c r="BE808" t="s">
        <v>15437</v>
      </c>
      <c r="BF808" t="str">
        <f>HYPERLINK("http://dx.doi.org/10.1016/j.lssr.2015.07.003","http://dx.doi.org/10.1016/j.lssr.2015.07.003")</f>
        <v>http://dx.doi.org/10.1016/j.lssr.2015.07.003</v>
      </c>
      <c r="BG808" t="s">
        <v>74</v>
      </c>
      <c r="BH808" t="s">
        <v>74</v>
      </c>
      <c r="BI808">
        <v>8</v>
      </c>
      <c r="BJ808" t="s">
        <v>15438</v>
      </c>
      <c r="BK808" t="s">
        <v>831</v>
      </c>
      <c r="BL808" t="s">
        <v>15439</v>
      </c>
      <c r="BM808" t="s">
        <v>15440</v>
      </c>
      <c r="BN808">
        <v>26256631</v>
      </c>
      <c r="BO808" t="s">
        <v>74</v>
      </c>
      <c r="BP808" t="s">
        <v>74</v>
      </c>
      <c r="BQ808" t="s">
        <v>74</v>
      </c>
      <c r="BR808" t="s">
        <v>103</v>
      </c>
      <c r="BS808" t="s">
        <v>15441</v>
      </c>
      <c r="BT808" t="str">
        <f>HYPERLINK("https%3A%2F%2Fwww.webofscience.com%2Fwos%2Fwoscc%2Ffull-record%2FWOS:000218585900012","View Full Record in Web of Science")</f>
        <v>View Full Record in Web of Science</v>
      </c>
    </row>
    <row r="809" spans="1:72" x14ac:dyDescent="0.15">
      <c r="A809" t="s">
        <v>72</v>
      </c>
      <c r="B809" t="s">
        <v>15442</v>
      </c>
      <c r="C809" t="s">
        <v>74</v>
      </c>
      <c r="D809" t="s">
        <v>74</v>
      </c>
      <c r="E809" t="s">
        <v>74</v>
      </c>
      <c r="F809" t="s">
        <v>15443</v>
      </c>
      <c r="G809" t="s">
        <v>74</v>
      </c>
      <c r="H809" t="s">
        <v>74</v>
      </c>
      <c r="I809" t="s">
        <v>15444</v>
      </c>
      <c r="J809" t="s">
        <v>3135</v>
      </c>
      <c r="K809" t="s">
        <v>74</v>
      </c>
      <c r="L809" t="s">
        <v>74</v>
      </c>
      <c r="M809" t="s">
        <v>78</v>
      </c>
      <c r="N809" t="s">
        <v>79</v>
      </c>
      <c r="O809" t="s">
        <v>74</v>
      </c>
      <c r="P809" t="s">
        <v>74</v>
      </c>
      <c r="Q809" t="s">
        <v>74</v>
      </c>
      <c r="R809" t="s">
        <v>74</v>
      </c>
      <c r="S809" t="s">
        <v>74</v>
      </c>
      <c r="T809" t="s">
        <v>74</v>
      </c>
      <c r="U809" t="s">
        <v>15445</v>
      </c>
      <c r="V809" t="s">
        <v>15446</v>
      </c>
      <c r="W809" t="s">
        <v>15447</v>
      </c>
      <c r="X809" t="s">
        <v>15448</v>
      </c>
      <c r="Y809" t="s">
        <v>15449</v>
      </c>
      <c r="Z809" t="s">
        <v>15450</v>
      </c>
      <c r="AA809" t="s">
        <v>74</v>
      </c>
      <c r="AB809" t="s">
        <v>74</v>
      </c>
      <c r="AC809" t="s">
        <v>15451</v>
      </c>
      <c r="AD809" t="s">
        <v>15451</v>
      </c>
      <c r="AE809" t="s">
        <v>15452</v>
      </c>
      <c r="AF809" t="s">
        <v>74</v>
      </c>
      <c r="AG809">
        <v>105</v>
      </c>
      <c r="AH809">
        <v>31</v>
      </c>
      <c r="AI809">
        <v>33</v>
      </c>
      <c r="AJ809">
        <v>1</v>
      </c>
      <c r="AK809">
        <v>87</v>
      </c>
      <c r="AL809" t="s">
        <v>3146</v>
      </c>
      <c r="AM809" t="s">
        <v>3147</v>
      </c>
      <c r="AN809" t="s">
        <v>3148</v>
      </c>
      <c r="AO809" t="s">
        <v>3149</v>
      </c>
      <c r="AP809" t="s">
        <v>3150</v>
      </c>
      <c r="AQ809" t="s">
        <v>74</v>
      </c>
      <c r="AR809" t="s">
        <v>3151</v>
      </c>
      <c r="AS809" t="s">
        <v>3152</v>
      </c>
      <c r="AT809" t="s">
        <v>13267</v>
      </c>
      <c r="AU809">
        <v>2015</v>
      </c>
      <c r="AV809">
        <v>162</v>
      </c>
      <c r="AW809">
        <v>7</v>
      </c>
      <c r="AX809" t="s">
        <v>74</v>
      </c>
      <c r="AY809" t="s">
        <v>74</v>
      </c>
      <c r="AZ809" t="s">
        <v>74</v>
      </c>
      <c r="BA809" t="s">
        <v>74</v>
      </c>
      <c r="BB809">
        <v>1485</v>
      </c>
      <c r="BC809">
        <v>1501</v>
      </c>
      <c r="BD809" t="s">
        <v>74</v>
      </c>
      <c r="BE809" t="s">
        <v>15453</v>
      </c>
      <c r="BF809" t="str">
        <f>HYPERLINK("http://dx.doi.org/10.1007/s00227-015-2685-x","http://dx.doi.org/10.1007/s00227-015-2685-x")</f>
        <v>http://dx.doi.org/10.1007/s00227-015-2685-x</v>
      </c>
      <c r="BG809" t="s">
        <v>74</v>
      </c>
      <c r="BH809" t="s">
        <v>74</v>
      </c>
      <c r="BI809">
        <v>17</v>
      </c>
      <c r="BJ809" t="s">
        <v>100</v>
      </c>
      <c r="BK809" t="s">
        <v>101</v>
      </c>
      <c r="BL809" t="s">
        <v>100</v>
      </c>
      <c r="BM809" t="s">
        <v>15454</v>
      </c>
      <c r="BN809" t="s">
        <v>74</v>
      </c>
      <c r="BO809" t="s">
        <v>74</v>
      </c>
      <c r="BP809" t="s">
        <v>74</v>
      </c>
      <c r="BQ809" t="s">
        <v>74</v>
      </c>
      <c r="BR809" t="s">
        <v>103</v>
      </c>
      <c r="BS809" t="s">
        <v>15455</v>
      </c>
      <c r="BT809" t="str">
        <f>HYPERLINK("https%3A%2F%2Fwww.webofscience.com%2Fwos%2Fwoscc%2Ffull-record%2FWOS:000357344000009","View Full Record in Web of Science")</f>
        <v>View Full Record in Web of Science</v>
      </c>
    </row>
    <row r="810" spans="1:72" x14ac:dyDescent="0.15">
      <c r="A810" t="s">
        <v>72</v>
      </c>
      <c r="B810" t="s">
        <v>15456</v>
      </c>
      <c r="C810" t="s">
        <v>74</v>
      </c>
      <c r="D810" t="s">
        <v>74</v>
      </c>
      <c r="E810" t="s">
        <v>74</v>
      </c>
      <c r="F810" t="s">
        <v>15457</v>
      </c>
      <c r="G810" t="s">
        <v>74</v>
      </c>
      <c r="H810" t="s">
        <v>74</v>
      </c>
      <c r="I810" t="s">
        <v>15458</v>
      </c>
      <c r="J810" t="s">
        <v>12004</v>
      </c>
      <c r="K810" t="s">
        <v>74</v>
      </c>
      <c r="L810" t="s">
        <v>74</v>
      </c>
      <c r="M810" t="s">
        <v>78</v>
      </c>
      <c r="N810" t="s">
        <v>79</v>
      </c>
      <c r="O810" t="s">
        <v>74</v>
      </c>
      <c r="P810" t="s">
        <v>74</v>
      </c>
      <c r="Q810" t="s">
        <v>74</v>
      </c>
      <c r="R810" t="s">
        <v>74</v>
      </c>
      <c r="S810" t="s">
        <v>74</v>
      </c>
      <c r="T810" t="s">
        <v>15459</v>
      </c>
      <c r="U810" t="s">
        <v>15460</v>
      </c>
      <c r="V810" t="s">
        <v>15461</v>
      </c>
      <c r="W810" t="s">
        <v>15462</v>
      </c>
      <c r="X810" t="s">
        <v>15463</v>
      </c>
      <c r="Y810" t="s">
        <v>15464</v>
      </c>
      <c r="Z810" t="s">
        <v>15465</v>
      </c>
      <c r="AA810" t="s">
        <v>15466</v>
      </c>
      <c r="AB810" t="s">
        <v>15467</v>
      </c>
      <c r="AC810" t="s">
        <v>15468</v>
      </c>
      <c r="AD810" t="s">
        <v>13262</v>
      </c>
      <c r="AE810" t="s">
        <v>15469</v>
      </c>
      <c r="AF810" t="s">
        <v>74</v>
      </c>
      <c r="AG810">
        <v>47</v>
      </c>
      <c r="AH810">
        <v>49</v>
      </c>
      <c r="AI810">
        <v>55</v>
      </c>
      <c r="AJ810">
        <v>1</v>
      </c>
      <c r="AK810">
        <v>76</v>
      </c>
      <c r="AL810" t="s">
        <v>92</v>
      </c>
      <c r="AM810" t="s">
        <v>550</v>
      </c>
      <c r="AN810" t="s">
        <v>4772</v>
      </c>
      <c r="AO810" t="s">
        <v>12017</v>
      </c>
      <c r="AP810" t="s">
        <v>12018</v>
      </c>
      <c r="AQ810" t="s">
        <v>74</v>
      </c>
      <c r="AR810" t="s">
        <v>12019</v>
      </c>
      <c r="AS810" t="s">
        <v>12020</v>
      </c>
      <c r="AT810" t="s">
        <v>13267</v>
      </c>
      <c r="AU810">
        <v>2015</v>
      </c>
      <c r="AV810">
        <v>70</v>
      </c>
      <c r="AW810">
        <v>1</v>
      </c>
      <c r="AX810" t="s">
        <v>74</v>
      </c>
      <c r="AY810" t="s">
        <v>74</v>
      </c>
      <c r="AZ810" t="s">
        <v>74</v>
      </c>
      <c r="BA810" t="s">
        <v>74</v>
      </c>
      <c r="BB810">
        <v>21</v>
      </c>
      <c r="BC810">
        <v>29</v>
      </c>
      <c r="BD810" t="s">
        <v>74</v>
      </c>
      <c r="BE810" t="s">
        <v>15470</v>
      </c>
      <c r="BF810" t="str">
        <f>HYPERLINK("http://dx.doi.org/10.1007/s00248-014-0543-x","http://dx.doi.org/10.1007/s00248-014-0543-x")</f>
        <v>http://dx.doi.org/10.1007/s00248-014-0543-x</v>
      </c>
      <c r="BG810" t="s">
        <v>74</v>
      </c>
      <c r="BH810" t="s">
        <v>74</v>
      </c>
      <c r="BI810">
        <v>9</v>
      </c>
      <c r="BJ810" t="s">
        <v>12022</v>
      </c>
      <c r="BK810" t="s">
        <v>101</v>
      </c>
      <c r="BL810" t="s">
        <v>12023</v>
      </c>
      <c r="BM810" t="s">
        <v>15471</v>
      </c>
      <c r="BN810">
        <v>25482369</v>
      </c>
      <c r="BO810" t="s">
        <v>74</v>
      </c>
      <c r="BP810" t="s">
        <v>74</v>
      </c>
      <c r="BQ810" t="s">
        <v>74</v>
      </c>
      <c r="BR810" t="s">
        <v>103</v>
      </c>
      <c r="BS810" t="s">
        <v>15472</v>
      </c>
      <c r="BT810" t="str">
        <f>HYPERLINK("https%3A%2F%2Fwww.webofscience.com%2Fwos%2Fwoscc%2Ffull-record%2FWOS:000355694900003","View Full Record in Web of Science")</f>
        <v>View Full Record in Web of Science</v>
      </c>
    </row>
    <row r="811" spans="1:72" x14ac:dyDescent="0.15">
      <c r="A811" t="s">
        <v>72</v>
      </c>
      <c r="B811" t="s">
        <v>15473</v>
      </c>
      <c r="C811" t="s">
        <v>74</v>
      </c>
      <c r="D811" t="s">
        <v>74</v>
      </c>
      <c r="E811" t="s">
        <v>74</v>
      </c>
      <c r="F811" t="s">
        <v>15474</v>
      </c>
      <c r="G811" t="s">
        <v>74</v>
      </c>
      <c r="H811" t="s">
        <v>74</v>
      </c>
      <c r="I811" t="s">
        <v>15475</v>
      </c>
      <c r="J811" t="s">
        <v>511</v>
      </c>
      <c r="K811" t="s">
        <v>74</v>
      </c>
      <c r="L811" t="s">
        <v>74</v>
      </c>
      <c r="M811" t="s">
        <v>78</v>
      </c>
      <c r="N811" t="s">
        <v>79</v>
      </c>
      <c r="O811" t="s">
        <v>74</v>
      </c>
      <c r="P811" t="s">
        <v>74</v>
      </c>
      <c r="Q811" t="s">
        <v>74</v>
      </c>
      <c r="R811" t="s">
        <v>74</v>
      </c>
      <c r="S811" t="s">
        <v>74</v>
      </c>
      <c r="T811" t="s">
        <v>74</v>
      </c>
      <c r="U811" t="s">
        <v>15476</v>
      </c>
      <c r="V811" t="s">
        <v>15477</v>
      </c>
      <c r="W811" t="s">
        <v>15478</v>
      </c>
      <c r="X811" t="s">
        <v>15479</v>
      </c>
      <c r="Y811" t="s">
        <v>15480</v>
      </c>
      <c r="Z811" t="s">
        <v>15481</v>
      </c>
      <c r="AA811" t="s">
        <v>15482</v>
      </c>
      <c r="AB811" t="s">
        <v>15483</v>
      </c>
      <c r="AC811" t="s">
        <v>15484</v>
      </c>
      <c r="AD811" t="s">
        <v>15485</v>
      </c>
      <c r="AE811" t="s">
        <v>15486</v>
      </c>
      <c r="AF811" t="s">
        <v>74</v>
      </c>
      <c r="AG811">
        <v>70</v>
      </c>
      <c r="AH811">
        <v>37</v>
      </c>
      <c r="AI811">
        <v>40</v>
      </c>
      <c r="AJ811">
        <v>4</v>
      </c>
      <c r="AK811">
        <v>52</v>
      </c>
      <c r="AL811" t="s">
        <v>179</v>
      </c>
      <c r="AM811" t="s">
        <v>180</v>
      </c>
      <c r="AN811" t="s">
        <v>181</v>
      </c>
      <c r="AO811" t="s">
        <v>526</v>
      </c>
      <c r="AP811" t="s">
        <v>74</v>
      </c>
      <c r="AQ811" t="s">
        <v>74</v>
      </c>
      <c r="AR811" t="s">
        <v>527</v>
      </c>
      <c r="AS811" t="s">
        <v>528</v>
      </c>
      <c r="AT811" t="s">
        <v>13267</v>
      </c>
      <c r="AU811">
        <v>2015</v>
      </c>
      <c r="AV811">
        <v>6</v>
      </c>
      <c r="AW811" t="s">
        <v>74</v>
      </c>
      <c r="AX811" t="s">
        <v>74</v>
      </c>
      <c r="AY811" t="s">
        <v>74</v>
      </c>
      <c r="AZ811" t="s">
        <v>74</v>
      </c>
      <c r="BA811" t="s">
        <v>74</v>
      </c>
      <c r="BB811" t="s">
        <v>74</v>
      </c>
      <c r="BC811" t="s">
        <v>74</v>
      </c>
      <c r="BD811">
        <v>7850</v>
      </c>
      <c r="BE811" t="s">
        <v>15487</v>
      </c>
      <c r="BF811" t="str">
        <f>HYPERLINK("http://dx.doi.org/10.1038/ncomms8850","http://dx.doi.org/10.1038/ncomms8850")</f>
        <v>http://dx.doi.org/10.1038/ncomms8850</v>
      </c>
      <c r="BG811" t="s">
        <v>74</v>
      </c>
      <c r="BH811" t="s">
        <v>74</v>
      </c>
      <c r="BI811">
        <v>9</v>
      </c>
      <c r="BJ811" t="s">
        <v>530</v>
      </c>
      <c r="BK811" t="s">
        <v>101</v>
      </c>
      <c r="BL811" t="s">
        <v>531</v>
      </c>
      <c r="BM811" t="s">
        <v>15488</v>
      </c>
      <c r="BN811">
        <v>26204562</v>
      </c>
      <c r="BO811" t="s">
        <v>15489</v>
      </c>
      <c r="BP811" t="s">
        <v>74</v>
      </c>
      <c r="BQ811" t="s">
        <v>74</v>
      </c>
      <c r="BR811" t="s">
        <v>103</v>
      </c>
      <c r="BS811" t="s">
        <v>15490</v>
      </c>
      <c r="BT811" t="str">
        <f>HYPERLINK("https%3A%2F%2Fwww.webofscience.com%2Fwos%2Fwoscc%2Ffull-record%2FWOS:000358861500002","View Full Record in Web of Science")</f>
        <v>View Full Record in Web of Science</v>
      </c>
    </row>
    <row r="812" spans="1:72" x14ac:dyDescent="0.15">
      <c r="A812" t="s">
        <v>72</v>
      </c>
      <c r="B812" t="s">
        <v>15491</v>
      </c>
      <c r="C812" t="s">
        <v>74</v>
      </c>
      <c r="D812" t="s">
        <v>74</v>
      </c>
      <c r="E812" t="s">
        <v>74</v>
      </c>
      <c r="F812" t="s">
        <v>15492</v>
      </c>
      <c r="G812" t="s">
        <v>74</v>
      </c>
      <c r="H812" t="s">
        <v>74</v>
      </c>
      <c r="I812" t="s">
        <v>15493</v>
      </c>
      <c r="J812" t="s">
        <v>2667</v>
      </c>
      <c r="K812" t="s">
        <v>74</v>
      </c>
      <c r="L812" t="s">
        <v>74</v>
      </c>
      <c r="M812" t="s">
        <v>78</v>
      </c>
      <c r="N812" t="s">
        <v>79</v>
      </c>
      <c r="O812" t="s">
        <v>74</v>
      </c>
      <c r="P812" t="s">
        <v>74</v>
      </c>
      <c r="Q812" t="s">
        <v>74</v>
      </c>
      <c r="R812" t="s">
        <v>74</v>
      </c>
      <c r="S812" t="s">
        <v>74</v>
      </c>
      <c r="T812" t="s">
        <v>15494</v>
      </c>
      <c r="U812" t="s">
        <v>15495</v>
      </c>
      <c r="V812" t="s">
        <v>15496</v>
      </c>
      <c r="W812" t="s">
        <v>15497</v>
      </c>
      <c r="X812" t="s">
        <v>8775</v>
      </c>
      <c r="Y812" t="s">
        <v>15498</v>
      </c>
      <c r="Z812" t="s">
        <v>15499</v>
      </c>
      <c r="AA812" t="s">
        <v>15500</v>
      </c>
      <c r="AB812" t="s">
        <v>15501</v>
      </c>
      <c r="AC812" t="s">
        <v>15502</v>
      </c>
      <c r="AD812" t="s">
        <v>15503</v>
      </c>
      <c r="AE812" t="s">
        <v>15504</v>
      </c>
      <c r="AF812" t="s">
        <v>74</v>
      </c>
      <c r="AG812">
        <v>97</v>
      </c>
      <c r="AH812">
        <v>81</v>
      </c>
      <c r="AI812">
        <v>84</v>
      </c>
      <c r="AJ812">
        <v>3</v>
      </c>
      <c r="AK812">
        <v>70</v>
      </c>
      <c r="AL812" t="s">
        <v>208</v>
      </c>
      <c r="AM812" t="s">
        <v>209</v>
      </c>
      <c r="AN812" t="s">
        <v>210</v>
      </c>
      <c r="AO812" t="s">
        <v>2680</v>
      </c>
      <c r="AP812" t="s">
        <v>2681</v>
      </c>
      <c r="AQ812" t="s">
        <v>74</v>
      </c>
      <c r="AR812" t="s">
        <v>2682</v>
      </c>
      <c r="AS812" t="s">
        <v>2683</v>
      </c>
      <c r="AT812" t="s">
        <v>13267</v>
      </c>
      <c r="AU812">
        <v>2015</v>
      </c>
      <c r="AV812">
        <v>207</v>
      </c>
      <c r="AW812">
        <v>1</v>
      </c>
      <c r="AX812" t="s">
        <v>74</v>
      </c>
      <c r="AY812" t="s">
        <v>74</v>
      </c>
      <c r="AZ812" t="s">
        <v>74</v>
      </c>
      <c r="BA812" t="s">
        <v>74</v>
      </c>
      <c r="BB812">
        <v>159</v>
      </c>
      <c r="BC812">
        <v>171</v>
      </c>
      <c r="BD812" t="s">
        <v>74</v>
      </c>
      <c r="BE812" t="s">
        <v>15505</v>
      </c>
      <c r="BF812" t="str">
        <f>HYPERLINK("http://dx.doi.org/10.1111/nph.13334","http://dx.doi.org/10.1111/nph.13334")</f>
        <v>http://dx.doi.org/10.1111/nph.13334</v>
      </c>
      <c r="BG812" t="s">
        <v>74</v>
      </c>
      <c r="BH812" t="s">
        <v>74</v>
      </c>
      <c r="BI812">
        <v>13</v>
      </c>
      <c r="BJ812" t="s">
        <v>429</v>
      </c>
      <c r="BK812" t="s">
        <v>101</v>
      </c>
      <c r="BL812" t="s">
        <v>429</v>
      </c>
      <c r="BM812" t="s">
        <v>15506</v>
      </c>
      <c r="BN812">
        <v>25708812</v>
      </c>
      <c r="BO812" t="s">
        <v>4252</v>
      </c>
      <c r="BP812" t="s">
        <v>74</v>
      </c>
      <c r="BQ812" t="s">
        <v>74</v>
      </c>
      <c r="BR812" t="s">
        <v>103</v>
      </c>
      <c r="BS812" t="s">
        <v>15507</v>
      </c>
      <c r="BT812" t="str">
        <f>HYPERLINK("https%3A%2F%2Fwww.webofscience.com%2Fwos%2Fwoscc%2Ffull-record%2FWOS:000355284900016","View Full Record in Web of Science")</f>
        <v>View Full Record in Web of Science</v>
      </c>
    </row>
    <row r="813" spans="1:72" x14ac:dyDescent="0.15">
      <c r="A813" t="s">
        <v>72</v>
      </c>
      <c r="B813" t="s">
        <v>15508</v>
      </c>
      <c r="C813" t="s">
        <v>74</v>
      </c>
      <c r="D813" t="s">
        <v>74</v>
      </c>
      <c r="E813" t="s">
        <v>74</v>
      </c>
      <c r="F813" t="s">
        <v>15509</v>
      </c>
      <c r="G813" t="s">
        <v>74</v>
      </c>
      <c r="H813" t="s">
        <v>74</v>
      </c>
      <c r="I813" t="s">
        <v>15510</v>
      </c>
      <c r="J813" t="s">
        <v>15511</v>
      </c>
      <c r="K813" t="s">
        <v>74</v>
      </c>
      <c r="L813" t="s">
        <v>74</v>
      </c>
      <c r="M813" t="s">
        <v>78</v>
      </c>
      <c r="N813" t="s">
        <v>79</v>
      </c>
      <c r="O813" t="s">
        <v>74</v>
      </c>
      <c r="P813" t="s">
        <v>74</v>
      </c>
      <c r="Q813" t="s">
        <v>74</v>
      </c>
      <c r="R813" t="s">
        <v>74</v>
      </c>
      <c r="S813" t="s">
        <v>74</v>
      </c>
      <c r="T813" t="s">
        <v>15512</v>
      </c>
      <c r="U813" t="s">
        <v>15513</v>
      </c>
      <c r="V813" t="s">
        <v>15514</v>
      </c>
      <c r="W813" t="s">
        <v>15515</v>
      </c>
      <c r="X813" t="s">
        <v>15516</v>
      </c>
      <c r="Y813" t="s">
        <v>15517</v>
      </c>
      <c r="Z813" t="s">
        <v>15518</v>
      </c>
      <c r="AA813" t="s">
        <v>15519</v>
      </c>
      <c r="AB813" t="s">
        <v>15520</v>
      </c>
      <c r="AC813" t="s">
        <v>15521</v>
      </c>
      <c r="AD813" t="s">
        <v>15521</v>
      </c>
      <c r="AE813" t="s">
        <v>15522</v>
      </c>
      <c r="AF813" t="s">
        <v>74</v>
      </c>
      <c r="AG813">
        <v>84</v>
      </c>
      <c r="AH813">
        <v>21</v>
      </c>
      <c r="AI813">
        <v>22</v>
      </c>
      <c r="AJ813">
        <v>0</v>
      </c>
      <c r="AK813">
        <v>48</v>
      </c>
      <c r="AL813" t="s">
        <v>92</v>
      </c>
      <c r="AM813" t="s">
        <v>550</v>
      </c>
      <c r="AN813" t="s">
        <v>4772</v>
      </c>
      <c r="AO813" t="s">
        <v>15523</v>
      </c>
      <c r="AP813" t="s">
        <v>15524</v>
      </c>
      <c r="AQ813" t="s">
        <v>74</v>
      </c>
      <c r="AR813" t="s">
        <v>15511</v>
      </c>
      <c r="AS813" t="s">
        <v>15525</v>
      </c>
      <c r="AT813" t="s">
        <v>13267</v>
      </c>
      <c r="AU813">
        <v>2015</v>
      </c>
      <c r="AV813">
        <v>178</v>
      </c>
      <c r="AW813">
        <v>3</v>
      </c>
      <c r="AX813" t="s">
        <v>74</v>
      </c>
      <c r="AY813" t="s">
        <v>74</v>
      </c>
      <c r="AZ813" t="s">
        <v>74</v>
      </c>
      <c r="BA813" t="s">
        <v>74</v>
      </c>
      <c r="BB813">
        <v>685</v>
      </c>
      <c r="BC813">
        <v>697</v>
      </c>
      <c r="BD813" t="s">
        <v>74</v>
      </c>
      <c r="BE813" t="s">
        <v>15526</v>
      </c>
      <c r="BF813" t="str">
        <f>HYPERLINK("http://dx.doi.org/10.1007/s00442-015-3251-4","http://dx.doi.org/10.1007/s00442-015-3251-4")</f>
        <v>http://dx.doi.org/10.1007/s00442-015-3251-4</v>
      </c>
      <c r="BG813" t="s">
        <v>74</v>
      </c>
      <c r="BH813" t="s">
        <v>74</v>
      </c>
      <c r="BI813">
        <v>13</v>
      </c>
      <c r="BJ813" t="s">
        <v>643</v>
      </c>
      <c r="BK813" t="s">
        <v>101</v>
      </c>
      <c r="BL813" t="s">
        <v>644</v>
      </c>
      <c r="BM813" t="s">
        <v>15527</v>
      </c>
      <c r="BN813">
        <v>25682060</v>
      </c>
      <c r="BO813" t="s">
        <v>74</v>
      </c>
      <c r="BP813" t="s">
        <v>74</v>
      </c>
      <c r="BQ813" t="s">
        <v>74</v>
      </c>
      <c r="BR813" t="s">
        <v>103</v>
      </c>
      <c r="BS813" t="s">
        <v>15528</v>
      </c>
      <c r="BT813" t="str">
        <f>HYPERLINK("https%3A%2F%2Fwww.webofscience.com%2Fwos%2Fwoscc%2Ffull-record%2FWOS:000356534400005","View Full Record in Web of Science")</f>
        <v>View Full Record in Web of Science</v>
      </c>
    </row>
    <row r="814" spans="1:72" x14ac:dyDescent="0.15">
      <c r="A814" t="s">
        <v>72</v>
      </c>
      <c r="B814" t="s">
        <v>15529</v>
      </c>
      <c r="C814" t="s">
        <v>74</v>
      </c>
      <c r="D814" t="s">
        <v>74</v>
      </c>
      <c r="E814" t="s">
        <v>74</v>
      </c>
      <c r="F814" t="s">
        <v>15530</v>
      </c>
      <c r="G814" t="s">
        <v>74</v>
      </c>
      <c r="H814" t="s">
        <v>74</v>
      </c>
      <c r="I814" t="s">
        <v>15531</v>
      </c>
      <c r="J814" t="s">
        <v>15511</v>
      </c>
      <c r="K814" t="s">
        <v>74</v>
      </c>
      <c r="L814" t="s">
        <v>74</v>
      </c>
      <c r="M814" t="s">
        <v>78</v>
      </c>
      <c r="N814" t="s">
        <v>79</v>
      </c>
      <c r="O814" t="s">
        <v>74</v>
      </c>
      <c r="P814" t="s">
        <v>74</v>
      </c>
      <c r="Q814" t="s">
        <v>74</v>
      </c>
      <c r="R814" t="s">
        <v>74</v>
      </c>
      <c r="S814" t="s">
        <v>74</v>
      </c>
      <c r="T814" t="s">
        <v>15532</v>
      </c>
      <c r="U814" t="s">
        <v>15533</v>
      </c>
      <c r="V814" t="s">
        <v>15534</v>
      </c>
      <c r="W814" t="s">
        <v>15535</v>
      </c>
      <c r="X814" t="s">
        <v>15536</v>
      </c>
      <c r="Y814" t="s">
        <v>15537</v>
      </c>
      <c r="Z814" t="s">
        <v>15538</v>
      </c>
      <c r="AA814" t="s">
        <v>15539</v>
      </c>
      <c r="AB814" t="s">
        <v>15540</v>
      </c>
      <c r="AC814" t="s">
        <v>15541</v>
      </c>
      <c r="AD814" t="s">
        <v>15541</v>
      </c>
      <c r="AE814" t="s">
        <v>15542</v>
      </c>
      <c r="AF814" t="s">
        <v>74</v>
      </c>
      <c r="AG814">
        <v>59</v>
      </c>
      <c r="AH814">
        <v>56</v>
      </c>
      <c r="AI814">
        <v>65</v>
      </c>
      <c r="AJ814">
        <v>2</v>
      </c>
      <c r="AK814">
        <v>76</v>
      </c>
      <c r="AL814" t="s">
        <v>92</v>
      </c>
      <c r="AM814" t="s">
        <v>550</v>
      </c>
      <c r="AN814" t="s">
        <v>1398</v>
      </c>
      <c r="AO814" t="s">
        <v>15523</v>
      </c>
      <c r="AP814" t="s">
        <v>15524</v>
      </c>
      <c r="AQ814" t="s">
        <v>74</v>
      </c>
      <c r="AR814" t="s">
        <v>15511</v>
      </c>
      <c r="AS814" t="s">
        <v>15525</v>
      </c>
      <c r="AT814" t="s">
        <v>13267</v>
      </c>
      <c r="AU814">
        <v>2015</v>
      </c>
      <c r="AV814">
        <v>178</v>
      </c>
      <c r="AW814">
        <v>3</v>
      </c>
      <c r="AX814" t="s">
        <v>74</v>
      </c>
      <c r="AY814" t="s">
        <v>74</v>
      </c>
      <c r="AZ814" t="s">
        <v>74</v>
      </c>
      <c r="BA814" t="s">
        <v>74</v>
      </c>
      <c r="BB814">
        <v>761</v>
      </c>
      <c r="BC814">
        <v>772</v>
      </c>
      <c r="BD814" t="s">
        <v>74</v>
      </c>
      <c r="BE814" t="s">
        <v>15543</v>
      </c>
      <c r="BF814" t="str">
        <f>HYPERLINK("http://dx.doi.org/10.1007/s00442-015-3280-z","http://dx.doi.org/10.1007/s00442-015-3280-z")</f>
        <v>http://dx.doi.org/10.1007/s00442-015-3280-z</v>
      </c>
      <c r="BG814" t="s">
        <v>74</v>
      </c>
      <c r="BH814" t="s">
        <v>74</v>
      </c>
      <c r="BI814">
        <v>12</v>
      </c>
      <c r="BJ814" t="s">
        <v>643</v>
      </c>
      <c r="BK814" t="s">
        <v>101</v>
      </c>
      <c r="BL814" t="s">
        <v>644</v>
      </c>
      <c r="BM814" t="s">
        <v>15527</v>
      </c>
      <c r="BN814">
        <v>25740335</v>
      </c>
      <c r="BO814" t="s">
        <v>74</v>
      </c>
      <c r="BP814" t="s">
        <v>74</v>
      </c>
      <c r="BQ814" t="s">
        <v>74</v>
      </c>
      <c r="BR814" t="s">
        <v>103</v>
      </c>
      <c r="BS814" t="s">
        <v>15544</v>
      </c>
      <c r="BT814" t="str">
        <f>HYPERLINK("https%3A%2F%2Fwww.webofscience.com%2Fwos%2Fwoscc%2Ffull-record%2FWOS:000356534400012","View Full Record in Web of Science")</f>
        <v>View Full Record in Web of Science</v>
      </c>
    </row>
    <row r="815" spans="1:72" x14ac:dyDescent="0.15">
      <c r="A815" t="s">
        <v>72</v>
      </c>
      <c r="B815" t="s">
        <v>15545</v>
      </c>
      <c r="C815" t="s">
        <v>74</v>
      </c>
      <c r="D815" t="s">
        <v>74</v>
      </c>
      <c r="E815" t="s">
        <v>74</v>
      </c>
      <c r="F815" t="s">
        <v>15546</v>
      </c>
      <c r="G815" t="s">
        <v>74</v>
      </c>
      <c r="H815" t="s">
        <v>74</v>
      </c>
      <c r="I815" t="s">
        <v>15547</v>
      </c>
      <c r="J815" t="s">
        <v>650</v>
      </c>
      <c r="K815" t="s">
        <v>74</v>
      </c>
      <c r="L815" t="s">
        <v>74</v>
      </c>
      <c r="M815" t="s">
        <v>78</v>
      </c>
      <c r="N815" t="s">
        <v>79</v>
      </c>
      <c r="O815" t="s">
        <v>74</v>
      </c>
      <c r="P815" t="s">
        <v>74</v>
      </c>
      <c r="Q815" t="s">
        <v>74</v>
      </c>
      <c r="R815" t="s">
        <v>74</v>
      </c>
      <c r="S815" t="s">
        <v>74</v>
      </c>
      <c r="T815" t="s">
        <v>74</v>
      </c>
      <c r="U815" t="s">
        <v>15548</v>
      </c>
      <c r="V815" t="s">
        <v>15549</v>
      </c>
      <c r="W815" t="s">
        <v>15550</v>
      </c>
      <c r="X815" t="s">
        <v>15551</v>
      </c>
      <c r="Y815" t="s">
        <v>15552</v>
      </c>
      <c r="Z815" t="s">
        <v>15553</v>
      </c>
      <c r="AA815" t="s">
        <v>15554</v>
      </c>
      <c r="AB815" t="s">
        <v>15555</v>
      </c>
      <c r="AC815" t="s">
        <v>15556</v>
      </c>
      <c r="AD815" t="s">
        <v>15557</v>
      </c>
      <c r="AE815" t="s">
        <v>15558</v>
      </c>
      <c r="AF815" t="s">
        <v>74</v>
      </c>
      <c r="AG815">
        <v>155</v>
      </c>
      <c r="AH815">
        <v>23</v>
      </c>
      <c r="AI815">
        <v>31</v>
      </c>
      <c r="AJ815">
        <v>2</v>
      </c>
      <c r="AK815">
        <v>47</v>
      </c>
      <c r="AL815" t="s">
        <v>306</v>
      </c>
      <c r="AM815" t="s">
        <v>307</v>
      </c>
      <c r="AN815" t="s">
        <v>308</v>
      </c>
      <c r="AO815" t="s">
        <v>661</v>
      </c>
      <c r="AP815" t="s">
        <v>662</v>
      </c>
      <c r="AQ815" t="s">
        <v>74</v>
      </c>
      <c r="AR815" t="s">
        <v>650</v>
      </c>
      <c r="AS815" t="s">
        <v>663</v>
      </c>
      <c r="AT815" t="s">
        <v>13267</v>
      </c>
      <c r="AU815">
        <v>2015</v>
      </c>
      <c r="AV815">
        <v>30</v>
      </c>
      <c r="AW815">
        <v>7</v>
      </c>
      <c r="AX815" t="s">
        <v>74</v>
      </c>
      <c r="AY815" t="s">
        <v>74</v>
      </c>
      <c r="AZ815" t="s">
        <v>74</v>
      </c>
      <c r="BA815" t="s">
        <v>74</v>
      </c>
      <c r="BB815">
        <v>803</v>
      </c>
      <c r="BC815">
        <v>823</v>
      </c>
      <c r="BD815" t="s">
        <v>74</v>
      </c>
      <c r="BE815" t="s">
        <v>15559</v>
      </c>
      <c r="BF815" t="str">
        <f>HYPERLINK("http://dx.doi.org/10.1002/2015PA002793","http://dx.doi.org/10.1002/2015PA002793")</f>
        <v>http://dx.doi.org/10.1002/2015PA002793</v>
      </c>
      <c r="BG815" t="s">
        <v>74</v>
      </c>
      <c r="BH815" t="s">
        <v>74</v>
      </c>
      <c r="BI815">
        <v>21</v>
      </c>
      <c r="BJ815" t="s">
        <v>665</v>
      </c>
      <c r="BK815" t="s">
        <v>101</v>
      </c>
      <c r="BL815" t="s">
        <v>666</v>
      </c>
      <c r="BM815" t="s">
        <v>13689</v>
      </c>
      <c r="BN815" t="s">
        <v>74</v>
      </c>
      <c r="BO815" t="s">
        <v>245</v>
      </c>
      <c r="BP815" t="s">
        <v>74</v>
      </c>
      <c r="BQ815" t="s">
        <v>74</v>
      </c>
      <c r="BR815" t="s">
        <v>103</v>
      </c>
      <c r="BS815" t="s">
        <v>15560</v>
      </c>
      <c r="BT815" t="str">
        <f>HYPERLINK("https%3A%2F%2Fwww.webofscience.com%2Fwos%2Fwoscc%2Ffull-record%2FWOS:000360058100001","View Full Record in Web of Science")</f>
        <v>View Full Record in Web of Science</v>
      </c>
    </row>
    <row r="816" spans="1:72" x14ac:dyDescent="0.15">
      <c r="A816" t="s">
        <v>72</v>
      </c>
      <c r="B816" t="s">
        <v>15561</v>
      </c>
      <c r="C816" t="s">
        <v>74</v>
      </c>
      <c r="D816" t="s">
        <v>74</v>
      </c>
      <c r="E816" t="s">
        <v>74</v>
      </c>
      <c r="F816" t="s">
        <v>15562</v>
      </c>
      <c r="G816" t="s">
        <v>74</v>
      </c>
      <c r="H816" t="s">
        <v>74</v>
      </c>
      <c r="I816" t="s">
        <v>15563</v>
      </c>
      <c r="J816" t="s">
        <v>650</v>
      </c>
      <c r="K816" t="s">
        <v>74</v>
      </c>
      <c r="L816" t="s">
        <v>74</v>
      </c>
      <c r="M816" t="s">
        <v>78</v>
      </c>
      <c r="N816" t="s">
        <v>79</v>
      </c>
      <c r="O816" t="s">
        <v>74</v>
      </c>
      <c r="P816" t="s">
        <v>74</v>
      </c>
      <c r="Q816" t="s">
        <v>74</v>
      </c>
      <c r="R816" t="s">
        <v>74</v>
      </c>
      <c r="S816" t="s">
        <v>74</v>
      </c>
      <c r="T816" t="s">
        <v>74</v>
      </c>
      <c r="U816" t="s">
        <v>15564</v>
      </c>
      <c r="V816" t="s">
        <v>15565</v>
      </c>
      <c r="W816" t="s">
        <v>15566</v>
      </c>
      <c r="X816" t="s">
        <v>15567</v>
      </c>
      <c r="Y816" t="s">
        <v>15568</v>
      </c>
      <c r="Z816" t="s">
        <v>15569</v>
      </c>
      <c r="AA816" t="s">
        <v>15570</v>
      </c>
      <c r="AB816" t="s">
        <v>15571</v>
      </c>
      <c r="AC816" t="s">
        <v>15572</v>
      </c>
      <c r="AD816" t="s">
        <v>15573</v>
      </c>
      <c r="AE816" t="s">
        <v>15574</v>
      </c>
      <c r="AF816" t="s">
        <v>74</v>
      </c>
      <c r="AG816">
        <v>66</v>
      </c>
      <c r="AH816">
        <v>58</v>
      </c>
      <c r="AI816">
        <v>66</v>
      </c>
      <c r="AJ816">
        <v>1</v>
      </c>
      <c r="AK816">
        <v>30</v>
      </c>
      <c r="AL816" t="s">
        <v>306</v>
      </c>
      <c r="AM816" t="s">
        <v>307</v>
      </c>
      <c r="AN816" t="s">
        <v>308</v>
      </c>
      <c r="AO816" t="s">
        <v>661</v>
      </c>
      <c r="AP816" t="s">
        <v>662</v>
      </c>
      <c r="AQ816" t="s">
        <v>74</v>
      </c>
      <c r="AR816" t="s">
        <v>650</v>
      </c>
      <c r="AS816" t="s">
        <v>663</v>
      </c>
      <c r="AT816" t="s">
        <v>13267</v>
      </c>
      <c r="AU816">
        <v>2015</v>
      </c>
      <c r="AV816">
        <v>30</v>
      </c>
      <c r="AW816">
        <v>7</v>
      </c>
      <c r="AX816" t="s">
        <v>74</v>
      </c>
      <c r="AY816" t="s">
        <v>74</v>
      </c>
      <c r="AZ816" t="s">
        <v>74</v>
      </c>
      <c r="BA816" t="s">
        <v>74</v>
      </c>
      <c r="BB816">
        <v>1021</v>
      </c>
      <c r="BC816">
        <v>1039</v>
      </c>
      <c r="BD816" t="s">
        <v>74</v>
      </c>
      <c r="BE816" t="s">
        <v>15575</v>
      </c>
      <c r="BF816" t="str">
        <f>HYPERLINK("http://dx.doi.org/10.1002/2015PA002778","http://dx.doi.org/10.1002/2015PA002778")</f>
        <v>http://dx.doi.org/10.1002/2015PA002778</v>
      </c>
      <c r="BG816" t="s">
        <v>74</v>
      </c>
      <c r="BH816" t="s">
        <v>74</v>
      </c>
      <c r="BI816">
        <v>19</v>
      </c>
      <c r="BJ816" t="s">
        <v>665</v>
      </c>
      <c r="BK816" t="s">
        <v>101</v>
      </c>
      <c r="BL816" t="s">
        <v>666</v>
      </c>
      <c r="BM816" t="s">
        <v>13689</v>
      </c>
      <c r="BN816" t="s">
        <v>74</v>
      </c>
      <c r="BO816" t="s">
        <v>5942</v>
      </c>
      <c r="BP816" t="s">
        <v>74</v>
      </c>
      <c r="BQ816" t="s">
        <v>74</v>
      </c>
      <c r="BR816" t="s">
        <v>103</v>
      </c>
      <c r="BS816" t="s">
        <v>15576</v>
      </c>
      <c r="BT816" t="str">
        <f>HYPERLINK("https%3A%2F%2Fwww.webofscience.com%2Fwos%2Fwoscc%2Ffull-record%2FWOS:000360058100015","View Full Record in Web of Science")</f>
        <v>View Full Record in Web of Science</v>
      </c>
    </row>
    <row r="817" spans="1:72" x14ac:dyDescent="0.15">
      <c r="A817" t="s">
        <v>72</v>
      </c>
      <c r="B817" t="s">
        <v>15577</v>
      </c>
      <c r="C817" t="s">
        <v>74</v>
      </c>
      <c r="D817" t="s">
        <v>74</v>
      </c>
      <c r="E817" t="s">
        <v>74</v>
      </c>
      <c r="F817" t="s">
        <v>15578</v>
      </c>
      <c r="G817" t="s">
        <v>74</v>
      </c>
      <c r="H817" t="s">
        <v>74</v>
      </c>
      <c r="I817" t="s">
        <v>15579</v>
      </c>
      <c r="J817" t="s">
        <v>15580</v>
      </c>
      <c r="K817" t="s">
        <v>74</v>
      </c>
      <c r="L817" t="s">
        <v>74</v>
      </c>
      <c r="M817" t="s">
        <v>78</v>
      </c>
      <c r="N817" t="s">
        <v>79</v>
      </c>
      <c r="O817" t="s">
        <v>74</v>
      </c>
      <c r="P817" t="s">
        <v>74</v>
      </c>
      <c r="Q817" t="s">
        <v>74</v>
      </c>
      <c r="R817" t="s">
        <v>74</v>
      </c>
      <c r="S817" t="s">
        <v>74</v>
      </c>
      <c r="T817" t="s">
        <v>15581</v>
      </c>
      <c r="U817" t="s">
        <v>15582</v>
      </c>
      <c r="V817" t="s">
        <v>15583</v>
      </c>
      <c r="W817" t="s">
        <v>15584</v>
      </c>
      <c r="X817" t="s">
        <v>15585</v>
      </c>
      <c r="Y817" t="s">
        <v>15586</v>
      </c>
      <c r="Z817" t="s">
        <v>15587</v>
      </c>
      <c r="AA817" t="s">
        <v>15588</v>
      </c>
      <c r="AB817" t="s">
        <v>15589</v>
      </c>
      <c r="AC817" t="s">
        <v>15590</v>
      </c>
      <c r="AD817" t="s">
        <v>15591</v>
      </c>
      <c r="AE817" t="s">
        <v>15592</v>
      </c>
      <c r="AF817" t="s">
        <v>74</v>
      </c>
      <c r="AG817">
        <v>39</v>
      </c>
      <c r="AH817">
        <v>13</v>
      </c>
      <c r="AI817">
        <v>13</v>
      </c>
      <c r="AJ817">
        <v>0</v>
      </c>
      <c r="AK817">
        <v>17</v>
      </c>
      <c r="AL817" t="s">
        <v>208</v>
      </c>
      <c r="AM817" t="s">
        <v>209</v>
      </c>
      <c r="AN817" t="s">
        <v>210</v>
      </c>
      <c r="AO817" t="s">
        <v>15593</v>
      </c>
      <c r="AP817" t="s">
        <v>15594</v>
      </c>
      <c r="AQ817" t="s">
        <v>74</v>
      </c>
      <c r="AR817" t="s">
        <v>15595</v>
      </c>
      <c r="AS817" t="s">
        <v>15596</v>
      </c>
      <c r="AT817" t="s">
        <v>13267</v>
      </c>
      <c r="AU817">
        <v>2015</v>
      </c>
      <c r="AV817">
        <v>63</v>
      </c>
      <c r="AW817">
        <v>3</v>
      </c>
      <c r="AX817" t="s">
        <v>74</v>
      </c>
      <c r="AY817" t="s">
        <v>74</v>
      </c>
      <c r="AZ817" t="s">
        <v>74</v>
      </c>
      <c r="BA817" t="s">
        <v>74</v>
      </c>
      <c r="BB817">
        <v>212</v>
      </c>
      <c r="BC817">
        <v>218</v>
      </c>
      <c r="BD817" t="s">
        <v>74</v>
      </c>
      <c r="BE817" t="s">
        <v>15597</v>
      </c>
      <c r="BF817" t="str">
        <f>HYPERLINK("http://dx.doi.org/10.1111/pre.12097","http://dx.doi.org/10.1111/pre.12097")</f>
        <v>http://dx.doi.org/10.1111/pre.12097</v>
      </c>
      <c r="BG817" t="s">
        <v>74</v>
      </c>
      <c r="BH817" t="s">
        <v>74</v>
      </c>
      <c r="BI817">
        <v>7</v>
      </c>
      <c r="BJ817" t="s">
        <v>100</v>
      </c>
      <c r="BK817" t="s">
        <v>101</v>
      </c>
      <c r="BL817" t="s">
        <v>100</v>
      </c>
      <c r="BM817" t="s">
        <v>15598</v>
      </c>
      <c r="BN817" t="s">
        <v>74</v>
      </c>
      <c r="BO817" t="s">
        <v>162</v>
      </c>
      <c r="BP817" t="s">
        <v>74</v>
      </c>
      <c r="BQ817" t="s">
        <v>74</v>
      </c>
      <c r="BR817" t="s">
        <v>103</v>
      </c>
      <c r="BS817" t="s">
        <v>15599</v>
      </c>
      <c r="BT817" t="str">
        <f>HYPERLINK("https%3A%2F%2Fwww.webofscience.com%2Fwos%2Fwoscc%2Ffull-record%2FWOS:000357326500007","View Full Record in Web of Science")</f>
        <v>View Full Record in Web of Science</v>
      </c>
    </row>
    <row r="818" spans="1:72" x14ac:dyDescent="0.15">
      <c r="A818" t="s">
        <v>72</v>
      </c>
      <c r="B818" t="s">
        <v>15600</v>
      </c>
      <c r="C818" t="s">
        <v>74</v>
      </c>
      <c r="D818" t="s">
        <v>74</v>
      </c>
      <c r="E818" t="s">
        <v>74</v>
      </c>
      <c r="F818" t="s">
        <v>15601</v>
      </c>
      <c r="G818" t="s">
        <v>74</v>
      </c>
      <c r="H818" t="s">
        <v>74</v>
      </c>
      <c r="I818" t="s">
        <v>15602</v>
      </c>
      <c r="J818" t="s">
        <v>4759</v>
      </c>
      <c r="K818" t="s">
        <v>74</v>
      </c>
      <c r="L818" t="s">
        <v>74</v>
      </c>
      <c r="M818" t="s">
        <v>78</v>
      </c>
      <c r="N818" t="s">
        <v>79</v>
      </c>
      <c r="O818" t="s">
        <v>74</v>
      </c>
      <c r="P818" t="s">
        <v>74</v>
      </c>
      <c r="Q818" t="s">
        <v>74</v>
      </c>
      <c r="R818" t="s">
        <v>74</v>
      </c>
      <c r="S818" t="s">
        <v>74</v>
      </c>
      <c r="T818" t="s">
        <v>15603</v>
      </c>
      <c r="U818" t="s">
        <v>15604</v>
      </c>
      <c r="V818" t="s">
        <v>15605</v>
      </c>
      <c r="W818" t="s">
        <v>15606</v>
      </c>
      <c r="X818" t="s">
        <v>15607</v>
      </c>
      <c r="Y818" t="s">
        <v>15608</v>
      </c>
      <c r="Z818" t="s">
        <v>15609</v>
      </c>
      <c r="AA818" t="s">
        <v>15610</v>
      </c>
      <c r="AB818" t="s">
        <v>15611</v>
      </c>
      <c r="AC818" t="s">
        <v>15612</v>
      </c>
      <c r="AD818" t="s">
        <v>15613</v>
      </c>
      <c r="AE818" t="s">
        <v>15614</v>
      </c>
      <c r="AF818" t="s">
        <v>74</v>
      </c>
      <c r="AG818">
        <v>57</v>
      </c>
      <c r="AH818">
        <v>16</v>
      </c>
      <c r="AI818">
        <v>16</v>
      </c>
      <c r="AJ818">
        <v>1</v>
      </c>
      <c r="AK818">
        <v>29</v>
      </c>
      <c r="AL818" t="s">
        <v>92</v>
      </c>
      <c r="AM818" t="s">
        <v>550</v>
      </c>
      <c r="AN818" t="s">
        <v>4772</v>
      </c>
      <c r="AO818" t="s">
        <v>4773</v>
      </c>
      <c r="AP818" t="s">
        <v>4774</v>
      </c>
      <c r="AQ818" t="s">
        <v>74</v>
      </c>
      <c r="AR818" t="s">
        <v>4775</v>
      </c>
      <c r="AS818" t="s">
        <v>4776</v>
      </c>
      <c r="AT818" t="s">
        <v>13267</v>
      </c>
      <c r="AU818">
        <v>2015</v>
      </c>
      <c r="AV818">
        <v>38</v>
      </c>
      <c r="AW818">
        <v>7</v>
      </c>
      <c r="AX818" t="s">
        <v>74</v>
      </c>
      <c r="AY818" t="s">
        <v>74</v>
      </c>
      <c r="AZ818" t="s">
        <v>74</v>
      </c>
      <c r="BA818" t="s">
        <v>74</v>
      </c>
      <c r="BB818">
        <v>941</v>
      </c>
      <c r="BC818">
        <v>949</v>
      </c>
      <c r="BD818" t="s">
        <v>74</v>
      </c>
      <c r="BE818" t="s">
        <v>15615</v>
      </c>
      <c r="BF818" t="str">
        <f>HYPERLINK("http://dx.doi.org/10.1007/s00300-015-1652-9","http://dx.doi.org/10.1007/s00300-015-1652-9")</f>
        <v>http://dx.doi.org/10.1007/s00300-015-1652-9</v>
      </c>
      <c r="BG818" t="s">
        <v>74</v>
      </c>
      <c r="BH818" t="s">
        <v>74</v>
      </c>
      <c r="BI818">
        <v>9</v>
      </c>
      <c r="BJ818" t="s">
        <v>4778</v>
      </c>
      <c r="BK818" t="s">
        <v>101</v>
      </c>
      <c r="BL818" t="s">
        <v>3806</v>
      </c>
      <c r="BM818" t="s">
        <v>14459</v>
      </c>
      <c r="BN818" t="s">
        <v>74</v>
      </c>
      <c r="BO818" t="s">
        <v>74</v>
      </c>
      <c r="BP818" t="s">
        <v>74</v>
      </c>
      <c r="BQ818" t="s">
        <v>74</v>
      </c>
      <c r="BR818" t="s">
        <v>103</v>
      </c>
      <c r="BS818" t="s">
        <v>15616</v>
      </c>
      <c r="BT818" t="str">
        <f>HYPERLINK("https%3A%2F%2Fwww.webofscience.com%2Fwos%2Fwoscc%2Ffull-record%2FWOS:000356535300002","View Full Record in Web of Science")</f>
        <v>View Full Record in Web of Science</v>
      </c>
    </row>
    <row r="819" spans="1:72" x14ac:dyDescent="0.15">
      <c r="A819" t="s">
        <v>72</v>
      </c>
      <c r="B819" t="s">
        <v>15617</v>
      </c>
      <c r="C819" t="s">
        <v>74</v>
      </c>
      <c r="D819" t="s">
        <v>74</v>
      </c>
      <c r="E819" t="s">
        <v>74</v>
      </c>
      <c r="F819" t="s">
        <v>15618</v>
      </c>
      <c r="G819" t="s">
        <v>74</v>
      </c>
      <c r="H819" t="s">
        <v>74</v>
      </c>
      <c r="I819" t="s">
        <v>15619</v>
      </c>
      <c r="J819" t="s">
        <v>732</v>
      </c>
      <c r="K819" t="s">
        <v>74</v>
      </c>
      <c r="L819" t="s">
        <v>74</v>
      </c>
      <c r="M819" t="s">
        <v>78</v>
      </c>
      <c r="N819" t="s">
        <v>79</v>
      </c>
      <c r="O819" t="s">
        <v>74</v>
      </c>
      <c r="P819" t="s">
        <v>74</v>
      </c>
      <c r="Q819" t="s">
        <v>74</v>
      </c>
      <c r="R819" t="s">
        <v>74</v>
      </c>
      <c r="S819" t="s">
        <v>74</v>
      </c>
      <c r="T819" t="s">
        <v>74</v>
      </c>
      <c r="U819" t="s">
        <v>15620</v>
      </c>
      <c r="V819" t="s">
        <v>15621</v>
      </c>
      <c r="W819" t="s">
        <v>15622</v>
      </c>
      <c r="X819" t="s">
        <v>15623</v>
      </c>
      <c r="Y819" t="s">
        <v>15624</v>
      </c>
      <c r="Z819" t="s">
        <v>15625</v>
      </c>
      <c r="AA819" t="s">
        <v>15626</v>
      </c>
      <c r="AB819" t="s">
        <v>15627</v>
      </c>
      <c r="AC819" t="s">
        <v>15628</v>
      </c>
      <c r="AD819" t="s">
        <v>15628</v>
      </c>
      <c r="AE819" t="s">
        <v>15629</v>
      </c>
      <c r="AF819" t="s">
        <v>74</v>
      </c>
      <c r="AG819">
        <v>30</v>
      </c>
      <c r="AH819">
        <v>4</v>
      </c>
      <c r="AI819">
        <v>4</v>
      </c>
      <c r="AJ819">
        <v>0</v>
      </c>
      <c r="AK819">
        <v>9</v>
      </c>
      <c r="AL819" t="s">
        <v>741</v>
      </c>
      <c r="AM819" t="s">
        <v>550</v>
      </c>
      <c r="AN819" t="s">
        <v>742</v>
      </c>
      <c r="AO819" t="s">
        <v>743</v>
      </c>
      <c r="AP819" t="s">
        <v>744</v>
      </c>
      <c r="AQ819" t="s">
        <v>74</v>
      </c>
      <c r="AR819" t="s">
        <v>745</v>
      </c>
      <c r="AS819" t="s">
        <v>746</v>
      </c>
      <c r="AT819" t="s">
        <v>13267</v>
      </c>
      <c r="AU819">
        <v>2015</v>
      </c>
      <c r="AV819">
        <v>51</v>
      </c>
      <c r="AW819">
        <v>4</v>
      </c>
      <c r="AX819" t="s">
        <v>74</v>
      </c>
      <c r="AY819" t="s">
        <v>74</v>
      </c>
      <c r="AZ819" t="s">
        <v>74</v>
      </c>
      <c r="BA819" t="s">
        <v>74</v>
      </c>
      <c r="BB819">
        <v>444</v>
      </c>
      <c r="BC819">
        <v>455</v>
      </c>
      <c r="BD819" t="s">
        <v>74</v>
      </c>
      <c r="BE819" t="s">
        <v>15630</v>
      </c>
      <c r="BF819" t="str">
        <f>HYPERLINK("http://dx.doi.org/10.1017/S0032247414000400","http://dx.doi.org/10.1017/S0032247414000400")</f>
        <v>http://dx.doi.org/10.1017/S0032247414000400</v>
      </c>
      <c r="BG819" t="s">
        <v>74</v>
      </c>
      <c r="BH819" t="s">
        <v>74</v>
      </c>
      <c r="BI819">
        <v>12</v>
      </c>
      <c r="BJ819" t="s">
        <v>748</v>
      </c>
      <c r="BK819" t="s">
        <v>101</v>
      </c>
      <c r="BL819" t="s">
        <v>644</v>
      </c>
      <c r="BM819" t="s">
        <v>14057</v>
      </c>
      <c r="BN819" t="s">
        <v>74</v>
      </c>
      <c r="BO819" t="s">
        <v>162</v>
      </c>
      <c r="BP819" t="s">
        <v>74</v>
      </c>
      <c r="BQ819" t="s">
        <v>74</v>
      </c>
      <c r="BR819" t="s">
        <v>103</v>
      </c>
      <c r="BS819" t="s">
        <v>15631</v>
      </c>
      <c r="BT819" t="str">
        <f>HYPERLINK("https%3A%2F%2Fwww.webofscience.com%2Fwos%2Fwoscc%2Ffull-record%2FWOS:000357607600009","View Full Record in Web of Science")</f>
        <v>View Full Record in Web of Science</v>
      </c>
    </row>
    <row r="820" spans="1:72" x14ac:dyDescent="0.15">
      <c r="A820" t="s">
        <v>72</v>
      </c>
      <c r="B820" t="s">
        <v>15632</v>
      </c>
      <c r="C820" t="s">
        <v>74</v>
      </c>
      <c r="D820" t="s">
        <v>74</v>
      </c>
      <c r="E820" t="s">
        <v>74</v>
      </c>
      <c r="F820" t="s">
        <v>15633</v>
      </c>
      <c r="G820" t="s">
        <v>74</v>
      </c>
      <c r="H820" t="s">
        <v>74</v>
      </c>
      <c r="I820" t="s">
        <v>15634</v>
      </c>
      <c r="J820" t="s">
        <v>1761</v>
      </c>
      <c r="K820" t="s">
        <v>74</v>
      </c>
      <c r="L820" t="s">
        <v>74</v>
      </c>
      <c r="M820" t="s">
        <v>78</v>
      </c>
      <c r="N820" t="s">
        <v>79</v>
      </c>
      <c r="O820" t="s">
        <v>74</v>
      </c>
      <c r="P820" t="s">
        <v>74</v>
      </c>
      <c r="Q820" t="s">
        <v>74</v>
      </c>
      <c r="R820" t="s">
        <v>74</v>
      </c>
      <c r="S820" t="s">
        <v>74</v>
      </c>
      <c r="T820" t="s">
        <v>15635</v>
      </c>
      <c r="U820" t="s">
        <v>15636</v>
      </c>
      <c r="V820" t="s">
        <v>15637</v>
      </c>
      <c r="W820" t="s">
        <v>15638</v>
      </c>
      <c r="X820" t="s">
        <v>15639</v>
      </c>
      <c r="Y820" t="s">
        <v>15640</v>
      </c>
      <c r="Z820" t="s">
        <v>15641</v>
      </c>
      <c r="AA820" t="s">
        <v>15642</v>
      </c>
      <c r="AB820" t="s">
        <v>15643</v>
      </c>
      <c r="AC820" t="s">
        <v>15644</v>
      </c>
      <c r="AD820" t="s">
        <v>15645</v>
      </c>
      <c r="AE820" t="s">
        <v>15646</v>
      </c>
      <c r="AF820" t="s">
        <v>74</v>
      </c>
      <c r="AG820">
        <v>83</v>
      </c>
      <c r="AH820">
        <v>46</v>
      </c>
      <c r="AI820">
        <v>50</v>
      </c>
      <c r="AJ820">
        <v>2</v>
      </c>
      <c r="AK820">
        <v>39</v>
      </c>
      <c r="AL820" t="s">
        <v>397</v>
      </c>
      <c r="AM820" t="s">
        <v>398</v>
      </c>
      <c r="AN820" t="s">
        <v>399</v>
      </c>
      <c r="AO820" t="s">
        <v>1774</v>
      </c>
      <c r="AP820" t="s">
        <v>74</v>
      </c>
      <c r="AQ820" t="s">
        <v>74</v>
      </c>
      <c r="AR820" t="s">
        <v>1775</v>
      </c>
      <c r="AS820" t="s">
        <v>1776</v>
      </c>
      <c r="AT820" t="s">
        <v>13421</v>
      </c>
      <c r="AU820">
        <v>2015</v>
      </c>
      <c r="AV820">
        <v>119</v>
      </c>
      <c r="AW820" t="s">
        <v>74</v>
      </c>
      <c r="AX820" t="s">
        <v>74</v>
      </c>
      <c r="AY820" t="s">
        <v>74</v>
      </c>
      <c r="AZ820" t="s">
        <v>74</v>
      </c>
      <c r="BA820" t="s">
        <v>74</v>
      </c>
      <c r="BB820">
        <v>54</v>
      </c>
      <c r="BC820">
        <v>65</v>
      </c>
      <c r="BD820" t="s">
        <v>74</v>
      </c>
      <c r="BE820" t="s">
        <v>15647</v>
      </c>
      <c r="BF820" t="str">
        <f>HYPERLINK("http://dx.doi.org/10.1016/j.quascirev.2015.04.002","http://dx.doi.org/10.1016/j.quascirev.2015.04.002")</f>
        <v>http://dx.doi.org/10.1016/j.quascirev.2015.04.002</v>
      </c>
      <c r="BG820" t="s">
        <v>74</v>
      </c>
      <c r="BH820" t="s">
        <v>74</v>
      </c>
      <c r="BI820">
        <v>12</v>
      </c>
      <c r="BJ820" t="s">
        <v>1778</v>
      </c>
      <c r="BK820" t="s">
        <v>101</v>
      </c>
      <c r="BL820" t="s">
        <v>1779</v>
      </c>
      <c r="BM820" t="s">
        <v>14280</v>
      </c>
      <c r="BN820" t="s">
        <v>74</v>
      </c>
      <c r="BO820" t="s">
        <v>290</v>
      </c>
      <c r="BP820" t="s">
        <v>74</v>
      </c>
      <c r="BQ820" t="s">
        <v>74</v>
      </c>
      <c r="BR820" t="s">
        <v>103</v>
      </c>
      <c r="BS820" t="s">
        <v>15648</v>
      </c>
      <c r="BT820" t="str">
        <f>HYPERLINK("https%3A%2F%2Fwww.webofscience.com%2Fwos%2Fwoscc%2Ffull-record%2FWOS:000356557100005","View Full Record in Web of Science")</f>
        <v>View Full Record in Web of Science</v>
      </c>
    </row>
    <row r="821" spans="1:72" x14ac:dyDescent="0.15">
      <c r="A821" t="s">
        <v>72</v>
      </c>
      <c r="B821" t="s">
        <v>15649</v>
      </c>
      <c r="C821" t="s">
        <v>74</v>
      </c>
      <c r="D821" t="s">
        <v>74</v>
      </c>
      <c r="E821" t="s">
        <v>74</v>
      </c>
      <c r="F821" t="s">
        <v>15650</v>
      </c>
      <c r="G821" t="s">
        <v>74</v>
      </c>
      <c r="H821" t="s">
        <v>74</v>
      </c>
      <c r="I821" t="s">
        <v>15651</v>
      </c>
      <c r="J821" t="s">
        <v>8744</v>
      </c>
      <c r="K821" t="s">
        <v>74</v>
      </c>
      <c r="L821" t="s">
        <v>74</v>
      </c>
      <c r="M821" t="s">
        <v>78</v>
      </c>
      <c r="N821" t="s">
        <v>79</v>
      </c>
      <c r="O821" t="s">
        <v>74</v>
      </c>
      <c r="P821" t="s">
        <v>74</v>
      </c>
      <c r="Q821" t="s">
        <v>74</v>
      </c>
      <c r="R821" t="s">
        <v>74</v>
      </c>
      <c r="S821" t="s">
        <v>74</v>
      </c>
      <c r="T821" t="s">
        <v>15652</v>
      </c>
      <c r="U821" t="s">
        <v>15653</v>
      </c>
      <c r="V821" t="s">
        <v>15654</v>
      </c>
      <c r="W821" t="s">
        <v>15655</v>
      </c>
      <c r="X821" t="s">
        <v>15656</v>
      </c>
      <c r="Y821" t="s">
        <v>15657</v>
      </c>
      <c r="Z821" t="s">
        <v>15658</v>
      </c>
      <c r="AA821" t="s">
        <v>15659</v>
      </c>
      <c r="AB821" t="s">
        <v>15660</v>
      </c>
      <c r="AC821" t="s">
        <v>15661</v>
      </c>
      <c r="AD821" t="s">
        <v>15662</v>
      </c>
      <c r="AE821" t="s">
        <v>15663</v>
      </c>
      <c r="AF821" t="s">
        <v>74</v>
      </c>
      <c r="AG821">
        <v>82</v>
      </c>
      <c r="AH821">
        <v>22</v>
      </c>
      <c r="AI821">
        <v>25</v>
      </c>
      <c r="AJ821">
        <v>7</v>
      </c>
      <c r="AK821">
        <v>62</v>
      </c>
      <c r="AL821" t="s">
        <v>6897</v>
      </c>
      <c r="AM821" t="s">
        <v>550</v>
      </c>
      <c r="AN821" t="s">
        <v>8757</v>
      </c>
      <c r="AO821" t="s">
        <v>8758</v>
      </c>
      <c r="AP821" t="s">
        <v>8759</v>
      </c>
      <c r="AQ821" t="s">
        <v>74</v>
      </c>
      <c r="AR821" t="s">
        <v>8760</v>
      </c>
      <c r="AS821" t="s">
        <v>8761</v>
      </c>
      <c r="AT821" t="s">
        <v>13267</v>
      </c>
      <c r="AU821">
        <v>2015</v>
      </c>
      <c r="AV821">
        <v>164</v>
      </c>
      <c r="AW821" t="s">
        <v>74</v>
      </c>
      <c r="AX821" t="s">
        <v>74</v>
      </c>
      <c r="AY821" t="s">
        <v>74</v>
      </c>
      <c r="AZ821" t="s">
        <v>74</v>
      </c>
      <c r="BA821" t="s">
        <v>74</v>
      </c>
      <c r="BB821">
        <v>254</v>
      </c>
      <c r="BC821">
        <v>269</v>
      </c>
      <c r="BD821" t="s">
        <v>74</v>
      </c>
      <c r="BE821" t="s">
        <v>15664</v>
      </c>
      <c r="BF821" t="str">
        <f>HYPERLINK("http://dx.doi.org/10.1016/j.rse.2015.03.017","http://dx.doi.org/10.1016/j.rse.2015.03.017")</f>
        <v>http://dx.doi.org/10.1016/j.rse.2015.03.017</v>
      </c>
      <c r="BG821" t="s">
        <v>74</v>
      </c>
      <c r="BH821" t="s">
        <v>74</v>
      </c>
      <c r="BI821">
        <v>16</v>
      </c>
      <c r="BJ821" t="s">
        <v>8763</v>
      </c>
      <c r="BK821" t="s">
        <v>101</v>
      </c>
      <c r="BL821" t="s">
        <v>8764</v>
      </c>
      <c r="BM821" t="s">
        <v>15665</v>
      </c>
      <c r="BN821" t="s">
        <v>74</v>
      </c>
      <c r="BO821" t="s">
        <v>290</v>
      </c>
      <c r="BP821" t="s">
        <v>74</v>
      </c>
      <c r="BQ821" t="s">
        <v>74</v>
      </c>
      <c r="BR821" t="s">
        <v>103</v>
      </c>
      <c r="BS821" t="s">
        <v>15666</v>
      </c>
      <c r="BT821" t="str">
        <f>HYPERLINK("https%3A%2F%2Fwww.webofscience.com%2Fwos%2Fwoscc%2Ffull-record%2FWOS:000356554600021","View Full Record in Web of Science")</f>
        <v>View Full Record in Web of Science</v>
      </c>
    </row>
    <row r="822" spans="1:72" x14ac:dyDescent="0.15">
      <c r="A822" t="s">
        <v>72</v>
      </c>
      <c r="B822" t="s">
        <v>15667</v>
      </c>
      <c r="C822" t="s">
        <v>74</v>
      </c>
      <c r="D822" t="s">
        <v>74</v>
      </c>
      <c r="E822" t="s">
        <v>74</v>
      </c>
      <c r="F822" t="s">
        <v>15668</v>
      </c>
      <c r="G822" t="s">
        <v>74</v>
      </c>
      <c r="H822" t="s">
        <v>74</v>
      </c>
      <c r="I822" t="s">
        <v>15669</v>
      </c>
      <c r="J822" t="s">
        <v>15670</v>
      </c>
      <c r="K822" t="s">
        <v>74</v>
      </c>
      <c r="L822" t="s">
        <v>74</v>
      </c>
      <c r="M822" t="s">
        <v>78</v>
      </c>
      <c r="N822" t="s">
        <v>754</v>
      </c>
      <c r="O822" t="s">
        <v>74</v>
      </c>
      <c r="P822" t="s">
        <v>74</v>
      </c>
      <c r="Q822" t="s">
        <v>74</v>
      </c>
      <c r="R822" t="s">
        <v>74</v>
      </c>
      <c r="S822" t="s">
        <v>74</v>
      </c>
      <c r="T822" t="s">
        <v>74</v>
      </c>
      <c r="U822" t="s">
        <v>74</v>
      </c>
      <c r="V822" t="s">
        <v>74</v>
      </c>
      <c r="W822" t="s">
        <v>15671</v>
      </c>
      <c r="X822" t="s">
        <v>15672</v>
      </c>
      <c r="Y822" t="s">
        <v>15673</v>
      </c>
      <c r="Z822" t="s">
        <v>15674</v>
      </c>
      <c r="AA822" t="s">
        <v>15675</v>
      </c>
      <c r="AB822" t="s">
        <v>15676</v>
      </c>
      <c r="AC822" t="s">
        <v>74</v>
      </c>
      <c r="AD822" t="s">
        <v>74</v>
      </c>
      <c r="AE822" t="s">
        <v>74</v>
      </c>
      <c r="AF822" t="s">
        <v>74</v>
      </c>
      <c r="AG822">
        <v>5</v>
      </c>
      <c r="AH822">
        <v>8</v>
      </c>
      <c r="AI822">
        <v>10</v>
      </c>
      <c r="AJ822">
        <v>1</v>
      </c>
      <c r="AK822">
        <v>7</v>
      </c>
      <c r="AL822" t="s">
        <v>15677</v>
      </c>
      <c r="AM822" t="s">
        <v>15678</v>
      </c>
      <c r="AN822" t="s">
        <v>15679</v>
      </c>
      <c r="AO822" t="s">
        <v>15680</v>
      </c>
      <c r="AP822" t="s">
        <v>15681</v>
      </c>
      <c r="AQ822" t="s">
        <v>74</v>
      </c>
      <c r="AR822" t="s">
        <v>15682</v>
      </c>
      <c r="AS822" t="s">
        <v>15683</v>
      </c>
      <c r="AT822" t="s">
        <v>13248</v>
      </c>
      <c r="AU822">
        <v>2015</v>
      </c>
      <c r="AV822">
        <v>47</v>
      </c>
      <c r="AW822">
        <v>3</v>
      </c>
      <c r="AX822" t="s">
        <v>74</v>
      </c>
      <c r="AY822" t="s">
        <v>74</v>
      </c>
      <c r="AZ822" t="s">
        <v>74</v>
      </c>
      <c r="BA822" t="s">
        <v>74</v>
      </c>
      <c r="BB822">
        <v>274</v>
      </c>
      <c r="BC822">
        <v>276</v>
      </c>
      <c r="BD822" t="s">
        <v>74</v>
      </c>
      <c r="BE822" t="s">
        <v>15684</v>
      </c>
      <c r="BF822" t="str">
        <f>HYPERLINK("http://dx.doi.org/10.1016/j.ram.2015.04.003","http://dx.doi.org/10.1016/j.ram.2015.04.003")</f>
        <v>http://dx.doi.org/10.1016/j.ram.2015.04.003</v>
      </c>
      <c r="BG822" t="s">
        <v>74</v>
      </c>
      <c r="BH822" t="s">
        <v>74</v>
      </c>
      <c r="BI822">
        <v>3</v>
      </c>
      <c r="BJ822" t="s">
        <v>160</v>
      </c>
      <c r="BK822" t="s">
        <v>101</v>
      </c>
      <c r="BL822" t="s">
        <v>160</v>
      </c>
      <c r="BM822" t="s">
        <v>15685</v>
      </c>
      <c r="BN822">
        <v>26138793</v>
      </c>
      <c r="BO822" t="s">
        <v>1304</v>
      </c>
      <c r="BP822" t="s">
        <v>74</v>
      </c>
      <c r="BQ822" t="s">
        <v>74</v>
      </c>
      <c r="BR822" t="s">
        <v>103</v>
      </c>
      <c r="BS822" t="s">
        <v>15686</v>
      </c>
      <c r="BT822" t="str">
        <f>HYPERLINK("https%3A%2F%2Fwww.webofscience.com%2Fwos%2Fwoscc%2Ffull-record%2FWOS:000362458900016","View Full Record in Web of Science")</f>
        <v>View Full Record in Web of Science</v>
      </c>
    </row>
    <row r="823" spans="1:72" x14ac:dyDescent="0.15">
      <c r="A823" t="s">
        <v>72</v>
      </c>
      <c r="B823" t="s">
        <v>15687</v>
      </c>
      <c r="C823" t="s">
        <v>74</v>
      </c>
      <c r="D823" t="s">
        <v>74</v>
      </c>
      <c r="E823" t="s">
        <v>74</v>
      </c>
      <c r="F823" t="s">
        <v>15688</v>
      </c>
      <c r="G823" t="s">
        <v>74</v>
      </c>
      <c r="H823" t="s">
        <v>74</v>
      </c>
      <c r="I823" t="s">
        <v>15689</v>
      </c>
      <c r="J823" t="s">
        <v>8594</v>
      </c>
      <c r="K823" t="s">
        <v>74</v>
      </c>
      <c r="L823" t="s">
        <v>74</v>
      </c>
      <c r="M823" t="s">
        <v>78</v>
      </c>
      <c r="N823" t="s">
        <v>79</v>
      </c>
      <c r="O823" t="s">
        <v>74</v>
      </c>
      <c r="P823" t="s">
        <v>74</v>
      </c>
      <c r="Q823" t="s">
        <v>74</v>
      </c>
      <c r="R823" t="s">
        <v>74</v>
      </c>
      <c r="S823" t="s">
        <v>74</v>
      </c>
      <c r="T823" t="s">
        <v>15690</v>
      </c>
      <c r="U823" t="s">
        <v>15691</v>
      </c>
      <c r="V823" t="s">
        <v>15692</v>
      </c>
      <c r="W823" t="s">
        <v>15693</v>
      </c>
      <c r="X823" t="s">
        <v>15694</v>
      </c>
      <c r="Y823" t="s">
        <v>15695</v>
      </c>
      <c r="Z823" t="s">
        <v>15696</v>
      </c>
      <c r="AA823" t="s">
        <v>15697</v>
      </c>
      <c r="AB823" t="s">
        <v>15698</v>
      </c>
      <c r="AC823" t="s">
        <v>15699</v>
      </c>
      <c r="AD823" t="s">
        <v>15700</v>
      </c>
      <c r="AE823" t="s">
        <v>15701</v>
      </c>
      <c r="AF823" t="s">
        <v>74</v>
      </c>
      <c r="AG823">
        <v>80</v>
      </c>
      <c r="AH823">
        <v>28</v>
      </c>
      <c r="AI823">
        <v>28</v>
      </c>
      <c r="AJ823">
        <v>1</v>
      </c>
      <c r="AK823">
        <v>12</v>
      </c>
      <c r="AL823" t="s">
        <v>1321</v>
      </c>
      <c r="AM823" t="s">
        <v>180</v>
      </c>
      <c r="AN823" t="s">
        <v>1322</v>
      </c>
      <c r="AO823" t="s">
        <v>8607</v>
      </c>
      <c r="AP823" t="s">
        <v>74</v>
      </c>
      <c r="AQ823" t="s">
        <v>74</v>
      </c>
      <c r="AR823" t="s">
        <v>8608</v>
      </c>
      <c r="AS823" t="s">
        <v>8609</v>
      </c>
      <c r="AT823" t="s">
        <v>13267</v>
      </c>
      <c r="AU823">
        <v>2015</v>
      </c>
      <c r="AV823">
        <v>2</v>
      </c>
      <c r="AW823">
        <v>7</v>
      </c>
      <c r="AX823" t="s">
        <v>74</v>
      </c>
      <c r="AY823" t="s">
        <v>74</v>
      </c>
      <c r="AZ823" t="s">
        <v>74</v>
      </c>
      <c r="BA823" t="s">
        <v>74</v>
      </c>
      <c r="BB823" t="s">
        <v>74</v>
      </c>
      <c r="BC823" t="s">
        <v>74</v>
      </c>
      <c r="BD823">
        <v>140424</v>
      </c>
      <c r="BE823" t="s">
        <v>15702</v>
      </c>
      <c r="BF823" t="str">
        <f>HYPERLINK("http://dx.doi.org/10.1098/rsos.140424","http://dx.doi.org/10.1098/rsos.140424")</f>
        <v>http://dx.doi.org/10.1098/rsos.140424</v>
      </c>
      <c r="BG823" t="s">
        <v>74</v>
      </c>
      <c r="BH823" t="s">
        <v>74</v>
      </c>
      <c r="BI823">
        <v>15</v>
      </c>
      <c r="BJ823" t="s">
        <v>530</v>
      </c>
      <c r="BK823" t="s">
        <v>101</v>
      </c>
      <c r="BL823" t="s">
        <v>531</v>
      </c>
      <c r="BM823" t="s">
        <v>15703</v>
      </c>
      <c r="BN823">
        <v>26587257</v>
      </c>
      <c r="BO823" t="s">
        <v>533</v>
      </c>
      <c r="BP823" t="s">
        <v>74</v>
      </c>
      <c r="BQ823" t="s">
        <v>74</v>
      </c>
      <c r="BR823" t="s">
        <v>103</v>
      </c>
      <c r="BS823" t="s">
        <v>15704</v>
      </c>
      <c r="BT823" t="str">
        <f>HYPERLINK("https%3A%2F%2Fwww.webofscience.com%2Fwos%2Fwoscc%2Ffull-record%2FWOS:000377966100005","View Full Record in Web of Science")</f>
        <v>View Full Record in Web of Science</v>
      </c>
    </row>
    <row r="824" spans="1:72" x14ac:dyDescent="0.15">
      <c r="A824" t="s">
        <v>72</v>
      </c>
      <c r="B824" t="s">
        <v>15705</v>
      </c>
      <c r="C824" t="s">
        <v>74</v>
      </c>
      <c r="D824" t="s">
        <v>74</v>
      </c>
      <c r="E824" t="s">
        <v>74</v>
      </c>
      <c r="F824" t="s">
        <v>15706</v>
      </c>
      <c r="G824" t="s">
        <v>74</v>
      </c>
      <c r="H824" t="s">
        <v>15707</v>
      </c>
      <c r="I824" t="s">
        <v>15708</v>
      </c>
      <c r="J824" t="s">
        <v>764</v>
      </c>
      <c r="K824" t="s">
        <v>74</v>
      </c>
      <c r="L824" t="s">
        <v>74</v>
      </c>
      <c r="M824" t="s">
        <v>78</v>
      </c>
      <c r="N824" t="s">
        <v>79</v>
      </c>
      <c r="O824" t="s">
        <v>74</v>
      </c>
      <c r="P824" t="s">
        <v>74</v>
      </c>
      <c r="Q824" t="s">
        <v>74</v>
      </c>
      <c r="R824" t="s">
        <v>74</v>
      </c>
      <c r="S824" t="s">
        <v>74</v>
      </c>
      <c r="T824" t="s">
        <v>74</v>
      </c>
      <c r="U824" t="s">
        <v>15709</v>
      </c>
      <c r="V824" t="s">
        <v>15710</v>
      </c>
      <c r="W824" t="s">
        <v>15711</v>
      </c>
      <c r="X824" t="s">
        <v>15712</v>
      </c>
      <c r="Y824" t="s">
        <v>15713</v>
      </c>
      <c r="Z824" t="s">
        <v>15714</v>
      </c>
      <c r="AA824" t="s">
        <v>15715</v>
      </c>
      <c r="AB824" t="s">
        <v>15716</v>
      </c>
      <c r="AC824" t="s">
        <v>15717</v>
      </c>
      <c r="AD824" t="s">
        <v>15718</v>
      </c>
      <c r="AE824" t="s">
        <v>15719</v>
      </c>
      <c r="AF824" t="s">
        <v>74</v>
      </c>
      <c r="AG824">
        <v>42</v>
      </c>
      <c r="AH824">
        <v>84</v>
      </c>
      <c r="AI824">
        <v>99</v>
      </c>
      <c r="AJ824">
        <v>0</v>
      </c>
      <c r="AK824">
        <v>23</v>
      </c>
      <c r="AL824" t="s">
        <v>776</v>
      </c>
      <c r="AM824" t="s">
        <v>307</v>
      </c>
      <c r="AN824" t="s">
        <v>777</v>
      </c>
      <c r="AO824" t="s">
        <v>778</v>
      </c>
      <c r="AP824" t="s">
        <v>74</v>
      </c>
      <c r="AQ824" t="s">
        <v>74</v>
      </c>
      <c r="AR824" t="s">
        <v>779</v>
      </c>
      <c r="AS824" t="s">
        <v>780</v>
      </c>
      <c r="AT824" t="s">
        <v>13267</v>
      </c>
      <c r="AU824">
        <v>2015</v>
      </c>
      <c r="AV824">
        <v>1</v>
      </c>
      <c r="AW824">
        <v>6</v>
      </c>
      <c r="AX824" t="s">
        <v>74</v>
      </c>
      <c r="AY824" t="s">
        <v>74</v>
      </c>
      <c r="AZ824" t="s">
        <v>74</v>
      </c>
      <c r="BA824" t="s">
        <v>74</v>
      </c>
      <c r="BB824" t="s">
        <v>74</v>
      </c>
      <c r="BC824" t="s">
        <v>74</v>
      </c>
      <c r="BD824" t="s">
        <v>15720</v>
      </c>
      <c r="BE824" t="s">
        <v>15721</v>
      </c>
      <c r="BF824" t="str">
        <f>HYPERLINK("http://dx.doi.org/10.1126/sciadv.1500093","http://dx.doi.org/10.1126/sciadv.1500093")</f>
        <v>http://dx.doi.org/10.1126/sciadv.1500093</v>
      </c>
      <c r="BG824" t="s">
        <v>74</v>
      </c>
      <c r="BH824" t="s">
        <v>74</v>
      </c>
      <c r="BI824">
        <v>9</v>
      </c>
      <c r="BJ824" t="s">
        <v>530</v>
      </c>
      <c r="BK824" t="s">
        <v>101</v>
      </c>
      <c r="BL824" t="s">
        <v>531</v>
      </c>
      <c r="BM824" t="s">
        <v>15722</v>
      </c>
      <c r="BN824">
        <v>26601210</v>
      </c>
      <c r="BO824" t="s">
        <v>1430</v>
      </c>
      <c r="BP824" t="s">
        <v>74</v>
      </c>
      <c r="BQ824" t="s">
        <v>74</v>
      </c>
      <c r="BR824" t="s">
        <v>103</v>
      </c>
      <c r="BS824" t="s">
        <v>15723</v>
      </c>
      <c r="BT824" t="str">
        <f>HYPERLINK("https%3A%2F%2Fwww.webofscience.com%2Fwos%2Fwoscc%2Ffull-record%2FWOS:000216595400010","View Full Record in Web of Science")</f>
        <v>View Full Record in Web of Science</v>
      </c>
    </row>
    <row r="825" spans="1:72" x14ac:dyDescent="0.15">
      <c r="A825" t="s">
        <v>72</v>
      </c>
      <c r="B825" t="s">
        <v>15724</v>
      </c>
      <c r="C825" t="s">
        <v>74</v>
      </c>
      <c r="D825" t="s">
        <v>74</v>
      </c>
      <c r="E825" t="s">
        <v>74</v>
      </c>
      <c r="F825" t="s">
        <v>15725</v>
      </c>
      <c r="G825" t="s">
        <v>74</v>
      </c>
      <c r="H825" t="s">
        <v>74</v>
      </c>
      <c r="I825" t="s">
        <v>15726</v>
      </c>
      <c r="J825" t="s">
        <v>811</v>
      </c>
      <c r="K825" t="s">
        <v>74</v>
      </c>
      <c r="L825" t="s">
        <v>74</v>
      </c>
      <c r="M825" t="s">
        <v>78</v>
      </c>
      <c r="N825" t="s">
        <v>79</v>
      </c>
      <c r="O825" t="s">
        <v>74</v>
      </c>
      <c r="P825" t="s">
        <v>74</v>
      </c>
      <c r="Q825" t="s">
        <v>74</v>
      </c>
      <c r="R825" t="s">
        <v>74</v>
      </c>
      <c r="S825" t="s">
        <v>74</v>
      </c>
      <c r="T825" t="s">
        <v>15727</v>
      </c>
      <c r="U825" t="s">
        <v>74</v>
      </c>
      <c r="V825" t="s">
        <v>15728</v>
      </c>
      <c r="W825" t="s">
        <v>15729</v>
      </c>
      <c r="X825" t="s">
        <v>15730</v>
      </c>
      <c r="Y825" t="s">
        <v>15731</v>
      </c>
      <c r="Z825" t="s">
        <v>15732</v>
      </c>
      <c r="AA825" t="s">
        <v>15733</v>
      </c>
      <c r="AB825" t="s">
        <v>74</v>
      </c>
      <c r="AC825" t="s">
        <v>15734</v>
      </c>
      <c r="AD825" t="s">
        <v>15735</v>
      </c>
      <c r="AE825" t="s">
        <v>15736</v>
      </c>
      <c r="AF825" t="s">
        <v>74</v>
      </c>
      <c r="AG825">
        <v>32</v>
      </c>
      <c r="AH825">
        <v>7</v>
      </c>
      <c r="AI825">
        <v>7</v>
      </c>
      <c r="AJ825">
        <v>0</v>
      </c>
      <c r="AK825">
        <v>2</v>
      </c>
      <c r="AL825" t="s">
        <v>823</v>
      </c>
      <c r="AM825" t="s">
        <v>180</v>
      </c>
      <c r="AN825" t="s">
        <v>824</v>
      </c>
      <c r="AO825" t="s">
        <v>825</v>
      </c>
      <c r="AP825" t="s">
        <v>826</v>
      </c>
      <c r="AQ825" t="s">
        <v>74</v>
      </c>
      <c r="AR825" t="s">
        <v>827</v>
      </c>
      <c r="AS825" t="s">
        <v>828</v>
      </c>
      <c r="AT825" t="s">
        <v>13267</v>
      </c>
      <c r="AU825">
        <v>2015</v>
      </c>
      <c r="AV825">
        <v>33</v>
      </c>
      <c r="AW825">
        <v>1</v>
      </c>
      <c r="AX825" t="s">
        <v>74</v>
      </c>
      <c r="AY825" t="s">
        <v>74</v>
      </c>
      <c r="AZ825" t="s">
        <v>74</v>
      </c>
      <c r="BA825" t="s">
        <v>74</v>
      </c>
      <c r="BB825">
        <v>3</v>
      </c>
      <c r="BC825">
        <v>17</v>
      </c>
      <c r="BD825" t="s">
        <v>74</v>
      </c>
      <c r="BE825" t="s">
        <v>15737</v>
      </c>
      <c r="BF825" t="str">
        <f>HYPERLINK("http://dx.doi.org/10.3723/ut.33.003","http://dx.doi.org/10.3723/ut.33.003")</f>
        <v>http://dx.doi.org/10.3723/ut.33.003</v>
      </c>
      <c r="BG825" t="s">
        <v>74</v>
      </c>
      <c r="BH825" t="s">
        <v>74</v>
      </c>
      <c r="BI825">
        <v>15</v>
      </c>
      <c r="BJ825" t="s">
        <v>830</v>
      </c>
      <c r="BK825" t="s">
        <v>831</v>
      </c>
      <c r="BL825" t="s">
        <v>832</v>
      </c>
      <c r="BM825" t="s">
        <v>15738</v>
      </c>
      <c r="BN825" t="s">
        <v>74</v>
      </c>
      <c r="BO825" t="s">
        <v>74</v>
      </c>
      <c r="BP825" t="s">
        <v>74</v>
      </c>
      <c r="BQ825" t="s">
        <v>74</v>
      </c>
      <c r="BR825" t="s">
        <v>103</v>
      </c>
      <c r="BS825" t="s">
        <v>15739</v>
      </c>
      <c r="BT825" t="str">
        <f>HYPERLINK("https%3A%2F%2Fwww.webofscience.com%2Fwos%2Fwoscc%2Ffull-record%2FWOS:000437649000002","View Full Record in Web of Science")</f>
        <v>View Full Record in Web of Science</v>
      </c>
    </row>
    <row r="826" spans="1:72" x14ac:dyDescent="0.15">
      <c r="A826" t="s">
        <v>72</v>
      </c>
      <c r="B826" t="s">
        <v>15740</v>
      </c>
      <c r="C826" t="s">
        <v>74</v>
      </c>
      <c r="D826" t="s">
        <v>74</v>
      </c>
      <c r="E826" t="s">
        <v>74</v>
      </c>
      <c r="F826" t="s">
        <v>15741</v>
      </c>
      <c r="G826" t="s">
        <v>74</v>
      </c>
      <c r="H826" t="s">
        <v>74</v>
      </c>
      <c r="I826" t="s">
        <v>15742</v>
      </c>
      <c r="J826" t="s">
        <v>11447</v>
      </c>
      <c r="K826" t="s">
        <v>74</v>
      </c>
      <c r="L826" t="s">
        <v>74</v>
      </c>
      <c r="M826" t="s">
        <v>78</v>
      </c>
      <c r="N826" t="s">
        <v>79</v>
      </c>
      <c r="O826" t="s">
        <v>74</v>
      </c>
      <c r="P826" t="s">
        <v>74</v>
      </c>
      <c r="Q826" t="s">
        <v>74</v>
      </c>
      <c r="R826" t="s">
        <v>74</v>
      </c>
      <c r="S826" t="s">
        <v>74</v>
      </c>
      <c r="T826" t="s">
        <v>15743</v>
      </c>
      <c r="U826" t="s">
        <v>15744</v>
      </c>
      <c r="V826" t="s">
        <v>15745</v>
      </c>
      <c r="W826" t="s">
        <v>15746</v>
      </c>
      <c r="X826" t="s">
        <v>15747</v>
      </c>
      <c r="Y826" t="s">
        <v>15748</v>
      </c>
      <c r="Z826" t="s">
        <v>15749</v>
      </c>
      <c r="AA826" t="s">
        <v>74</v>
      </c>
      <c r="AB826" t="s">
        <v>74</v>
      </c>
      <c r="AC826" t="s">
        <v>15750</v>
      </c>
      <c r="AD826" t="s">
        <v>15750</v>
      </c>
      <c r="AE826" t="s">
        <v>15751</v>
      </c>
      <c r="AF826" t="s">
        <v>74</v>
      </c>
      <c r="AG826">
        <v>27</v>
      </c>
      <c r="AH826">
        <v>0</v>
      </c>
      <c r="AI826">
        <v>1</v>
      </c>
      <c r="AJ826">
        <v>0</v>
      </c>
      <c r="AK826">
        <v>10</v>
      </c>
      <c r="AL826" t="s">
        <v>92</v>
      </c>
      <c r="AM826" t="s">
        <v>93</v>
      </c>
      <c r="AN826" t="s">
        <v>94</v>
      </c>
      <c r="AO826" t="s">
        <v>11458</v>
      </c>
      <c r="AP826" t="s">
        <v>11459</v>
      </c>
      <c r="AQ826" t="s">
        <v>74</v>
      </c>
      <c r="AR826" t="s">
        <v>11460</v>
      </c>
      <c r="AS826" t="s">
        <v>11461</v>
      </c>
      <c r="AT826" t="s">
        <v>13267</v>
      </c>
      <c r="AU826">
        <v>2015</v>
      </c>
      <c r="AV826">
        <v>156</v>
      </c>
      <c r="AW826">
        <v>1</v>
      </c>
      <c r="AX826" t="s">
        <v>74</v>
      </c>
      <c r="AY826" t="s">
        <v>74</v>
      </c>
      <c r="AZ826" t="s">
        <v>74</v>
      </c>
      <c r="BA826" t="s">
        <v>74</v>
      </c>
      <c r="BB826">
        <v>145</v>
      </c>
      <c r="BC826">
        <v>155</v>
      </c>
      <c r="BD826" t="s">
        <v>74</v>
      </c>
      <c r="BE826" t="s">
        <v>15752</v>
      </c>
      <c r="BF826" t="str">
        <f>HYPERLINK("http://dx.doi.org/10.1007/s10546-015-0024-x","http://dx.doi.org/10.1007/s10546-015-0024-x")</f>
        <v>http://dx.doi.org/10.1007/s10546-015-0024-x</v>
      </c>
      <c r="BG826" t="s">
        <v>74</v>
      </c>
      <c r="BH826" t="s">
        <v>74</v>
      </c>
      <c r="BI826">
        <v>11</v>
      </c>
      <c r="BJ826" t="s">
        <v>271</v>
      </c>
      <c r="BK826" t="s">
        <v>101</v>
      </c>
      <c r="BL826" t="s">
        <v>271</v>
      </c>
      <c r="BM826" t="s">
        <v>15753</v>
      </c>
      <c r="BN826" t="s">
        <v>74</v>
      </c>
      <c r="BO826" t="s">
        <v>559</v>
      </c>
      <c r="BP826" t="s">
        <v>74</v>
      </c>
      <c r="BQ826" t="s">
        <v>74</v>
      </c>
      <c r="BR826" t="s">
        <v>103</v>
      </c>
      <c r="BS826" t="s">
        <v>15754</v>
      </c>
      <c r="BT826" t="str">
        <f>HYPERLINK("https%3A%2F%2Fwww.webofscience.com%2Fwos%2Fwoscc%2Ffull-record%2FWOS:000355153200009","View Full Record in Web of Science")</f>
        <v>View Full Record in Web of Science</v>
      </c>
    </row>
    <row r="827" spans="1:72" x14ac:dyDescent="0.15">
      <c r="A827" t="s">
        <v>72</v>
      </c>
      <c r="B827" t="s">
        <v>15755</v>
      </c>
      <c r="C827" t="s">
        <v>74</v>
      </c>
      <c r="D827" t="s">
        <v>74</v>
      </c>
      <c r="E827" t="s">
        <v>74</v>
      </c>
      <c r="F827" t="s">
        <v>15756</v>
      </c>
      <c r="G827" t="s">
        <v>74</v>
      </c>
      <c r="H827" t="s">
        <v>74</v>
      </c>
      <c r="I827" t="s">
        <v>15757</v>
      </c>
      <c r="J827" t="s">
        <v>6811</v>
      </c>
      <c r="K827" t="s">
        <v>74</v>
      </c>
      <c r="L827" t="s">
        <v>74</v>
      </c>
      <c r="M827" t="s">
        <v>78</v>
      </c>
      <c r="N827" t="s">
        <v>79</v>
      </c>
      <c r="O827" t="s">
        <v>74</v>
      </c>
      <c r="P827" t="s">
        <v>74</v>
      </c>
      <c r="Q827" t="s">
        <v>74</v>
      </c>
      <c r="R827" t="s">
        <v>74</v>
      </c>
      <c r="S827" t="s">
        <v>74</v>
      </c>
      <c r="T827" t="s">
        <v>15758</v>
      </c>
      <c r="U827" t="s">
        <v>15759</v>
      </c>
      <c r="V827" t="s">
        <v>15760</v>
      </c>
      <c r="W827" t="s">
        <v>15761</v>
      </c>
      <c r="X827" t="s">
        <v>74</v>
      </c>
      <c r="Y827" t="s">
        <v>15762</v>
      </c>
      <c r="Z827" t="s">
        <v>15763</v>
      </c>
      <c r="AA827" t="s">
        <v>15764</v>
      </c>
      <c r="AB827" t="s">
        <v>15765</v>
      </c>
      <c r="AC827" t="s">
        <v>15766</v>
      </c>
      <c r="AD827" t="s">
        <v>15766</v>
      </c>
      <c r="AE827" t="s">
        <v>15767</v>
      </c>
      <c r="AF827" t="s">
        <v>74</v>
      </c>
      <c r="AG827">
        <v>102</v>
      </c>
      <c r="AH827">
        <v>10</v>
      </c>
      <c r="AI827">
        <v>11</v>
      </c>
      <c r="AJ827">
        <v>0</v>
      </c>
      <c r="AK827">
        <v>11</v>
      </c>
      <c r="AL827" t="s">
        <v>1974</v>
      </c>
      <c r="AM827" t="s">
        <v>180</v>
      </c>
      <c r="AN827" t="s">
        <v>1975</v>
      </c>
      <c r="AO827" t="s">
        <v>6822</v>
      </c>
      <c r="AP827" t="s">
        <v>6823</v>
      </c>
      <c r="AQ827" t="s">
        <v>74</v>
      </c>
      <c r="AR827" t="s">
        <v>6824</v>
      </c>
      <c r="AS827" t="s">
        <v>6825</v>
      </c>
      <c r="AT827" t="s">
        <v>13267</v>
      </c>
      <c r="AU827">
        <v>2015</v>
      </c>
      <c r="AV827">
        <v>55</v>
      </c>
      <c r="AW827" t="s">
        <v>74</v>
      </c>
      <c r="AX827" t="s">
        <v>74</v>
      </c>
      <c r="AY827" t="s">
        <v>74</v>
      </c>
      <c r="AZ827" t="s">
        <v>74</v>
      </c>
      <c r="BA827" t="s">
        <v>74</v>
      </c>
      <c r="BB827">
        <v>303</v>
      </c>
      <c r="BC827">
        <v>330</v>
      </c>
      <c r="BD827" t="s">
        <v>74</v>
      </c>
      <c r="BE827" t="s">
        <v>15768</v>
      </c>
      <c r="BF827" t="str">
        <f>HYPERLINK("http://dx.doi.org/10.1016/j.cretres.2015.02.005","http://dx.doi.org/10.1016/j.cretres.2015.02.005")</f>
        <v>http://dx.doi.org/10.1016/j.cretres.2015.02.005</v>
      </c>
      <c r="BG827" t="s">
        <v>74</v>
      </c>
      <c r="BH827" t="s">
        <v>74</v>
      </c>
      <c r="BI827">
        <v>28</v>
      </c>
      <c r="BJ827" t="s">
        <v>6827</v>
      </c>
      <c r="BK827" t="s">
        <v>101</v>
      </c>
      <c r="BL827" t="s">
        <v>6827</v>
      </c>
      <c r="BM827" t="s">
        <v>15769</v>
      </c>
      <c r="BN827" t="s">
        <v>74</v>
      </c>
      <c r="BO827" t="s">
        <v>74</v>
      </c>
      <c r="BP827" t="s">
        <v>74</v>
      </c>
      <c r="BQ827" t="s">
        <v>74</v>
      </c>
      <c r="BR827" t="s">
        <v>103</v>
      </c>
      <c r="BS827" t="s">
        <v>15770</v>
      </c>
      <c r="BT827" t="str">
        <f>HYPERLINK("https%3A%2F%2Fwww.webofscience.com%2Fwos%2Fwoscc%2Ffull-record%2FWOS:000355037100023","View Full Record in Web of Science")</f>
        <v>View Full Record in Web of Science</v>
      </c>
    </row>
    <row r="828" spans="1:72" x14ac:dyDescent="0.15">
      <c r="A828" t="s">
        <v>72</v>
      </c>
      <c r="B828" t="s">
        <v>15771</v>
      </c>
      <c r="C828" t="s">
        <v>74</v>
      </c>
      <c r="D828" t="s">
        <v>74</v>
      </c>
      <c r="E828" t="s">
        <v>74</v>
      </c>
      <c r="F828" t="s">
        <v>15772</v>
      </c>
      <c r="G828" t="s">
        <v>74</v>
      </c>
      <c r="H828" t="s">
        <v>74</v>
      </c>
      <c r="I828" t="s">
        <v>15773</v>
      </c>
      <c r="J828" t="s">
        <v>15774</v>
      </c>
      <c r="K828" t="s">
        <v>74</v>
      </c>
      <c r="L828" t="s">
        <v>74</v>
      </c>
      <c r="M828" t="s">
        <v>78</v>
      </c>
      <c r="N828" t="s">
        <v>79</v>
      </c>
      <c r="O828" t="s">
        <v>74</v>
      </c>
      <c r="P828" t="s">
        <v>74</v>
      </c>
      <c r="Q828" t="s">
        <v>74</v>
      </c>
      <c r="R828" t="s">
        <v>74</v>
      </c>
      <c r="S828" t="s">
        <v>74</v>
      </c>
      <c r="T828" t="s">
        <v>15775</v>
      </c>
      <c r="U828" t="s">
        <v>15776</v>
      </c>
      <c r="V828" t="s">
        <v>15777</v>
      </c>
      <c r="W828" t="s">
        <v>15778</v>
      </c>
      <c r="X828" t="s">
        <v>15779</v>
      </c>
      <c r="Y828" t="s">
        <v>15780</v>
      </c>
      <c r="Z828" t="s">
        <v>15781</v>
      </c>
      <c r="AA828" t="s">
        <v>15782</v>
      </c>
      <c r="AB828" t="s">
        <v>15783</v>
      </c>
      <c r="AC828" t="s">
        <v>74</v>
      </c>
      <c r="AD828" t="s">
        <v>74</v>
      </c>
      <c r="AE828" t="s">
        <v>74</v>
      </c>
      <c r="AF828" t="s">
        <v>74</v>
      </c>
      <c r="AG828">
        <v>71</v>
      </c>
      <c r="AH828">
        <v>13</v>
      </c>
      <c r="AI828">
        <v>14</v>
      </c>
      <c r="AJ828">
        <v>0</v>
      </c>
      <c r="AK828">
        <v>47</v>
      </c>
      <c r="AL828" t="s">
        <v>741</v>
      </c>
      <c r="AM828" t="s">
        <v>550</v>
      </c>
      <c r="AN828" t="s">
        <v>742</v>
      </c>
      <c r="AO828" t="s">
        <v>15784</v>
      </c>
      <c r="AP828" t="s">
        <v>15785</v>
      </c>
      <c r="AQ828" t="s">
        <v>74</v>
      </c>
      <c r="AR828" t="s">
        <v>15786</v>
      </c>
      <c r="AS828" t="s">
        <v>15787</v>
      </c>
      <c r="AT828" t="s">
        <v>13267</v>
      </c>
      <c r="AU828">
        <v>2015</v>
      </c>
      <c r="AV828">
        <v>14</v>
      </c>
      <c r="AW828">
        <v>3</v>
      </c>
      <c r="AX828" t="s">
        <v>74</v>
      </c>
      <c r="AY828" t="s">
        <v>74</v>
      </c>
      <c r="AZ828" t="s">
        <v>931</v>
      </c>
      <c r="BA828" t="s">
        <v>74</v>
      </c>
      <c r="BB828">
        <v>427</v>
      </c>
      <c r="BC828">
        <v>434</v>
      </c>
      <c r="BD828" t="s">
        <v>74</v>
      </c>
      <c r="BE828" t="s">
        <v>15788</v>
      </c>
      <c r="BF828" t="str">
        <f>HYPERLINK("http://dx.doi.org/10.1017/S1473550414000391","http://dx.doi.org/10.1017/S1473550414000391")</f>
        <v>http://dx.doi.org/10.1017/S1473550414000391</v>
      </c>
      <c r="BG828" t="s">
        <v>74</v>
      </c>
      <c r="BH828" t="s">
        <v>74</v>
      </c>
      <c r="BI828">
        <v>8</v>
      </c>
      <c r="BJ828" t="s">
        <v>2849</v>
      </c>
      <c r="BK828" t="s">
        <v>101</v>
      </c>
      <c r="BL828" t="s">
        <v>2850</v>
      </c>
      <c r="BM828" t="s">
        <v>15789</v>
      </c>
      <c r="BN828" t="s">
        <v>74</v>
      </c>
      <c r="BO828" t="s">
        <v>74</v>
      </c>
      <c r="BP828" t="s">
        <v>74</v>
      </c>
      <c r="BQ828" t="s">
        <v>74</v>
      </c>
      <c r="BR828" t="s">
        <v>103</v>
      </c>
      <c r="BS828" t="s">
        <v>15790</v>
      </c>
      <c r="BT828" t="str">
        <f>HYPERLINK("https%3A%2F%2Fwww.webofscience.com%2Fwos%2Fwoscc%2Ffull-record%2FWOS:000354967400009","View Full Record in Web of Science")</f>
        <v>View Full Record in Web of Science</v>
      </c>
    </row>
    <row r="829" spans="1:72" x14ac:dyDescent="0.15">
      <c r="A829" t="s">
        <v>72</v>
      </c>
      <c r="B829" t="s">
        <v>15791</v>
      </c>
      <c r="C829" t="s">
        <v>74</v>
      </c>
      <c r="D829" t="s">
        <v>74</v>
      </c>
      <c r="E829" t="s">
        <v>74</v>
      </c>
      <c r="F829" t="s">
        <v>15792</v>
      </c>
      <c r="G829" t="s">
        <v>74</v>
      </c>
      <c r="H829" t="s">
        <v>74</v>
      </c>
      <c r="I829" t="s">
        <v>15793</v>
      </c>
      <c r="J829" t="s">
        <v>15774</v>
      </c>
      <c r="K829" t="s">
        <v>74</v>
      </c>
      <c r="L829" t="s">
        <v>74</v>
      </c>
      <c r="M829" t="s">
        <v>78</v>
      </c>
      <c r="N829" t="s">
        <v>79</v>
      </c>
      <c r="O829" t="s">
        <v>74</v>
      </c>
      <c r="P829" t="s">
        <v>74</v>
      </c>
      <c r="Q829" t="s">
        <v>74</v>
      </c>
      <c r="R829" t="s">
        <v>74</v>
      </c>
      <c r="S829" t="s">
        <v>74</v>
      </c>
      <c r="T829" t="s">
        <v>15794</v>
      </c>
      <c r="U829" t="s">
        <v>15795</v>
      </c>
      <c r="V829" t="s">
        <v>15796</v>
      </c>
      <c r="W829" t="s">
        <v>15797</v>
      </c>
      <c r="X829" t="s">
        <v>15798</v>
      </c>
      <c r="Y829" t="s">
        <v>15799</v>
      </c>
      <c r="Z829" t="s">
        <v>10522</v>
      </c>
      <c r="AA829" t="s">
        <v>15800</v>
      </c>
      <c r="AB829" t="s">
        <v>15801</v>
      </c>
      <c r="AC829" t="s">
        <v>15802</v>
      </c>
      <c r="AD829" t="s">
        <v>15803</v>
      </c>
      <c r="AE829" t="s">
        <v>15804</v>
      </c>
      <c r="AF829" t="s">
        <v>74</v>
      </c>
      <c r="AG829">
        <v>75</v>
      </c>
      <c r="AH829">
        <v>6</v>
      </c>
      <c r="AI829">
        <v>6</v>
      </c>
      <c r="AJ829">
        <v>1</v>
      </c>
      <c r="AK829">
        <v>27</v>
      </c>
      <c r="AL829" t="s">
        <v>741</v>
      </c>
      <c r="AM829" t="s">
        <v>550</v>
      </c>
      <c r="AN829" t="s">
        <v>742</v>
      </c>
      <c r="AO829" t="s">
        <v>15784</v>
      </c>
      <c r="AP829" t="s">
        <v>15785</v>
      </c>
      <c r="AQ829" t="s">
        <v>74</v>
      </c>
      <c r="AR829" t="s">
        <v>15786</v>
      </c>
      <c r="AS829" t="s">
        <v>15787</v>
      </c>
      <c r="AT829" t="s">
        <v>13267</v>
      </c>
      <c r="AU829">
        <v>2015</v>
      </c>
      <c r="AV829">
        <v>14</v>
      </c>
      <c r="AW829">
        <v>3</v>
      </c>
      <c r="AX829" t="s">
        <v>74</v>
      </c>
      <c r="AY829" t="s">
        <v>74</v>
      </c>
      <c r="AZ829" t="s">
        <v>931</v>
      </c>
      <c r="BA829" t="s">
        <v>74</v>
      </c>
      <c r="BB829">
        <v>479</v>
      </c>
      <c r="BC829">
        <v>488</v>
      </c>
      <c r="BD829" t="s">
        <v>74</v>
      </c>
      <c r="BE829" t="s">
        <v>15805</v>
      </c>
      <c r="BF829" t="str">
        <f>HYPERLINK("http://dx.doi.org/10.1017/S1473550414000470","http://dx.doi.org/10.1017/S1473550414000470")</f>
        <v>http://dx.doi.org/10.1017/S1473550414000470</v>
      </c>
      <c r="BG829" t="s">
        <v>74</v>
      </c>
      <c r="BH829" t="s">
        <v>74</v>
      </c>
      <c r="BI829">
        <v>10</v>
      </c>
      <c r="BJ829" t="s">
        <v>2849</v>
      </c>
      <c r="BK829" t="s">
        <v>101</v>
      </c>
      <c r="BL829" t="s">
        <v>2850</v>
      </c>
      <c r="BM829" t="s">
        <v>15789</v>
      </c>
      <c r="BN829" t="s">
        <v>74</v>
      </c>
      <c r="BO829" t="s">
        <v>74</v>
      </c>
      <c r="BP829" t="s">
        <v>74</v>
      </c>
      <c r="BQ829" t="s">
        <v>74</v>
      </c>
      <c r="BR829" t="s">
        <v>103</v>
      </c>
      <c r="BS829" t="s">
        <v>15806</v>
      </c>
      <c r="BT829" t="str">
        <f>HYPERLINK("https%3A%2F%2Fwww.webofscience.com%2Fwos%2Fwoscc%2Ffull-record%2FWOS:000354967400014","View Full Record in Web of Science")</f>
        <v>View Full Record in Web of Science</v>
      </c>
    </row>
    <row r="830" spans="1:72" x14ac:dyDescent="0.15">
      <c r="A830" t="s">
        <v>72</v>
      </c>
      <c r="B830" t="s">
        <v>15807</v>
      </c>
      <c r="C830" t="s">
        <v>74</v>
      </c>
      <c r="D830" t="s">
        <v>74</v>
      </c>
      <c r="E830" t="s">
        <v>74</v>
      </c>
      <c r="F830" t="s">
        <v>15808</v>
      </c>
      <c r="G830" t="s">
        <v>74</v>
      </c>
      <c r="H830" t="s">
        <v>74</v>
      </c>
      <c r="I830" t="s">
        <v>15809</v>
      </c>
      <c r="J830" t="s">
        <v>3726</v>
      </c>
      <c r="K830" t="s">
        <v>74</v>
      </c>
      <c r="L830" t="s">
        <v>74</v>
      </c>
      <c r="M830" t="s">
        <v>78</v>
      </c>
      <c r="N830" t="s">
        <v>79</v>
      </c>
      <c r="O830" t="s">
        <v>74</v>
      </c>
      <c r="P830" t="s">
        <v>74</v>
      </c>
      <c r="Q830" t="s">
        <v>74</v>
      </c>
      <c r="R830" t="s">
        <v>74</v>
      </c>
      <c r="S830" t="s">
        <v>74</v>
      </c>
      <c r="T830" t="s">
        <v>15810</v>
      </c>
      <c r="U830" t="s">
        <v>15811</v>
      </c>
      <c r="V830" t="s">
        <v>15812</v>
      </c>
      <c r="W830" t="s">
        <v>15813</v>
      </c>
      <c r="X830" t="s">
        <v>15814</v>
      </c>
      <c r="Y830" t="s">
        <v>15815</v>
      </c>
      <c r="Z830" t="s">
        <v>15816</v>
      </c>
      <c r="AA830" t="s">
        <v>15817</v>
      </c>
      <c r="AB830" t="s">
        <v>15818</v>
      </c>
      <c r="AC830" t="s">
        <v>11141</v>
      </c>
      <c r="AD830" t="s">
        <v>11141</v>
      </c>
      <c r="AE830" t="s">
        <v>15819</v>
      </c>
      <c r="AF830" t="s">
        <v>74</v>
      </c>
      <c r="AG830">
        <v>34</v>
      </c>
      <c r="AH830">
        <v>47</v>
      </c>
      <c r="AI830">
        <v>48</v>
      </c>
      <c r="AJ830">
        <v>1</v>
      </c>
      <c r="AK830">
        <v>54</v>
      </c>
      <c r="AL830" t="s">
        <v>397</v>
      </c>
      <c r="AM830" t="s">
        <v>398</v>
      </c>
      <c r="AN830" t="s">
        <v>399</v>
      </c>
      <c r="AO830" t="s">
        <v>3738</v>
      </c>
      <c r="AP830" t="s">
        <v>3739</v>
      </c>
      <c r="AQ830" t="s">
        <v>74</v>
      </c>
      <c r="AR830" t="s">
        <v>3726</v>
      </c>
      <c r="AS830" t="s">
        <v>3740</v>
      </c>
      <c r="AT830" t="s">
        <v>13267</v>
      </c>
      <c r="AU830">
        <v>2015</v>
      </c>
      <c r="AV830">
        <v>131</v>
      </c>
      <c r="AW830" t="s">
        <v>74</v>
      </c>
      <c r="AX830" t="s">
        <v>74</v>
      </c>
      <c r="AY830" t="s">
        <v>74</v>
      </c>
      <c r="AZ830" t="s">
        <v>74</v>
      </c>
      <c r="BA830" t="s">
        <v>74</v>
      </c>
      <c r="BB830">
        <v>232</v>
      </c>
      <c r="BC830">
        <v>240</v>
      </c>
      <c r="BD830" t="s">
        <v>74</v>
      </c>
      <c r="BE830" t="s">
        <v>15820</v>
      </c>
      <c r="BF830" t="str">
        <f>HYPERLINK("http://dx.doi.org/10.1016/j.chemosphere.2014.10.088","http://dx.doi.org/10.1016/j.chemosphere.2014.10.088")</f>
        <v>http://dx.doi.org/10.1016/j.chemosphere.2014.10.088</v>
      </c>
      <c r="BG830" t="s">
        <v>74</v>
      </c>
      <c r="BH830" t="s">
        <v>74</v>
      </c>
      <c r="BI830">
        <v>9</v>
      </c>
      <c r="BJ830" t="s">
        <v>3267</v>
      </c>
      <c r="BK830" t="s">
        <v>101</v>
      </c>
      <c r="BL830" t="s">
        <v>644</v>
      </c>
      <c r="BM830" t="s">
        <v>15821</v>
      </c>
      <c r="BN830">
        <v>25563162</v>
      </c>
      <c r="BO830" t="s">
        <v>559</v>
      </c>
      <c r="BP830" t="s">
        <v>74</v>
      </c>
      <c r="BQ830" t="s">
        <v>74</v>
      </c>
      <c r="BR830" t="s">
        <v>103</v>
      </c>
      <c r="BS830" t="s">
        <v>15822</v>
      </c>
      <c r="BT830" t="str">
        <f>HYPERLINK("https%3A%2F%2Fwww.webofscience.com%2Fwos%2Fwoscc%2Ffull-record%2FWOS:000354584600030","View Full Record in Web of Science")</f>
        <v>View Full Record in Web of Science</v>
      </c>
    </row>
    <row r="831" spans="1:72" x14ac:dyDescent="0.15">
      <c r="A831" t="s">
        <v>72</v>
      </c>
      <c r="B831" t="s">
        <v>15823</v>
      </c>
      <c r="C831" t="s">
        <v>74</v>
      </c>
      <c r="D831" t="s">
        <v>74</v>
      </c>
      <c r="E831" t="s">
        <v>74</v>
      </c>
      <c r="F831" t="s">
        <v>15824</v>
      </c>
      <c r="G831" t="s">
        <v>74</v>
      </c>
      <c r="H831" t="s">
        <v>74</v>
      </c>
      <c r="I831" t="s">
        <v>15825</v>
      </c>
      <c r="J831" t="s">
        <v>1821</v>
      </c>
      <c r="K831" t="s">
        <v>74</v>
      </c>
      <c r="L831" t="s">
        <v>74</v>
      </c>
      <c r="M831" t="s">
        <v>78</v>
      </c>
      <c r="N831" t="s">
        <v>79</v>
      </c>
      <c r="O831" t="s">
        <v>74</v>
      </c>
      <c r="P831" t="s">
        <v>74</v>
      </c>
      <c r="Q831" t="s">
        <v>74</v>
      </c>
      <c r="R831" t="s">
        <v>74</v>
      </c>
      <c r="S831" t="s">
        <v>74</v>
      </c>
      <c r="T831" t="s">
        <v>74</v>
      </c>
      <c r="U831" t="s">
        <v>15826</v>
      </c>
      <c r="V831" t="s">
        <v>15827</v>
      </c>
      <c r="W831" t="s">
        <v>15828</v>
      </c>
      <c r="X831" t="s">
        <v>15829</v>
      </c>
      <c r="Y831" t="s">
        <v>15830</v>
      </c>
      <c r="Z831" t="s">
        <v>9607</v>
      </c>
      <c r="AA831" t="s">
        <v>15831</v>
      </c>
      <c r="AB831" t="s">
        <v>15832</v>
      </c>
      <c r="AC831" t="s">
        <v>15833</v>
      </c>
      <c r="AD831" t="s">
        <v>15834</v>
      </c>
      <c r="AE831" t="s">
        <v>74</v>
      </c>
      <c r="AF831" t="s">
        <v>74</v>
      </c>
      <c r="AG831">
        <v>85</v>
      </c>
      <c r="AH831">
        <v>46</v>
      </c>
      <c r="AI831">
        <v>49</v>
      </c>
      <c r="AJ831">
        <v>2</v>
      </c>
      <c r="AK831">
        <v>31</v>
      </c>
      <c r="AL831" t="s">
        <v>1830</v>
      </c>
      <c r="AM831" t="s">
        <v>1831</v>
      </c>
      <c r="AN831" t="s">
        <v>1832</v>
      </c>
      <c r="AO831" t="s">
        <v>1833</v>
      </c>
      <c r="AP831" t="s">
        <v>74</v>
      </c>
      <c r="AQ831" t="s">
        <v>74</v>
      </c>
      <c r="AR831" t="s">
        <v>1834</v>
      </c>
      <c r="AS831" t="s">
        <v>1835</v>
      </c>
      <c r="AT831" t="s">
        <v>15835</v>
      </c>
      <c r="AU831">
        <v>2015</v>
      </c>
      <c r="AV831">
        <v>3</v>
      </c>
      <c r="AW831" t="s">
        <v>74</v>
      </c>
      <c r="AX831" t="s">
        <v>74</v>
      </c>
      <c r="AY831" t="s">
        <v>74</v>
      </c>
      <c r="AZ831" t="s">
        <v>74</v>
      </c>
      <c r="BA831" t="s">
        <v>74</v>
      </c>
      <c r="BB831" t="s">
        <v>74</v>
      </c>
      <c r="BC831" t="s">
        <v>74</v>
      </c>
      <c r="BD831">
        <v>55</v>
      </c>
      <c r="BE831" t="s">
        <v>15836</v>
      </c>
      <c r="BF831" t="str">
        <f>HYPERLINK("http://dx.doi.org/10.12952/journal.elementa.000055","http://dx.doi.org/10.12952/journal.elementa.000055")</f>
        <v>http://dx.doi.org/10.12952/journal.elementa.000055</v>
      </c>
      <c r="BG831" t="s">
        <v>74</v>
      </c>
      <c r="BH831" t="s">
        <v>74</v>
      </c>
      <c r="BI831">
        <v>20</v>
      </c>
      <c r="BJ831" t="s">
        <v>1837</v>
      </c>
      <c r="BK831" t="s">
        <v>101</v>
      </c>
      <c r="BL831" t="s">
        <v>1838</v>
      </c>
      <c r="BM831" t="s">
        <v>15837</v>
      </c>
      <c r="BN831" t="s">
        <v>74</v>
      </c>
      <c r="BO831" t="s">
        <v>1150</v>
      </c>
      <c r="BP831" t="s">
        <v>74</v>
      </c>
      <c r="BQ831" t="s">
        <v>74</v>
      </c>
      <c r="BR831" t="s">
        <v>103</v>
      </c>
      <c r="BS831" t="s">
        <v>15838</v>
      </c>
      <c r="BT831" t="str">
        <f>HYPERLINK("https%3A%2F%2Fwww.webofscience.com%2Fwos%2Fwoscc%2Ffull-record%2FWOS:000362114400001","View Full Record in Web of Science")</f>
        <v>View Full Record in Web of Science</v>
      </c>
    </row>
    <row r="832" spans="1:72" x14ac:dyDescent="0.15">
      <c r="A832" t="s">
        <v>72</v>
      </c>
      <c r="B832" t="s">
        <v>15839</v>
      </c>
      <c r="C832" t="s">
        <v>74</v>
      </c>
      <c r="D832" t="s">
        <v>74</v>
      </c>
      <c r="E832" t="s">
        <v>74</v>
      </c>
      <c r="F832" t="s">
        <v>15840</v>
      </c>
      <c r="G832" t="s">
        <v>74</v>
      </c>
      <c r="H832" t="s">
        <v>74</v>
      </c>
      <c r="I832" t="s">
        <v>15841</v>
      </c>
      <c r="J832" t="s">
        <v>15842</v>
      </c>
      <c r="K832" t="s">
        <v>74</v>
      </c>
      <c r="L832" t="s">
        <v>74</v>
      </c>
      <c r="M832" t="s">
        <v>78</v>
      </c>
      <c r="N832" t="s">
        <v>79</v>
      </c>
      <c r="O832" t="s">
        <v>74</v>
      </c>
      <c r="P832" t="s">
        <v>74</v>
      </c>
      <c r="Q832" t="s">
        <v>74</v>
      </c>
      <c r="R832" t="s">
        <v>74</v>
      </c>
      <c r="S832" t="s">
        <v>74</v>
      </c>
      <c r="T832" t="s">
        <v>15843</v>
      </c>
      <c r="U832" t="s">
        <v>15844</v>
      </c>
      <c r="V832" t="s">
        <v>15845</v>
      </c>
      <c r="W832" t="s">
        <v>15846</v>
      </c>
      <c r="X832" t="s">
        <v>15847</v>
      </c>
      <c r="Y832" t="s">
        <v>15848</v>
      </c>
      <c r="Z832" t="s">
        <v>15849</v>
      </c>
      <c r="AA832" t="s">
        <v>15850</v>
      </c>
      <c r="AB832" t="s">
        <v>15851</v>
      </c>
      <c r="AC832" t="s">
        <v>15852</v>
      </c>
      <c r="AD832" t="s">
        <v>15853</v>
      </c>
      <c r="AE832" t="s">
        <v>15854</v>
      </c>
      <c r="AF832" t="s">
        <v>74</v>
      </c>
      <c r="AG832">
        <v>33</v>
      </c>
      <c r="AH832">
        <v>17</v>
      </c>
      <c r="AI832">
        <v>20</v>
      </c>
      <c r="AJ832">
        <v>2</v>
      </c>
      <c r="AK832">
        <v>37</v>
      </c>
      <c r="AL832" t="s">
        <v>397</v>
      </c>
      <c r="AM832" t="s">
        <v>398</v>
      </c>
      <c r="AN832" t="s">
        <v>399</v>
      </c>
      <c r="AO832" t="s">
        <v>15855</v>
      </c>
      <c r="AP832" t="s">
        <v>15856</v>
      </c>
      <c r="AQ832" t="s">
        <v>74</v>
      </c>
      <c r="AR832" t="s">
        <v>15857</v>
      </c>
      <c r="AS832" t="s">
        <v>15858</v>
      </c>
      <c r="AT832" t="s">
        <v>15859</v>
      </c>
      <c r="AU832">
        <v>2015</v>
      </c>
      <c r="AV832">
        <v>40</v>
      </c>
      <c r="AW832">
        <v>24</v>
      </c>
      <c r="AX832" t="s">
        <v>74</v>
      </c>
      <c r="AY832" t="s">
        <v>74</v>
      </c>
      <c r="AZ832" t="s">
        <v>931</v>
      </c>
      <c r="BA832" t="s">
        <v>74</v>
      </c>
      <c r="BB832">
        <v>7586</v>
      </c>
      <c r="BC832">
        <v>7592</v>
      </c>
      <c r="BD832" t="s">
        <v>74</v>
      </c>
      <c r="BE832" t="s">
        <v>15860</v>
      </c>
      <c r="BF832" t="str">
        <f>HYPERLINK("http://dx.doi.org/10.1016/j.ijhydene.2014.10.063","http://dx.doi.org/10.1016/j.ijhydene.2014.10.063")</f>
        <v>http://dx.doi.org/10.1016/j.ijhydene.2014.10.063</v>
      </c>
      <c r="BG832" t="s">
        <v>74</v>
      </c>
      <c r="BH832" t="s">
        <v>74</v>
      </c>
      <c r="BI832">
        <v>7</v>
      </c>
      <c r="BJ832" t="s">
        <v>15861</v>
      </c>
      <c r="BK832" t="s">
        <v>101</v>
      </c>
      <c r="BL832" t="s">
        <v>15862</v>
      </c>
      <c r="BM832" t="s">
        <v>15863</v>
      </c>
      <c r="BN832" t="s">
        <v>74</v>
      </c>
      <c r="BO832" t="s">
        <v>74</v>
      </c>
      <c r="BP832" t="s">
        <v>74</v>
      </c>
      <c r="BQ832" t="s">
        <v>74</v>
      </c>
      <c r="BR832" t="s">
        <v>103</v>
      </c>
      <c r="BS832" t="s">
        <v>15864</v>
      </c>
      <c r="BT832" t="str">
        <f>HYPERLINK("https%3A%2F%2Fwww.webofscience.com%2Fwos%2Fwoscc%2Ffull-record%2FWOS:000356549000021","View Full Record in Web of Science")</f>
        <v>View Full Record in Web of Science</v>
      </c>
    </row>
    <row r="833" spans="1:72" x14ac:dyDescent="0.15">
      <c r="A833" t="s">
        <v>72</v>
      </c>
      <c r="B833" t="s">
        <v>15865</v>
      </c>
      <c r="C833" t="s">
        <v>74</v>
      </c>
      <c r="D833" t="s">
        <v>74</v>
      </c>
      <c r="E833" t="s">
        <v>74</v>
      </c>
      <c r="F833" t="s">
        <v>15866</v>
      </c>
      <c r="G833" t="s">
        <v>74</v>
      </c>
      <c r="H833" t="s">
        <v>74</v>
      </c>
      <c r="I833" t="s">
        <v>15867</v>
      </c>
      <c r="J833" t="s">
        <v>1008</v>
      </c>
      <c r="K833" t="s">
        <v>74</v>
      </c>
      <c r="L833" t="s">
        <v>74</v>
      </c>
      <c r="M833" t="s">
        <v>78</v>
      </c>
      <c r="N833" t="s">
        <v>79</v>
      </c>
      <c r="O833" t="s">
        <v>74</v>
      </c>
      <c r="P833" t="s">
        <v>74</v>
      </c>
      <c r="Q833" t="s">
        <v>74</v>
      </c>
      <c r="R833" t="s">
        <v>74</v>
      </c>
      <c r="S833" t="s">
        <v>74</v>
      </c>
      <c r="T833" t="s">
        <v>15868</v>
      </c>
      <c r="U833" t="s">
        <v>15869</v>
      </c>
      <c r="V833" t="s">
        <v>15870</v>
      </c>
      <c r="W833" t="s">
        <v>15871</v>
      </c>
      <c r="X833" t="s">
        <v>15872</v>
      </c>
      <c r="Y833" t="s">
        <v>15873</v>
      </c>
      <c r="Z833" t="s">
        <v>15874</v>
      </c>
      <c r="AA833" t="s">
        <v>15875</v>
      </c>
      <c r="AB833" t="s">
        <v>15876</v>
      </c>
      <c r="AC833" t="s">
        <v>15877</v>
      </c>
      <c r="AD833" t="s">
        <v>15878</v>
      </c>
      <c r="AE833" t="s">
        <v>15879</v>
      </c>
      <c r="AF833" t="s">
        <v>74</v>
      </c>
      <c r="AG833">
        <v>37</v>
      </c>
      <c r="AH833">
        <v>8</v>
      </c>
      <c r="AI833">
        <v>9</v>
      </c>
      <c r="AJ833">
        <v>0</v>
      </c>
      <c r="AK833">
        <v>4</v>
      </c>
      <c r="AL833" t="s">
        <v>306</v>
      </c>
      <c r="AM833" t="s">
        <v>307</v>
      </c>
      <c r="AN833" t="s">
        <v>308</v>
      </c>
      <c r="AO833" t="s">
        <v>1021</v>
      </c>
      <c r="AP833" t="s">
        <v>1022</v>
      </c>
      <c r="AQ833" t="s">
        <v>74</v>
      </c>
      <c r="AR833" t="s">
        <v>1023</v>
      </c>
      <c r="AS833" t="s">
        <v>1024</v>
      </c>
      <c r="AT833" t="s">
        <v>15880</v>
      </c>
      <c r="AU833">
        <v>2015</v>
      </c>
      <c r="AV833">
        <v>42</v>
      </c>
      <c r="AW833">
        <v>12</v>
      </c>
      <c r="AX833" t="s">
        <v>74</v>
      </c>
      <c r="AY833" t="s">
        <v>74</v>
      </c>
      <c r="AZ833" t="s">
        <v>74</v>
      </c>
      <c r="BA833" t="s">
        <v>74</v>
      </c>
      <c r="BB833">
        <v>4702</v>
      </c>
      <c r="BC833">
        <v>4708</v>
      </c>
      <c r="BD833" t="s">
        <v>74</v>
      </c>
      <c r="BE833" t="s">
        <v>15881</v>
      </c>
      <c r="BF833" t="str">
        <f>HYPERLINK("http://dx.doi.org/10.1002/2015GL064564","http://dx.doi.org/10.1002/2015GL064564")</f>
        <v>http://dx.doi.org/10.1002/2015GL064564</v>
      </c>
      <c r="BG833" t="s">
        <v>74</v>
      </c>
      <c r="BH833" t="s">
        <v>74</v>
      </c>
      <c r="BI833">
        <v>7</v>
      </c>
      <c r="BJ833" t="s">
        <v>314</v>
      </c>
      <c r="BK833" t="s">
        <v>101</v>
      </c>
      <c r="BL833" t="s">
        <v>315</v>
      </c>
      <c r="BM833" t="s">
        <v>15882</v>
      </c>
      <c r="BN833" t="s">
        <v>74</v>
      </c>
      <c r="BO833" t="s">
        <v>162</v>
      </c>
      <c r="BP833" t="s">
        <v>74</v>
      </c>
      <c r="BQ833" t="s">
        <v>74</v>
      </c>
      <c r="BR833" t="s">
        <v>103</v>
      </c>
      <c r="BS833" t="s">
        <v>15883</v>
      </c>
      <c r="BT833" t="str">
        <f>HYPERLINK("https%3A%2F%2Fwww.webofscience.com%2Fwos%2Fwoscc%2Ffull-record%2FWOS:000358002500006","View Full Record in Web of Science")</f>
        <v>View Full Record in Web of Science</v>
      </c>
    </row>
    <row r="834" spans="1:72" x14ac:dyDescent="0.15">
      <c r="A834" t="s">
        <v>72</v>
      </c>
      <c r="B834" t="s">
        <v>15884</v>
      </c>
      <c r="C834" t="s">
        <v>74</v>
      </c>
      <c r="D834" t="s">
        <v>74</v>
      </c>
      <c r="E834" t="s">
        <v>74</v>
      </c>
      <c r="F834" t="s">
        <v>15885</v>
      </c>
      <c r="G834" t="s">
        <v>74</v>
      </c>
      <c r="H834" t="s">
        <v>74</v>
      </c>
      <c r="I834" t="s">
        <v>15886</v>
      </c>
      <c r="J834" t="s">
        <v>1008</v>
      </c>
      <c r="K834" t="s">
        <v>74</v>
      </c>
      <c r="L834" t="s">
        <v>74</v>
      </c>
      <c r="M834" t="s">
        <v>78</v>
      </c>
      <c r="N834" t="s">
        <v>79</v>
      </c>
      <c r="O834" t="s">
        <v>74</v>
      </c>
      <c r="P834" t="s">
        <v>74</v>
      </c>
      <c r="Q834" t="s">
        <v>74</v>
      </c>
      <c r="R834" t="s">
        <v>74</v>
      </c>
      <c r="S834" t="s">
        <v>74</v>
      </c>
      <c r="T834" t="s">
        <v>15887</v>
      </c>
      <c r="U834" t="s">
        <v>15888</v>
      </c>
      <c r="V834" t="s">
        <v>15889</v>
      </c>
      <c r="W834" t="s">
        <v>15890</v>
      </c>
      <c r="X834" t="s">
        <v>15891</v>
      </c>
      <c r="Y834" t="s">
        <v>15892</v>
      </c>
      <c r="Z834" t="s">
        <v>15893</v>
      </c>
      <c r="AA834" t="s">
        <v>15894</v>
      </c>
      <c r="AB834" t="s">
        <v>15895</v>
      </c>
      <c r="AC834" t="s">
        <v>15896</v>
      </c>
      <c r="AD834" t="s">
        <v>15897</v>
      </c>
      <c r="AE834" t="s">
        <v>15898</v>
      </c>
      <c r="AF834" t="s">
        <v>74</v>
      </c>
      <c r="AG834">
        <v>35</v>
      </c>
      <c r="AH834">
        <v>37</v>
      </c>
      <c r="AI834">
        <v>43</v>
      </c>
      <c r="AJ834">
        <v>5</v>
      </c>
      <c r="AK834">
        <v>72</v>
      </c>
      <c r="AL834" t="s">
        <v>306</v>
      </c>
      <c r="AM834" t="s">
        <v>307</v>
      </c>
      <c r="AN834" t="s">
        <v>308</v>
      </c>
      <c r="AO834" t="s">
        <v>1021</v>
      </c>
      <c r="AP834" t="s">
        <v>1022</v>
      </c>
      <c r="AQ834" t="s">
        <v>74</v>
      </c>
      <c r="AR834" t="s">
        <v>1023</v>
      </c>
      <c r="AS834" t="s">
        <v>1024</v>
      </c>
      <c r="AT834" t="s">
        <v>15880</v>
      </c>
      <c r="AU834">
        <v>2015</v>
      </c>
      <c r="AV834">
        <v>42</v>
      </c>
      <c r="AW834">
        <v>12</v>
      </c>
      <c r="AX834" t="s">
        <v>74</v>
      </c>
      <c r="AY834" t="s">
        <v>74</v>
      </c>
      <c r="AZ834" t="s">
        <v>74</v>
      </c>
      <c r="BA834" t="s">
        <v>74</v>
      </c>
      <c r="BB834">
        <v>4862</v>
      </c>
      <c r="BC834">
        <v>4868</v>
      </c>
      <c r="BD834" t="s">
        <v>74</v>
      </c>
      <c r="BE834" t="s">
        <v>15899</v>
      </c>
      <c r="BF834" t="str">
        <f>HYPERLINK("http://dx.doi.org/10.1002/2015GL063861","http://dx.doi.org/10.1002/2015GL063861")</f>
        <v>http://dx.doi.org/10.1002/2015GL063861</v>
      </c>
      <c r="BG834" t="s">
        <v>74</v>
      </c>
      <c r="BH834" t="s">
        <v>74</v>
      </c>
      <c r="BI834">
        <v>7</v>
      </c>
      <c r="BJ834" t="s">
        <v>314</v>
      </c>
      <c r="BK834" t="s">
        <v>101</v>
      </c>
      <c r="BL834" t="s">
        <v>315</v>
      </c>
      <c r="BM834" t="s">
        <v>15882</v>
      </c>
      <c r="BN834" t="s">
        <v>74</v>
      </c>
      <c r="BO834" t="s">
        <v>162</v>
      </c>
      <c r="BP834" t="s">
        <v>74</v>
      </c>
      <c r="BQ834" t="s">
        <v>74</v>
      </c>
      <c r="BR834" t="s">
        <v>103</v>
      </c>
      <c r="BS834" t="s">
        <v>15900</v>
      </c>
      <c r="BT834" t="str">
        <f>HYPERLINK("https%3A%2F%2Fwww.webofscience.com%2Fwos%2Fwoscc%2Ffull-record%2FWOS:000358002500028","View Full Record in Web of Science")</f>
        <v>View Full Record in Web of Science</v>
      </c>
    </row>
    <row r="835" spans="1:72" x14ac:dyDescent="0.15">
      <c r="A835" t="s">
        <v>72</v>
      </c>
      <c r="B835" t="s">
        <v>15901</v>
      </c>
      <c r="C835" t="s">
        <v>74</v>
      </c>
      <c r="D835" t="s">
        <v>74</v>
      </c>
      <c r="E835" t="s">
        <v>74</v>
      </c>
      <c r="F835" t="s">
        <v>15902</v>
      </c>
      <c r="G835" t="s">
        <v>74</v>
      </c>
      <c r="H835" t="s">
        <v>74</v>
      </c>
      <c r="I835" t="s">
        <v>15903</v>
      </c>
      <c r="J835" t="s">
        <v>1008</v>
      </c>
      <c r="K835" t="s">
        <v>74</v>
      </c>
      <c r="L835" t="s">
        <v>74</v>
      </c>
      <c r="M835" t="s">
        <v>78</v>
      </c>
      <c r="N835" t="s">
        <v>79</v>
      </c>
      <c r="O835" t="s">
        <v>74</v>
      </c>
      <c r="P835" t="s">
        <v>74</v>
      </c>
      <c r="Q835" t="s">
        <v>74</v>
      </c>
      <c r="R835" t="s">
        <v>74</v>
      </c>
      <c r="S835" t="s">
        <v>74</v>
      </c>
      <c r="T835" t="s">
        <v>15904</v>
      </c>
      <c r="U835" t="s">
        <v>15905</v>
      </c>
      <c r="V835" t="s">
        <v>15906</v>
      </c>
      <c r="W835" t="s">
        <v>15907</v>
      </c>
      <c r="X835" t="s">
        <v>15908</v>
      </c>
      <c r="Y835" t="s">
        <v>15909</v>
      </c>
      <c r="Z835" t="s">
        <v>15910</v>
      </c>
      <c r="AA835" t="s">
        <v>15911</v>
      </c>
      <c r="AB835" t="s">
        <v>15912</v>
      </c>
      <c r="AC835" t="s">
        <v>15913</v>
      </c>
      <c r="AD835" t="s">
        <v>15914</v>
      </c>
      <c r="AE835" t="s">
        <v>15915</v>
      </c>
      <c r="AF835" t="s">
        <v>74</v>
      </c>
      <c r="AG835">
        <v>46</v>
      </c>
      <c r="AH835">
        <v>38</v>
      </c>
      <c r="AI835">
        <v>40</v>
      </c>
      <c r="AJ835">
        <v>0</v>
      </c>
      <c r="AK835">
        <v>25</v>
      </c>
      <c r="AL835" t="s">
        <v>306</v>
      </c>
      <c r="AM835" t="s">
        <v>307</v>
      </c>
      <c r="AN835" t="s">
        <v>308</v>
      </c>
      <c r="AO835" t="s">
        <v>1021</v>
      </c>
      <c r="AP835" t="s">
        <v>1022</v>
      </c>
      <c r="AQ835" t="s">
        <v>74</v>
      </c>
      <c r="AR835" t="s">
        <v>1023</v>
      </c>
      <c r="AS835" t="s">
        <v>1024</v>
      </c>
      <c r="AT835" t="s">
        <v>15880</v>
      </c>
      <c r="AU835">
        <v>2015</v>
      </c>
      <c r="AV835">
        <v>42</v>
      </c>
      <c r="AW835">
        <v>12</v>
      </c>
      <c r="AX835" t="s">
        <v>74</v>
      </c>
      <c r="AY835" t="s">
        <v>74</v>
      </c>
      <c r="AZ835" t="s">
        <v>74</v>
      </c>
      <c r="BA835" t="s">
        <v>74</v>
      </c>
      <c r="BB835">
        <v>4989</v>
      </c>
      <c r="BC835">
        <v>4997</v>
      </c>
      <c r="BD835" t="s">
        <v>74</v>
      </c>
      <c r="BE835" t="s">
        <v>15916</v>
      </c>
      <c r="BF835" t="str">
        <f>HYPERLINK("http://dx.doi.org/10.1002/2015GL064314","http://dx.doi.org/10.1002/2015GL064314")</f>
        <v>http://dx.doi.org/10.1002/2015GL064314</v>
      </c>
      <c r="BG835" t="s">
        <v>74</v>
      </c>
      <c r="BH835" t="s">
        <v>74</v>
      </c>
      <c r="BI835">
        <v>9</v>
      </c>
      <c r="BJ835" t="s">
        <v>314</v>
      </c>
      <c r="BK835" t="s">
        <v>101</v>
      </c>
      <c r="BL835" t="s">
        <v>315</v>
      </c>
      <c r="BM835" t="s">
        <v>15882</v>
      </c>
      <c r="BN835" t="s">
        <v>74</v>
      </c>
      <c r="BO835" t="s">
        <v>162</v>
      </c>
      <c r="BP835" t="s">
        <v>74</v>
      </c>
      <c r="BQ835" t="s">
        <v>74</v>
      </c>
      <c r="BR835" t="s">
        <v>103</v>
      </c>
      <c r="BS835" t="s">
        <v>15917</v>
      </c>
      <c r="BT835" t="str">
        <f>HYPERLINK("https%3A%2F%2Fwww.webofscience.com%2Fwos%2Fwoscc%2Ffull-record%2FWOS:000358002500043","View Full Record in Web of Science")</f>
        <v>View Full Record in Web of Science</v>
      </c>
    </row>
    <row r="836" spans="1:72" x14ac:dyDescent="0.15">
      <c r="A836" t="s">
        <v>72</v>
      </c>
      <c r="B836" t="s">
        <v>15918</v>
      </c>
      <c r="C836" t="s">
        <v>74</v>
      </c>
      <c r="D836" t="s">
        <v>74</v>
      </c>
      <c r="E836" t="s">
        <v>74</v>
      </c>
      <c r="F836" t="s">
        <v>15919</v>
      </c>
      <c r="G836" t="s">
        <v>74</v>
      </c>
      <c r="H836" t="s">
        <v>74</v>
      </c>
      <c r="I836" t="s">
        <v>15920</v>
      </c>
      <c r="J836" t="s">
        <v>1008</v>
      </c>
      <c r="K836" t="s">
        <v>74</v>
      </c>
      <c r="L836" t="s">
        <v>74</v>
      </c>
      <c r="M836" t="s">
        <v>78</v>
      </c>
      <c r="N836" t="s">
        <v>79</v>
      </c>
      <c r="O836" t="s">
        <v>74</v>
      </c>
      <c r="P836" t="s">
        <v>74</v>
      </c>
      <c r="Q836" t="s">
        <v>74</v>
      </c>
      <c r="R836" t="s">
        <v>74</v>
      </c>
      <c r="S836" t="s">
        <v>74</v>
      </c>
      <c r="T836" t="s">
        <v>15921</v>
      </c>
      <c r="U836" t="s">
        <v>15922</v>
      </c>
      <c r="V836" t="s">
        <v>15923</v>
      </c>
      <c r="W836" t="s">
        <v>15924</v>
      </c>
      <c r="X836" t="s">
        <v>15925</v>
      </c>
      <c r="Y836" t="s">
        <v>15926</v>
      </c>
      <c r="Z836" t="s">
        <v>15927</v>
      </c>
      <c r="AA836" t="s">
        <v>15928</v>
      </c>
      <c r="AB836" t="s">
        <v>15929</v>
      </c>
      <c r="AC836" t="s">
        <v>15930</v>
      </c>
      <c r="AD836" t="s">
        <v>15931</v>
      </c>
      <c r="AE836" t="s">
        <v>15932</v>
      </c>
      <c r="AF836" t="s">
        <v>74</v>
      </c>
      <c r="AG836">
        <v>34</v>
      </c>
      <c r="AH836">
        <v>9</v>
      </c>
      <c r="AI836">
        <v>9</v>
      </c>
      <c r="AJ836">
        <v>15</v>
      </c>
      <c r="AK836">
        <v>61</v>
      </c>
      <c r="AL836" t="s">
        <v>306</v>
      </c>
      <c r="AM836" t="s">
        <v>307</v>
      </c>
      <c r="AN836" t="s">
        <v>308</v>
      </c>
      <c r="AO836" t="s">
        <v>1021</v>
      </c>
      <c r="AP836" t="s">
        <v>1022</v>
      </c>
      <c r="AQ836" t="s">
        <v>74</v>
      </c>
      <c r="AR836" t="s">
        <v>1023</v>
      </c>
      <c r="AS836" t="s">
        <v>1024</v>
      </c>
      <c r="AT836" t="s">
        <v>15880</v>
      </c>
      <c r="AU836">
        <v>2015</v>
      </c>
      <c r="AV836">
        <v>42</v>
      </c>
      <c r="AW836">
        <v>12</v>
      </c>
      <c r="AX836" t="s">
        <v>74</v>
      </c>
      <c r="AY836" t="s">
        <v>74</v>
      </c>
      <c r="AZ836" t="s">
        <v>74</v>
      </c>
      <c r="BA836" t="s">
        <v>74</v>
      </c>
      <c r="BB836">
        <v>4940</v>
      </c>
      <c r="BC836">
        <v>4948</v>
      </c>
      <c r="BD836" t="s">
        <v>74</v>
      </c>
      <c r="BE836" t="s">
        <v>15933</v>
      </c>
      <c r="BF836" t="str">
        <f>HYPERLINK("http://dx.doi.org/10.1002/2015GL064156","http://dx.doi.org/10.1002/2015GL064156")</f>
        <v>http://dx.doi.org/10.1002/2015GL064156</v>
      </c>
      <c r="BG836" t="s">
        <v>74</v>
      </c>
      <c r="BH836" t="s">
        <v>74</v>
      </c>
      <c r="BI836">
        <v>9</v>
      </c>
      <c r="BJ836" t="s">
        <v>314</v>
      </c>
      <c r="BK836" t="s">
        <v>101</v>
      </c>
      <c r="BL836" t="s">
        <v>315</v>
      </c>
      <c r="BM836" t="s">
        <v>15882</v>
      </c>
      <c r="BN836" t="s">
        <v>74</v>
      </c>
      <c r="BO836" t="s">
        <v>455</v>
      </c>
      <c r="BP836" t="s">
        <v>74</v>
      </c>
      <c r="BQ836" t="s">
        <v>74</v>
      </c>
      <c r="BR836" t="s">
        <v>103</v>
      </c>
      <c r="BS836" t="s">
        <v>15934</v>
      </c>
      <c r="BT836" t="str">
        <f>HYPERLINK("https%3A%2F%2Fwww.webofscience.com%2Fwos%2Fwoscc%2Ffull-record%2FWOS:000358002500037","View Full Record in Web of Science")</f>
        <v>View Full Record in Web of Science</v>
      </c>
    </row>
    <row r="837" spans="1:72" x14ac:dyDescent="0.15">
      <c r="A837" t="s">
        <v>72</v>
      </c>
      <c r="B837" t="s">
        <v>15935</v>
      </c>
      <c r="C837" t="s">
        <v>74</v>
      </c>
      <c r="D837" t="s">
        <v>74</v>
      </c>
      <c r="E837" t="s">
        <v>74</v>
      </c>
      <c r="F837" t="s">
        <v>15936</v>
      </c>
      <c r="G837" t="s">
        <v>74</v>
      </c>
      <c r="H837" t="s">
        <v>74</v>
      </c>
      <c r="I837" t="s">
        <v>15937</v>
      </c>
      <c r="J837" t="s">
        <v>1008</v>
      </c>
      <c r="K837" t="s">
        <v>74</v>
      </c>
      <c r="L837" t="s">
        <v>74</v>
      </c>
      <c r="M837" t="s">
        <v>78</v>
      </c>
      <c r="N837" t="s">
        <v>79</v>
      </c>
      <c r="O837" t="s">
        <v>74</v>
      </c>
      <c r="P837" t="s">
        <v>74</v>
      </c>
      <c r="Q837" t="s">
        <v>74</v>
      </c>
      <c r="R837" t="s">
        <v>74</v>
      </c>
      <c r="S837" t="s">
        <v>74</v>
      </c>
      <c r="T837" t="s">
        <v>15938</v>
      </c>
      <c r="U837" t="s">
        <v>15939</v>
      </c>
      <c r="V837" t="s">
        <v>15940</v>
      </c>
      <c r="W837" t="s">
        <v>15941</v>
      </c>
      <c r="X837" t="s">
        <v>15942</v>
      </c>
      <c r="Y837" t="s">
        <v>15943</v>
      </c>
      <c r="Z837" t="s">
        <v>15944</v>
      </c>
      <c r="AA837" t="s">
        <v>15945</v>
      </c>
      <c r="AB837" t="s">
        <v>15946</v>
      </c>
      <c r="AC837" t="s">
        <v>15947</v>
      </c>
      <c r="AD837" t="s">
        <v>15948</v>
      </c>
      <c r="AE837" t="s">
        <v>15949</v>
      </c>
      <c r="AF837" t="s">
        <v>74</v>
      </c>
      <c r="AG837">
        <v>55</v>
      </c>
      <c r="AH837">
        <v>257</v>
      </c>
      <c r="AI837">
        <v>296</v>
      </c>
      <c r="AJ837">
        <v>65</v>
      </c>
      <c r="AK837">
        <v>416</v>
      </c>
      <c r="AL837" t="s">
        <v>306</v>
      </c>
      <c r="AM837" t="s">
        <v>307</v>
      </c>
      <c r="AN837" t="s">
        <v>308</v>
      </c>
      <c r="AO837" t="s">
        <v>1021</v>
      </c>
      <c r="AP837" t="s">
        <v>1022</v>
      </c>
      <c r="AQ837" t="s">
        <v>74</v>
      </c>
      <c r="AR837" t="s">
        <v>1023</v>
      </c>
      <c r="AS837" t="s">
        <v>1024</v>
      </c>
      <c r="AT837" t="s">
        <v>15880</v>
      </c>
      <c r="AU837">
        <v>2015</v>
      </c>
      <c r="AV837">
        <v>42</v>
      </c>
      <c r="AW837">
        <v>12</v>
      </c>
      <c r="AX837" t="s">
        <v>74</v>
      </c>
      <c r="AY837" t="s">
        <v>74</v>
      </c>
      <c r="AZ837" t="s">
        <v>74</v>
      </c>
      <c r="BA837" t="s">
        <v>74</v>
      </c>
      <c r="BB837">
        <v>4981</v>
      </c>
      <c r="BC837">
        <v>4988</v>
      </c>
      <c r="BD837" t="s">
        <v>74</v>
      </c>
      <c r="BE837" t="s">
        <v>15950</v>
      </c>
      <c r="BF837" t="str">
        <f>HYPERLINK("http://dx.doi.org/10.1002/2015GL064097","http://dx.doi.org/10.1002/2015GL064097")</f>
        <v>http://dx.doi.org/10.1002/2015GL064097</v>
      </c>
      <c r="BG837" t="s">
        <v>74</v>
      </c>
      <c r="BH837" t="s">
        <v>74</v>
      </c>
      <c r="BI837">
        <v>8</v>
      </c>
      <c r="BJ837" t="s">
        <v>314</v>
      </c>
      <c r="BK837" t="s">
        <v>101</v>
      </c>
      <c r="BL837" t="s">
        <v>315</v>
      </c>
      <c r="BM837" t="s">
        <v>15882</v>
      </c>
      <c r="BN837" t="s">
        <v>74</v>
      </c>
      <c r="BO837" t="s">
        <v>4189</v>
      </c>
      <c r="BP837" t="s">
        <v>1736</v>
      </c>
      <c r="BQ837" t="s">
        <v>1737</v>
      </c>
      <c r="BR837" t="s">
        <v>103</v>
      </c>
      <c r="BS837" t="s">
        <v>15951</v>
      </c>
      <c r="BT837" t="str">
        <f>HYPERLINK("https%3A%2F%2Fwww.webofscience.com%2Fwos%2Fwoscc%2Ffull-record%2FWOS:000358002500042","View Full Record in Web of Science")</f>
        <v>View Full Record in Web of Science</v>
      </c>
    </row>
    <row r="838" spans="1:72" x14ac:dyDescent="0.15">
      <c r="A838" t="s">
        <v>72</v>
      </c>
      <c r="B838" t="s">
        <v>15952</v>
      </c>
      <c r="C838" t="s">
        <v>74</v>
      </c>
      <c r="D838" t="s">
        <v>74</v>
      </c>
      <c r="E838" t="s">
        <v>74</v>
      </c>
      <c r="F838" t="s">
        <v>15953</v>
      </c>
      <c r="G838" t="s">
        <v>74</v>
      </c>
      <c r="H838" t="s">
        <v>74</v>
      </c>
      <c r="I838" t="s">
        <v>15954</v>
      </c>
      <c r="J838" t="s">
        <v>1287</v>
      </c>
      <c r="K838" t="s">
        <v>74</v>
      </c>
      <c r="L838" t="s">
        <v>74</v>
      </c>
      <c r="M838" t="s">
        <v>78</v>
      </c>
      <c r="N838" t="s">
        <v>79</v>
      </c>
      <c r="O838" t="s">
        <v>74</v>
      </c>
      <c r="P838" t="s">
        <v>74</v>
      </c>
      <c r="Q838" t="s">
        <v>74</v>
      </c>
      <c r="R838" t="s">
        <v>74</v>
      </c>
      <c r="S838" t="s">
        <v>74</v>
      </c>
      <c r="T838" t="s">
        <v>74</v>
      </c>
      <c r="U838" t="s">
        <v>15955</v>
      </c>
      <c r="V838" t="s">
        <v>15956</v>
      </c>
      <c r="W838" t="s">
        <v>15957</v>
      </c>
      <c r="X838" t="s">
        <v>15958</v>
      </c>
      <c r="Y838" t="s">
        <v>15959</v>
      </c>
      <c r="Z838" t="s">
        <v>2455</v>
      </c>
      <c r="AA838" t="s">
        <v>15960</v>
      </c>
      <c r="AB838" t="s">
        <v>15961</v>
      </c>
      <c r="AC838" t="s">
        <v>15962</v>
      </c>
      <c r="AD838" t="s">
        <v>15963</v>
      </c>
      <c r="AE838" t="s">
        <v>15964</v>
      </c>
      <c r="AF838" t="s">
        <v>74</v>
      </c>
      <c r="AG838">
        <v>43</v>
      </c>
      <c r="AH838">
        <v>25</v>
      </c>
      <c r="AI838">
        <v>27</v>
      </c>
      <c r="AJ838">
        <v>0</v>
      </c>
      <c r="AK838">
        <v>17</v>
      </c>
      <c r="AL838" t="s">
        <v>523</v>
      </c>
      <c r="AM838" t="s">
        <v>524</v>
      </c>
      <c r="AN838" t="s">
        <v>525</v>
      </c>
      <c r="AO838" t="s">
        <v>1299</v>
      </c>
      <c r="AP838" t="s">
        <v>74</v>
      </c>
      <c r="AQ838" t="s">
        <v>74</v>
      </c>
      <c r="AR838" t="s">
        <v>1300</v>
      </c>
      <c r="AS838" t="s">
        <v>1301</v>
      </c>
      <c r="AT838" t="s">
        <v>15965</v>
      </c>
      <c r="AU838">
        <v>2015</v>
      </c>
      <c r="AV838">
        <v>5</v>
      </c>
      <c r="AW838" t="s">
        <v>74</v>
      </c>
      <c r="AX838" t="s">
        <v>74</v>
      </c>
      <c r="AY838" t="s">
        <v>74</v>
      </c>
      <c r="AZ838" t="s">
        <v>74</v>
      </c>
      <c r="BA838" t="s">
        <v>74</v>
      </c>
      <c r="BB838" t="s">
        <v>74</v>
      </c>
      <c r="BC838" t="s">
        <v>74</v>
      </c>
      <c r="BD838">
        <v>11673</v>
      </c>
      <c r="BE838" t="s">
        <v>15966</v>
      </c>
      <c r="BF838" t="str">
        <f>HYPERLINK("http://dx.doi.org/10.1038/srep11673","http://dx.doi.org/10.1038/srep11673")</f>
        <v>http://dx.doi.org/10.1038/srep11673</v>
      </c>
      <c r="BG838" t="s">
        <v>74</v>
      </c>
      <c r="BH838" t="s">
        <v>74</v>
      </c>
      <c r="BI838">
        <v>10</v>
      </c>
      <c r="BJ838" t="s">
        <v>530</v>
      </c>
      <c r="BK838" t="s">
        <v>101</v>
      </c>
      <c r="BL838" t="s">
        <v>531</v>
      </c>
      <c r="BM838" t="s">
        <v>15967</v>
      </c>
      <c r="BN838">
        <v>26115344</v>
      </c>
      <c r="BO838" t="s">
        <v>533</v>
      </c>
      <c r="BP838" t="s">
        <v>74</v>
      </c>
      <c r="BQ838" t="s">
        <v>74</v>
      </c>
      <c r="BR838" t="s">
        <v>103</v>
      </c>
      <c r="BS838" t="s">
        <v>15968</v>
      </c>
      <c r="BT838" t="str">
        <f>HYPERLINK("https%3A%2F%2Fwww.webofscience.com%2Fwos%2Fwoscc%2Ffull-record%2FWOS:000357001900002","View Full Record in Web of Science")</f>
        <v>View Full Record in Web of Science</v>
      </c>
    </row>
    <row r="839" spans="1:72" x14ac:dyDescent="0.15">
      <c r="A839" t="s">
        <v>72</v>
      </c>
      <c r="B839" t="s">
        <v>15969</v>
      </c>
      <c r="C839" t="s">
        <v>74</v>
      </c>
      <c r="D839" t="s">
        <v>74</v>
      </c>
      <c r="E839" t="s">
        <v>74</v>
      </c>
      <c r="F839" t="s">
        <v>15970</v>
      </c>
      <c r="G839" t="s">
        <v>74</v>
      </c>
      <c r="H839" t="s">
        <v>74</v>
      </c>
      <c r="I839" t="s">
        <v>15971</v>
      </c>
      <c r="J839" t="s">
        <v>1287</v>
      </c>
      <c r="K839" t="s">
        <v>74</v>
      </c>
      <c r="L839" t="s">
        <v>74</v>
      </c>
      <c r="M839" t="s">
        <v>78</v>
      </c>
      <c r="N839" t="s">
        <v>79</v>
      </c>
      <c r="O839" t="s">
        <v>74</v>
      </c>
      <c r="P839" t="s">
        <v>74</v>
      </c>
      <c r="Q839" t="s">
        <v>74</v>
      </c>
      <c r="R839" t="s">
        <v>74</v>
      </c>
      <c r="S839" t="s">
        <v>74</v>
      </c>
      <c r="T839" t="s">
        <v>74</v>
      </c>
      <c r="U839" t="s">
        <v>15972</v>
      </c>
      <c r="V839" t="s">
        <v>15973</v>
      </c>
      <c r="W839" t="s">
        <v>15974</v>
      </c>
      <c r="X839" t="s">
        <v>15975</v>
      </c>
      <c r="Y839" t="s">
        <v>15976</v>
      </c>
      <c r="Z839" t="s">
        <v>15977</v>
      </c>
      <c r="AA839" t="s">
        <v>74</v>
      </c>
      <c r="AB839" t="s">
        <v>74</v>
      </c>
      <c r="AC839" t="s">
        <v>15978</v>
      </c>
      <c r="AD839" t="s">
        <v>15979</v>
      </c>
      <c r="AE839" t="s">
        <v>15980</v>
      </c>
      <c r="AF839" t="s">
        <v>74</v>
      </c>
      <c r="AG839">
        <v>58</v>
      </c>
      <c r="AH839">
        <v>18</v>
      </c>
      <c r="AI839">
        <v>21</v>
      </c>
      <c r="AJ839">
        <v>3</v>
      </c>
      <c r="AK839">
        <v>109</v>
      </c>
      <c r="AL839" t="s">
        <v>523</v>
      </c>
      <c r="AM839" t="s">
        <v>524</v>
      </c>
      <c r="AN839" t="s">
        <v>525</v>
      </c>
      <c r="AO839" t="s">
        <v>1299</v>
      </c>
      <c r="AP839" t="s">
        <v>74</v>
      </c>
      <c r="AQ839" t="s">
        <v>74</v>
      </c>
      <c r="AR839" t="s">
        <v>1300</v>
      </c>
      <c r="AS839" t="s">
        <v>1301</v>
      </c>
      <c r="AT839" t="s">
        <v>15965</v>
      </c>
      <c r="AU839">
        <v>2015</v>
      </c>
      <c r="AV839">
        <v>5</v>
      </c>
      <c r="AW839" t="s">
        <v>74</v>
      </c>
      <c r="AX839" t="s">
        <v>74</v>
      </c>
      <c r="AY839" t="s">
        <v>74</v>
      </c>
      <c r="AZ839" t="s">
        <v>74</v>
      </c>
      <c r="BA839" t="s">
        <v>74</v>
      </c>
      <c r="BB839" t="s">
        <v>74</v>
      </c>
      <c r="BC839" t="s">
        <v>74</v>
      </c>
      <c r="BD839">
        <v>11530</v>
      </c>
      <c r="BE839" t="s">
        <v>15981</v>
      </c>
      <c r="BF839" t="str">
        <f>HYPERLINK("http://dx.doi.org/10.1038/srep11530","http://dx.doi.org/10.1038/srep11530")</f>
        <v>http://dx.doi.org/10.1038/srep11530</v>
      </c>
      <c r="BG839" t="s">
        <v>74</v>
      </c>
      <c r="BH839" t="s">
        <v>74</v>
      </c>
      <c r="BI839">
        <v>10</v>
      </c>
      <c r="BJ839" t="s">
        <v>530</v>
      </c>
      <c r="BK839" t="s">
        <v>101</v>
      </c>
      <c r="BL839" t="s">
        <v>531</v>
      </c>
      <c r="BM839" t="s">
        <v>15982</v>
      </c>
      <c r="BN839">
        <v>26113152</v>
      </c>
      <c r="BO839" t="s">
        <v>533</v>
      </c>
      <c r="BP839" t="s">
        <v>74</v>
      </c>
      <c r="BQ839" t="s">
        <v>74</v>
      </c>
      <c r="BR839" t="s">
        <v>103</v>
      </c>
      <c r="BS839" t="s">
        <v>15983</v>
      </c>
      <c r="BT839" t="str">
        <f>HYPERLINK("https%3A%2F%2Fwww.webofscience.com%2Fwos%2Fwoscc%2Ffull-record%2FWOS:000356926000001","View Full Record in Web of Science")</f>
        <v>View Full Record in Web of Science</v>
      </c>
    </row>
    <row r="840" spans="1:72" x14ac:dyDescent="0.15">
      <c r="A840" t="s">
        <v>72</v>
      </c>
      <c r="B840" t="s">
        <v>15984</v>
      </c>
      <c r="C840" t="s">
        <v>74</v>
      </c>
      <c r="D840" t="s">
        <v>74</v>
      </c>
      <c r="E840" t="s">
        <v>74</v>
      </c>
      <c r="F840" t="s">
        <v>15985</v>
      </c>
      <c r="G840" t="s">
        <v>74</v>
      </c>
      <c r="H840" t="s">
        <v>74</v>
      </c>
      <c r="I840" t="s">
        <v>15986</v>
      </c>
      <c r="J840" t="s">
        <v>1078</v>
      </c>
      <c r="K840" t="s">
        <v>74</v>
      </c>
      <c r="L840" t="s">
        <v>74</v>
      </c>
      <c r="M840" t="s">
        <v>78</v>
      </c>
      <c r="N840" t="s">
        <v>79</v>
      </c>
      <c r="O840" t="s">
        <v>74</v>
      </c>
      <c r="P840" t="s">
        <v>74</v>
      </c>
      <c r="Q840" t="s">
        <v>74</v>
      </c>
      <c r="R840" t="s">
        <v>74</v>
      </c>
      <c r="S840" t="s">
        <v>74</v>
      </c>
      <c r="T840" t="s">
        <v>74</v>
      </c>
      <c r="U840" t="s">
        <v>15987</v>
      </c>
      <c r="V840" t="s">
        <v>15988</v>
      </c>
      <c r="W840" t="s">
        <v>15989</v>
      </c>
      <c r="X840" t="s">
        <v>15990</v>
      </c>
      <c r="Y840" t="s">
        <v>15991</v>
      </c>
      <c r="Z840" t="s">
        <v>15992</v>
      </c>
      <c r="AA840" t="s">
        <v>74</v>
      </c>
      <c r="AB840" t="s">
        <v>15993</v>
      </c>
      <c r="AC840" t="s">
        <v>15994</v>
      </c>
      <c r="AD840" t="s">
        <v>15995</v>
      </c>
      <c r="AE840" t="s">
        <v>15996</v>
      </c>
      <c r="AF840" t="s">
        <v>74</v>
      </c>
      <c r="AG840">
        <v>52</v>
      </c>
      <c r="AH840">
        <v>8</v>
      </c>
      <c r="AI840">
        <v>8</v>
      </c>
      <c r="AJ840">
        <v>0</v>
      </c>
      <c r="AK840">
        <v>12</v>
      </c>
      <c r="AL840" t="s">
        <v>1089</v>
      </c>
      <c r="AM840" t="s">
        <v>1090</v>
      </c>
      <c r="AN840" t="s">
        <v>1091</v>
      </c>
      <c r="AO840" t="s">
        <v>1092</v>
      </c>
      <c r="AP840" t="s">
        <v>74</v>
      </c>
      <c r="AQ840" t="s">
        <v>74</v>
      </c>
      <c r="AR840" t="s">
        <v>1078</v>
      </c>
      <c r="AS840" t="s">
        <v>1093</v>
      </c>
      <c r="AT840" t="s">
        <v>15997</v>
      </c>
      <c r="AU840">
        <v>2015</v>
      </c>
      <c r="AV840">
        <v>10</v>
      </c>
      <c r="AW840">
        <v>6</v>
      </c>
      <c r="AX840" t="s">
        <v>74</v>
      </c>
      <c r="AY840" t="s">
        <v>74</v>
      </c>
      <c r="AZ840" t="s">
        <v>74</v>
      </c>
      <c r="BA840" t="s">
        <v>74</v>
      </c>
      <c r="BB840" t="s">
        <v>74</v>
      </c>
      <c r="BC840" t="s">
        <v>74</v>
      </c>
      <c r="BD840" t="s">
        <v>15998</v>
      </c>
      <c r="BE840" t="s">
        <v>15999</v>
      </c>
      <c r="BF840" t="str">
        <f>HYPERLINK("http://dx.doi.org/10.1371/journal.pone.0131246","http://dx.doi.org/10.1371/journal.pone.0131246")</f>
        <v>http://dx.doi.org/10.1371/journal.pone.0131246</v>
      </c>
      <c r="BG840" t="s">
        <v>74</v>
      </c>
      <c r="BH840" t="s">
        <v>74</v>
      </c>
      <c r="BI840">
        <v>22</v>
      </c>
      <c r="BJ840" t="s">
        <v>530</v>
      </c>
      <c r="BK840" t="s">
        <v>101</v>
      </c>
      <c r="BL840" t="s">
        <v>531</v>
      </c>
      <c r="BM840" t="s">
        <v>16000</v>
      </c>
      <c r="BN840">
        <v>26110822</v>
      </c>
      <c r="BO840" t="s">
        <v>1097</v>
      </c>
      <c r="BP840" t="s">
        <v>74</v>
      </c>
      <c r="BQ840" t="s">
        <v>74</v>
      </c>
      <c r="BR840" t="s">
        <v>103</v>
      </c>
      <c r="BS840" t="s">
        <v>16001</v>
      </c>
      <c r="BT840" t="str">
        <f>HYPERLINK("https%3A%2F%2Fwww.webofscience.com%2Fwos%2Fwoscc%2Ffull-record%2FWOS:000356933800136","View Full Record in Web of Science")</f>
        <v>View Full Record in Web of Science</v>
      </c>
    </row>
    <row r="841" spans="1:72" x14ac:dyDescent="0.15">
      <c r="A841" t="s">
        <v>72</v>
      </c>
      <c r="B841" t="s">
        <v>16002</v>
      </c>
      <c r="C841" t="s">
        <v>74</v>
      </c>
      <c r="D841" t="s">
        <v>74</v>
      </c>
      <c r="E841" t="s">
        <v>74</v>
      </c>
      <c r="F841" t="s">
        <v>16003</v>
      </c>
      <c r="G841" t="s">
        <v>74</v>
      </c>
      <c r="H841" t="s">
        <v>74</v>
      </c>
      <c r="I841" t="s">
        <v>16004</v>
      </c>
      <c r="J841" t="s">
        <v>1336</v>
      </c>
      <c r="K841" t="s">
        <v>74</v>
      </c>
      <c r="L841" t="s">
        <v>74</v>
      </c>
      <c r="M841" t="s">
        <v>78</v>
      </c>
      <c r="N841" t="s">
        <v>581</v>
      </c>
      <c r="O841" t="s">
        <v>74</v>
      </c>
      <c r="P841" t="s">
        <v>74</v>
      </c>
      <c r="Q841" t="s">
        <v>74</v>
      </c>
      <c r="R841" t="s">
        <v>74</v>
      </c>
      <c r="S841" t="s">
        <v>74</v>
      </c>
      <c r="T841" t="s">
        <v>74</v>
      </c>
      <c r="U841" t="s">
        <v>16005</v>
      </c>
      <c r="V841" t="s">
        <v>16006</v>
      </c>
      <c r="W841" t="s">
        <v>16007</v>
      </c>
      <c r="X841" t="s">
        <v>16008</v>
      </c>
      <c r="Y841" t="s">
        <v>16009</v>
      </c>
      <c r="Z841" t="s">
        <v>16010</v>
      </c>
      <c r="AA841" t="s">
        <v>16011</v>
      </c>
      <c r="AB841" t="s">
        <v>16012</v>
      </c>
      <c r="AC841" t="s">
        <v>16013</v>
      </c>
      <c r="AD841" t="s">
        <v>16014</v>
      </c>
      <c r="AE841" t="s">
        <v>16015</v>
      </c>
      <c r="AF841" t="s">
        <v>74</v>
      </c>
      <c r="AG841">
        <v>110</v>
      </c>
      <c r="AH841">
        <v>200</v>
      </c>
      <c r="AI841">
        <v>215</v>
      </c>
      <c r="AJ841">
        <v>5</v>
      </c>
      <c r="AK841">
        <v>225</v>
      </c>
      <c r="AL841" t="s">
        <v>523</v>
      </c>
      <c r="AM841" t="s">
        <v>524</v>
      </c>
      <c r="AN841" t="s">
        <v>525</v>
      </c>
      <c r="AO841" t="s">
        <v>1345</v>
      </c>
      <c r="AP841" t="s">
        <v>1346</v>
      </c>
      <c r="AQ841" t="s">
        <v>74</v>
      </c>
      <c r="AR841" t="s">
        <v>1336</v>
      </c>
      <c r="AS841" t="s">
        <v>1347</v>
      </c>
      <c r="AT841" t="s">
        <v>15997</v>
      </c>
      <c r="AU841">
        <v>2015</v>
      </c>
      <c r="AV841">
        <v>522</v>
      </c>
      <c r="AW841">
        <v>7557</v>
      </c>
      <c r="AX841" t="s">
        <v>74</v>
      </c>
      <c r="AY841" t="s">
        <v>74</v>
      </c>
      <c r="AZ841" t="s">
        <v>74</v>
      </c>
      <c r="BA841" t="s">
        <v>74</v>
      </c>
      <c r="BB841">
        <v>427</v>
      </c>
      <c r="BC841">
        <v>434</v>
      </c>
      <c r="BD841" t="s">
        <v>74</v>
      </c>
      <c r="BE841" t="s">
        <v>16016</v>
      </c>
      <c r="BF841" t="str">
        <f>HYPERLINK("http://dx.doi.org/10.1038/nature14505","http://dx.doi.org/10.1038/nature14505")</f>
        <v>http://dx.doi.org/10.1038/nature14505</v>
      </c>
      <c r="BG841" t="s">
        <v>74</v>
      </c>
      <c r="BH841" t="s">
        <v>74</v>
      </c>
      <c r="BI841">
        <v>8</v>
      </c>
      <c r="BJ841" t="s">
        <v>530</v>
      </c>
      <c r="BK841" t="s">
        <v>101</v>
      </c>
      <c r="BL841" t="s">
        <v>531</v>
      </c>
      <c r="BM841" t="s">
        <v>16017</v>
      </c>
      <c r="BN841">
        <v>26108852</v>
      </c>
      <c r="BO841" t="s">
        <v>290</v>
      </c>
      <c r="BP841" t="s">
        <v>74</v>
      </c>
      <c r="BQ841" t="s">
        <v>74</v>
      </c>
      <c r="BR841" t="s">
        <v>103</v>
      </c>
      <c r="BS841" t="s">
        <v>16018</v>
      </c>
      <c r="BT841" t="str">
        <f>HYPERLINK("https%3A%2F%2Fwww.webofscience.com%2Fwos%2Fwoscc%2Ffull-record%2FWOS:000356782900040","View Full Record in Web of Science")</f>
        <v>View Full Record in Web of Science</v>
      </c>
    </row>
    <row r="842" spans="1:72" x14ac:dyDescent="0.15">
      <c r="A842" t="s">
        <v>72</v>
      </c>
      <c r="B842" t="s">
        <v>16019</v>
      </c>
      <c r="C842" t="s">
        <v>74</v>
      </c>
      <c r="D842" t="s">
        <v>74</v>
      </c>
      <c r="E842" t="s">
        <v>74</v>
      </c>
      <c r="F842" t="s">
        <v>16020</v>
      </c>
      <c r="G842" t="s">
        <v>74</v>
      </c>
      <c r="H842" t="s">
        <v>74</v>
      </c>
      <c r="I842" t="s">
        <v>16021</v>
      </c>
      <c r="J842" t="s">
        <v>1078</v>
      </c>
      <c r="K842" t="s">
        <v>74</v>
      </c>
      <c r="L842" t="s">
        <v>74</v>
      </c>
      <c r="M842" t="s">
        <v>78</v>
      </c>
      <c r="N842" t="s">
        <v>79</v>
      </c>
      <c r="O842" t="s">
        <v>74</v>
      </c>
      <c r="P842" t="s">
        <v>74</v>
      </c>
      <c r="Q842" t="s">
        <v>74</v>
      </c>
      <c r="R842" t="s">
        <v>74</v>
      </c>
      <c r="S842" t="s">
        <v>74</v>
      </c>
      <c r="T842" t="s">
        <v>74</v>
      </c>
      <c r="U842" t="s">
        <v>16022</v>
      </c>
      <c r="V842" t="s">
        <v>16023</v>
      </c>
      <c r="W842" t="s">
        <v>16024</v>
      </c>
      <c r="X842" t="s">
        <v>16025</v>
      </c>
      <c r="Y842" t="s">
        <v>16026</v>
      </c>
      <c r="Z842" t="s">
        <v>16027</v>
      </c>
      <c r="AA842" t="s">
        <v>16028</v>
      </c>
      <c r="AB842" t="s">
        <v>16029</v>
      </c>
      <c r="AC842" t="s">
        <v>16030</v>
      </c>
      <c r="AD842" t="s">
        <v>16031</v>
      </c>
      <c r="AE842" t="s">
        <v>16032</v>
      </c>
      <c r="AF842" t="s">
        <v>74</v>
      </c>
      <c r="AG842">
        <v>45</v>
      </c>
      <c r="AH842">
        <v>33</v>
      </c>
      <c r="AI842">
        <v>35</v>
      </c>
      <c r="AJ842">
        <v>4</v>
      </c>
      <c r="AK842">
        <v>81</v>
      </c>
      <c r="AL842" t="s">
        <v>1089</v>
      </c>
      <c r="AM842" t="s">
        <v>1090</v>
      </c>
      <c r="AN842" t="s">
        <v>1091</v>
      </c>
      <c r="AO842" t="s">
        <v>1092</v>
      </c>
      <c r="AP842" t="s">
        <v>74</v>
      </c>
      <c r="AQ842" t="s">
        <v>74</v>
      </c>
      <c r="AR842" t="s">
        <v>1078</v>
      </c>
      <c r="AS842" t="s">
        <v>1093</v>
      </c>
      <c r="AT842" t="s">
        <v>16033</v>
      </c>
      <c r="AU842">
        <v>2015</v>
      </c>
      <c r="AV842">
        <v>10</v>
      </c>
      <c r="AW842">
        <v>6</v>
      </c>
      <c r="AX842" t="s">
        <v>74</v>
      </c>
      <c r="AY842" t="s">
        <v>74</v>
      </c>
      <c r="AZ842" t="s">
        <v>74</v>
      </c>
      <c r="BA842" t="s">
        <v>74</v>
      </c>
      <c r="BB842" t="s">
        <v>74</v>
      </c>
      <c r="BC842" t="s">
        <v>74</v>
      </c>
      <c r="BD842" t="s">
        <v>16034</v>
      </c>
      <c r="BE842" t="s">
        <v>16035</v>
      </c>
      <c r="BF842" t="str">
        <f>HYPERLINK("http://dx.doi.org/10.1371/journal.pone.0127621","http://dx.doi.org/10.1371/journal.pone.0127621")</f>
        <v>http://dx.doi.org/10.1371/journal.pone.0127621</v>
      </c>
      <c r="BG842" t="s">
        <v>74</v>
      </c>
      <c r="BH842" t="s">
        <v>74</v>
      </c>
      <c r="BI842">
        <v>20</v>
      </c>
      <c r="BJ842" t="s">
        <v>530</v>
      </c>
      <c r="BK842" t="s">
        <v>101</v>
      </c>
      <c r="BL842" t="s">
        <v>531</v>
      </c>
      <c r="BM842" t="s">
        <v>16036</v>
      </c>
      <c r="BN842">
        <v>26107940</v>
      </c>
      <c r="BO842" t="s">
        <v>5479</v>
      </c>
      <c r="BP842" t="s">
        <v>74</v>
      </c>
      <c r="BQ842" t="s">
        <v>74</v>
      </c>
      <c r="BR842" t="s">
        <v>103</v>
      </c>
      <c r="BS842" t="s">
        <v>16037</v>
      </c>
      <c r="BT842" t="str">
        <f>HYPERLINK("https%3A%2F%2Fwww.webofscience.com%2Fwos%2Fwoscc%2Ffull-record%2FWOS:000356932500011","View Full Record in Web of Science")</f>
        <v>View Full Record in Web of Science</v>
      </c>
    </row>
    <row r="843" spans="1:72" x14ac:dyDescent="0.15">
      <c r="A843" t="s">
        <v>72</v>
      </c>
      <c r="B843" t="s">
        <v>16038</v>
      </c>
      <c r="C843" t="s">
        <v>74</v>
      </c>
      <c r="D843" t="s">
        <v>74</v>
      </c>
      <c r="E843" t="s">
        <v>74</v>
      </c>
      <c r="F843" t="s">
        <v>16039</v>
      </c>
      <c r="G843" t="s">
        <v>74</v>
      </c>
      <c r="H843" t="s">
        <v>74</v>
      </c>
      <c r="I843" t="s">
        <v>16040</v>
      </c>
      <c r="J843" t="s">
        <v>1309</v>
      </c>
      <c r="K843" t="s">
        <v>74</v>
      </c>
      <c r="L843" t="s">
        <v>74</v>
      </c>
      <c r="M843" t="s">
        <v>78</v>
      </c>
      <c r="N843" t="s">
        <v>79</v>
      </c>
      <c r="O843" t="s">
        <v>74</v>
      </c>
      <c r="P843" t="s">
        <v>74</v>
      </c>
      <c r="Q843" t="s">
        <v>74</v>
      </c>
      <c r="R843" t="s">
        <v>74</v>
      </c>
      <c r="S843" t="s">
        <v>74</v>
      </c>
      <c r="T843" t="s">
        <v>16041</v>
      </c>
      <c r="U843" t="s">
        <v>16042</v>
      </c>
      <c r="V843" t="s">
        <v>16043</v>
      </c>
      <c r="W843" t="s">
        <v>16044</v>
      </c>
      <c r="X843" t="s">
        <v>16045</v>
      </c>
      <c r="Y843" t="s">
        <v>16046</v>
      </c>
      <c r="Z843" t="s">
        <v>16047</v>
      </c>
      <c r="AA843" t="s">
        <v>16048</v>
      </c>
      <c r="AB843" t="s">
        <v>16049</v>
      </c>
      <c r="AC843" t="s">
        <v>16050</v>
      </c>
      <c r="AD843" t="s">
        <v>16051</v>
      </c>
      <c r="AE843" t="s">
        <v>16052</v>
      </c>
      <c r="AF843" t="s">
        <v>74</v>
      </c>
      <c r="AG843">
        <v>46</v>
      </c>
      <c r="AH843">
        <v>45</v>
      </c>
      <c r="AI843">
        <v>54</v>
      </c>
      <c r="AJ843">
        <v>9</v>
      </c>
      <c r="AK843">
        <v>121</v>
      </c>
      <c r="AL843" t="s">
        <v>1321</v>
      </c>
      <c r="AM843" t="s">
        <v>180</v>
      </c>
      <c r="AN843" t="s">
        <v>1322</v>
      </c>
      <c r="AO843" t="s">
        <v>1323</v>
      </c>
      <c r="AP843" t="s">
        <v>1324</v>
      </c>
      <c r="AQ843" t="s">
        <v>74</v>
      </c>
      <c r="AR843" t="s">
        <v>1325</v>
      </c>
      <c r="AS843" t="s">
        <v>1326</v>
      </c>
      <c r="AT843" t="s">
        <v>16053</v>
      </c>
      <c r="AU843">
        <v>2015</v>
      </c>
      <c r="AV843">
        <v>282</v>
      </c>
      <c r="AW843">
        <v>1809</v>
      </c>
      <c r="AX843" t="s">
        <v>74</v>
      </c>
      <c r="AY843" t="s">
        <v>74</v>
      </c>
      <c r="AZ843" t="s">
        <v>74</v>
      </c>
      <c r="BA843" t="s">
        <v>74</v>
      </c>
      <c r="BB843" t="s">
        <v>74</v>
      </c>
      <c r="BC843" t="s">
        <v>74</v>
      </c>
      <c r="BD843">
        <v>20142630</v>
      </c>
      <c r="BE843" t="s">
        <v>16054</v>
      </c>
      <c r="BF843" t="str">
        <f>HYPERLINK("http://dx.doi.org/10.1098/rspb.2014.2630","http://dx.doi.org/10.1098/rspb.2014.2630")</f>
        <v>http://dx.doi.org/10.1098/rspb.2014.2630</v>
      </c>
      <c r="BG843" t="s">
        <v>74</v>
      </c>
      <c r="BH843" t="s">
        <v>74</v>
      </c>
      <c r="BI843">
        <v>9</v>
      </c>
      <c r="BJ843" t="s">
        <v>1329</v>
      </c>
      <c r="BK843" t="s">
        <v>101</v>
      </c>
      <c r="BL843" t="s">
        <v>1330</v>
      </c>
      <c r="BM843" t="s">
        <v>16055</v>
      </c>
      <c r="BN843">
        <v>26019154</v>
      </c>
      <c r="BO843" t="s">
        <v>4189</v>
      </c>
      <c r="BP843" t="s">
        <v>74</v>
      </c>
      <c r="BQ843" t="s">
        <v>74</v>
      </c>
      <c r="BR843" t="s">
        <v>103</v>
      </c>
      <c r="BS843" t="s">
        <v>16056</v>
      </c>
      <c r="BT843" t="str">
        <f>HYPERLINK("https%3A%2F%2Fwww.webofscience.com%2Fwos%2Fwoscc%2Ffull-record%2FWOS:000357703200031","View Full Record in Web of Science")</f>
        <v>View Full Record in Web of Science</v>
      </c>
    </row>
    <row r="844" spans="1:72" x14ac:dyDescent="0.15">
      <c r="A844" t="s">
        <v>72</v>
      </c>
      <c r="B844" t="s">
        <v>16057</v>
      </c>
      <c r="C844" t="s">
        <v>74</v>
      </c>
      <c r="D844" t="s">
        <v>74</v>
      </c>
      <c r="E844" t="s">
        <v>74</v>
      </c>
      <c r="F844" t="s">
        <v>16058</v>
      </c>
      <c r="G844" t="s">
        <v>74</v>
      </c>
      <c r="H844" t="s">
        <v>74</v>
      </c>
      <c r="I844" t="s">
        <v>16059</v>
      </c>
      <c r="J844" t="s">
        <v>16060</v>
      </c>
      <c r="K844" t="s">
        <v>74</v>
      </c>
      <c r="L844" t="s">
        <v>74</v>
      </c>
      <c r="M844" t="s">
        <v>78</v>
      </c>
      <c r="N844" t="s">
        <v>754</v>
      </c>
      <c r="O844" t="s">
        <v>74</v>
      </c>
      <c r="P844" t="s">
        <v>74</v>
      </c>
      <c r="Q844" t="s">
        <v>74</v>
      </c>
      <c r="R844" t="s">
        <v>74</v>
      </c>
      <c r="S844" t="s">
        <v>74</v>
      </c>
      <c r="T844" t="s">
        <v>16061</v>
      </c>
      <c r="U844" t="s">
        <v>74</v>
      </c>
      <c r="V844" t="s">
        <v>16062</v>
      </c>
      <c r="W844" t="s">
        <v>16063</v>
      </c>
      <c r="X844" t="s">
        <v>16064</v>
      </c>
      <c r="Y844" t="s">
        <v>16065</v>
      </c>
      <c r="Z844" t="s">
        <v>16066</v>
      </c>
      <c r="AA844" t="s">
        <v>16067</v>
      </c>
      <c r="AB844" t="s">
        <v>16068</v>
      </c>
      <c r="AC844" t="s">
        <v>16069</v>
      </c>
      <c r="AD844" t="s">
        <v>16070</v>
      </c>
      <c r="AE844" t="s">
        <v>74</v>
      </c>
      <c r="AF844" t="s">
        <v>74</v>
      </c>
      <c r="AG844">
        <v>10</v>
      </c>
      <c r="AH844">
        <v>131</v>
      </c>
      <c r="AI844">
        <v>136</v>
      </c>
      <c r="AJ844">
        <v>3</v>
      </c>
      <c r="AK844">
        <v>104</v>
      </c>
      <c r="AL844" t="s">
        <v>2279</v>
      </c>
      <c r="AM844" t="s">
        <v>398</v>
      </c>
      <c r="AN844" t="s">
        <v>2280</v>
      </c>
      <c r="AO844" t="s">
        <v>16071</v>
      </c>
      <c r="AP844" t="s">
        <v>74</v>
      </c>
      <c r="AQ844" t="s">
        <v>74</v>
      </c>
      <c r="AR844" t="s">
        <v>16060</v>
      </c>
      <c r="AS844" t="s">
        <v>16072</v>
      </c>
      <c r="AT844" t="s">
        <v>16073</v>
      </c>
      <c r="AU844">
        <v>2015</v>
      </c>
      <c r="AV844">
        <v>4</v>
      </c>
      <c r="AW844" t="s">
        <v>74</v>
      </c>
      <c r="AX844" t="s">
        <v>74</v>
      </c>
      <c r="AY844" t="s">
        <v>74</v>
      </c>
      <c r="AZ844" t="s">
        <v>74</v>
      </c>
      <c r="BA844" t="s">
        <v>74</v>
      </c>
      <c r="BB844" t="s">
        <v>74</v>
      </c>
      <c r="BC844" t="s">
        <v>74</v>
      </c>
      <c r="BD844">
        <v>27</v>
      </c>
      <c r="BE844" t="s">
        <v>16074</v>
      </c>
      <c r="BF844" t="str">
        <f>HYPERLINK("http://dx.doi.org/10.1186/s13742-015-0066-5","http://dx.doi.org/10.1186/s13742-015-0066-5")</f>
        <v>http://dx.doi.org/10.1186/s13742-015-0066-5</v>
      </c>
      <c r="BG844" t="s">
        <v>74</v>
      </c>
      <c r="BH844" t="s">
        <v>74</v>
      </c>
      <c r="BI844">
        <v>5</v>
      </c>
      <c r="BJ844" t="s">
        <v>16075</v>
      </c>
      <c r="BK844" t="s">
        <v>101</v>
      </c>
      <c r="BL844" t="s">
        <v>16076</v>
      </c>
      <c r="BM844" t="s">
        <v>16077</v>
      </c>
      <c r="BN844">
        <v>26097697</v>
      </c>
      <c r="BO844" t="s">
        <v>16078</v>
      </c>
      <c r="BP844" t="s">
        <v>74</v>
      </c>
      <c r="BQ844" t="s">
        <v>74</v>
      </c>
      <c r="BR844" t="s">
        <v>103</v>
      </c>
      <c r="BS844" t="s">
        <v>16079</v>
      </c>
      <c r="BT844" t="str">
        <f>HYPERLINK("https%3A%2F%2Fwww.webofscience.com%2Fwos%2Fwoscc%2Ffull-record%2FWOS:000365665300001","View Full Record in Web of Science")</f>
        <v>View Full Record in Web of Science</v>
      </c>
    </row>
    <row r="845" spans="1:72" x14ac:dyDescent="0.15">
      <c r="A845" t="s">
        <v>72</v>
      </c>
      <c r="B845" t="s">
        <v>16080</v>
      </c>
      <c r="C845" t="s">
        <v>74</v>
      </c>
      <c r="D845" t="s">
        <v>74</v>
      </c>
      <c r="E845" t="s">
        <v>74</v>
      </c>
      <c r="F845" t="s">
        <v>16081</v>
      </c>
      <c r="G845" t="s">
        <v>74</v>
      </c>
      <c r="H845" t="s">
        <v>74</v>
      </c>
      <c r="I845" t="s">
        <v>16082</v>
      </c>
      <c r="J845" t="s">
        <v>16083</v>
      </c>
      <c r="K845" t="s">
        <v>74</v>
      </c>
      <c r="L845" t="s">
        <v>74</v>
      </c>
      <c r="M845" t="s">
        <v>78</v>
      </c>
      <c r="N845" t="s">
        <v>79</v>
      </c>
      <c r="O845" t="s">
        <v>74</v>
      </c>
      <c r="P845" t="s">
        <v>74</v>
      </c>
      <c r="Q845" t="s">
        <v>74</v>
      </c>
      <c r="R845" t="s">
        <v>74</v>
      </c>
      <c r="S845" t="s">
        <v>74</v>
      </c>
      <c r="T845" t="s">
        <v>16084</v>
      </c>
      <c r="U845" t="s">
        <v>16085</v>
      </c>
      <c r="V845" t="s">
        <v>16086</v>
      </c>
      <c r="W845" t="s">
        <v>16087</v>
      </c>
      <c r="X845" t="s">
        <v>16088</v>
      </c>
      <c r="Y845" t="s">
        <v>16089</v>
      </c>
      <c r="Z845" t="s">
        <v>16090</v>
      </c>
      <c r="AA845" t="s">
        <v>16091</v>
      </c>
      <c r="AB845" t="s">
        <v>16092</v>
      </c>
      <c r="AC845" t="s">
        <v>16093</v>
      </c>
      <c r="AD845" t="s">
        <v>16094</v>
      </c>
      <c r="AE845" t="s">
        <v>16095</v>
      </c>
      <c r="AF845" t="s">
        <v>74</v>
      </c>
      <c r="AG845">
        <v>59</v>
      </c>
      <c r="AH845">
        <v>22</v>
      </c>
      <c r="AI845">
        <v>22</v>
      </c>
      <c r="AJ845">
        <v>0</v>
      </c>
      <c r="AK845">
        <v>16</v>
      </c>
      <c r="AL845" t="s">
        <v>16096</v>
      </c>
      <c r="AM845" t="s">
        <v>16097</v>
      </c>
      <c r="AN845" t="s">
        <v>16098</v>
      </c>
      <c r="AO845" t="s">
        <v>16099</v>
      </c>
      <c r="AP845" t="s">
        <v>74</v>
      </c>
      <c r="AQ845" t="s">
        <v>74</v>
      </c>
      <c r="AR845" t="s">
        <v>16100</v>
      </c>
      <c r="AS845" t="s">
        <v>16101</v>
      </c>
      <c r="AT845" t="s">
        <v>16073</v>
      </c>
      <c r="AU845">
        <v>2015</v>
      </c>
      <c r="AV845">
        <v>30</v>
      </c>
      <c r="AW845">
        <v>2</v>
      </c>
      <c r="AX845" t="s">
        <v>74</v>
      </c>
      <c r="AY845" t="s">
        <v>74</v>
      </c>
      <c r="AZ845" t="s">
        <v>74</v>
      </c>
      <c r="BA845" t="s">
        <v>74</v>
      </c>
      <c r="BB845">
        <v>172</v>
      </c>
      <c r="BC845">
        <v>179</v>
      </c>
      <c r="BD845" t="s">
        <v>74</v>
      </c>
      <c r="BE845" t="s">
        <v>16102</v>
      </c>
      <c r="BF845" t="str">
        <f>HYPERLINK("http://dx.doi.org/10.1264/jsme2.ME14156","http://dx.doi.org/10.1264/jsme2.ME14156")</f>
        <v>http://dx.doi.org/10.1264/jsme2.ME14156</v>
      </c>
      <c r="BG845" t="s">
        <v>74</v>
      </c>
      <c r="BH845" t="s">
        <v>74</v>
      </c>
      <c r="BI845">
        <v>8</v>
      </c>
      <c r="BJ845" t="s">
        <v>16103</v>
      </c>
      <c r="BK845" t="s">
        <v>101</v>
      </c>
      <c r="BL845" t="s">
        <v>16103</v>
      </c>
      <c r="BM845" t="s">
        <v>16104</v>
      </c>
      <c r="BN845">
        <v>25925273</v>
      </c>
      <c r="BO845" t="s">
        <v>1430</v>
      </c>
      <c r="BP845" t="s">
        <v>74</v>
      </c>
      <c r="BQ845" t="s">
        <v>74</v>
      </c>
      <c r="BR845" t="s">
        <v>103</v>
      </c>
      <c r="BS845" t="s">
        <v>16105</v>
      </c>
      <c r="BT845" t="str">
        <f>HYPERLINK("https%3A%2F%2Fwww.webofscience.com%2Fwos%2Fwoscc%2Ffull-record%2FWOS:000356608500009","View Full Record in Web of Science")</f>
        <v>View Full Record in Web of Science</v>
      </c>
    </row>
    <row r="846" spans="1:72" x14ac:dyDescent="0.15">
      <c r="A846" t="s">
        <v>72</v>
      </c>
      <c r="B846" t="s">
        <v>12906</v>
      </c>
      <c r="C846" t="s">
        <v>74</v>
      </c>
      <c r="D846" t="s">
        <v>74</v>
      </c>
      <c r="E846" t="s">
        <v>74</v>
      </c>
      <c r="F846" t="s">
        <v>12907</v>
      </c>
      <c r="G846" t="s">
        <v>74</v>
      </c>
      <c r="H846" t="s">
        <v>74</v>
      </c>
      <c r="I846" t="s">
        <v>16106</v>
      </c>
      <c r="J846" t="s">
        <v>1078</v>
      </c>
      <c r="K846" t="s">
        <v>74</v>
      </c>
      <c r="L846" t="s">
        <v>74</v>
      </c>
      <c r="M846" t="s">
        <v>78</v>
      </c>
      <c r="N846" t="s">
        <v>79</v>
      </c>
      <c r="O846" t="s">
        <v>74</v>
      </c>
      <c r="P846" t="s">
        <v>74</v>
      </c>
      <c r="Q846" t="s">
        <v>74</v>
      </c>
      <c r="R846" t="s">
        <v>74</v>
      </c>
      <c r="S846" t="s">
        <v>74</v>
      </c>
      <c r="T846" t="s">
        <v>74</v>
      </c>
      <c r="U846" t="s">
        <v>16107</v>
      </c>
      <c r="V846" t="s">
        <v>16108</v>
      </c>
      <c r="W846" t="s">
        <v>16109</v>
      </c>
      <c r="X846" t="s">
        <v>16110</v>
      </c>
      <c r="Y846" t="s">
        <v>16111</v>
      </c>
      <c r="Z846" t="s">
        <v>74</v>
      </c>
      <c r="AA846" t="s">
        <v>16112</v>
      </c>
      <c r="AB846" t="s">
        <v>16113</v>
      </c>
      <c r="AC846" t="s">
        <v>16114</v>
      </c>
      <c r="AD846" t="s">
        <v>16115</v>
      </c>
      <c r="AE846" t="s">
        <v>16116</v>
      </c>
      <c r="AF846" t="s">
        <v>74</v>
      </c>
      <c r="AG846">
        <v>49</v>
      </c>
      <c r="AH846">
        <v>18</v>
      </c>
      <c r="AI846">
        <v>19</v>
      </c>
      <c r="AJ846">
        <v>0</v>
      </c>
      <c r="AK846">
        <v>26</v>
      </c>
      <c r="AL846" t="s">
        <v>1089</v>
      </c>
      <c r="AM846" t="s">
        <v>1090</v>
      </c>
      <c r="AN846" t="s">
        <v>1091</v>
      </c>
      <c r="AO846" t="s">
        <v>1092</v>
      </c>
      <c r="AP846" t="s">
        <v>74</v>
      </c>
      <c r="AQ846" t="s">
        <v>74</v>
      </c>
      <c r="AR846" t="s">
        <v>1078</v>
      </c>
      <c r="AS846" t="s">
        <v>1093</v>
      </c>
      <c r="AT846" t="s">
        <v>16073</v>
      </c>
      <c r="AU846">
        <v>2015</v>
      </c>
      <c r="AV846">
        <v>10</v>
      </c>
      <c r="AW846">
        <v>6</v>
      </c>
      <c r="AX846" t="s">
        <v>74</v>
      </c>
      <c r="AY846" t="s">
        <v>74</v>
      </c>
      <c r="AZ846" t="s">
        <v>74</v>
      </c>
      <c r="BA846" t="s">
        <v>74</v>
      </c>
      <c r="BB846" t="s">
        <v>74</v>
      </c>
      <c r="BC846" t="s">
        <v>74</v>
      </c>
      <c r="BD846" t="s">
        <v>16117</v>
      </c>
      <c r="BE846" t="s">
        <v>16118</v>
      </c>
      <c r="BF846" t="str">
        <f>HYPERLINK("http://dx.doi.org/10.1371/journal.pone.0127573","http://dx.doi.org/10.1371/journal.pone.0127573")</f>
        <v>http://dx.doi.org/10.1371/journal.pone.0127573</v>
      </c>
      <c r="BG846" t="s">
        <v>74</v>
      </c>
      <c r="BH846" t="s">
        <v>74</v>
      </c>
      <c r="BI846">
        <v>17</v>
      </c>
      <c r="BJ846" t="s">
        <v>530</v>
      </c>
      <c r="BK846" t="s">
        <v>101</v>
      </c>
      <c r="BL846" t="s">
        <v>531</v>
      </c>
      <c r="BM846" t="s">
        <v>16119</v>
      </c>
      <c r="BN846">
        <v>26091103</v>
      </c>
      <c r="BO846" t="s">
        <v>1282</v>
      </c>
      <c r="BP846" t="s">
        <v>74</v>
      </c>
      <c r="BQ846" t="s">
        <v>74</v>
      </c>
      <c r="BR846" t="s">
        <v>103</v>
      </c>
      <c r="BS846" t="s">
        <v>16120</v>
      </c>
      <c r="BT846" t="str">
        <f>HYPERLINK("https%3A%2F%2Fwww.webofscience.com%2Fwos%2Fwoscc%2Ffull-record%2FWOS:000356835000011","View Full Record in Web of Science")</f>
        <v>View Full Record in Web of Science</v>
      </c>
    </row>
    <row r="847" spans="1:72" x14ac:dyDescent="0.15">
      <c r="A847" t="s">
        <v>72</v>
      </c>
      <c r="B847" t="s">
        <v>16121</v>
      </c>
      <c r="C847" t="s">
        <v>74</v>
      </c>
      <c r="D847" t="s">
        <v>74</v>
      </c>
      <c r="E847" t="s">
        <v>74</v>
      </c>
      <c r="F847" t="s">
        <v>16122</v>
      </c>
      <c r="G847" t="s">
        <v>74</v>
      </c>
      <c r="H847" t="s">
        <v>74</v>
      </c>
      <c r="I847" t="s">
        <v>16123</v>
      </c>
      <c r="J847" t="s">
        <v>1033</v>
      </c>
      <c r="K847" t="s">
        <v>74</v>
      </c>
      <c r="L847" t="s">
        <v>74</v>
      </c>
      <c r="M847" t="s">
        <v>78</v>
      </c>
      <c r="N847" t="s">
        <v>79</v>
      </c>
      <c r="O847" t="s">
        <v>74</v>
      </c>
      <c r="P847" t="s">
        <v>74</v>
      </c>
      <c r="Q847" t="s">
        <v>74</v>
      </c>
      <c r="R847" t="s">
        <v>74</v>
      </c>
      <c r="S847" t="s">
        <v>74</v>
      </c>
      <c r="T847" t="s">
        <v>16124</v>
      </c>
      <c r="U847" t="s">
        <v>16125</v>
      </c>
      <c r="V847" t="s">
        <v>16126</v>
      </c>
      <c r="W847" t="s">
        <v>16127</v>
      </c>
      <c r="X847" t="s">
        <v>16128</v>
      </c>
      <c r="Y847" t="s">
        <v>16129</v>
      </c>
      <c r="Z847" t="s">
        <v>16130</v>
      </c>
      <c r="AA847" t="s">
        <v>16131</v>
      </c>
      <c r="AB847" t="s">
        <v>74</v>
      </c>
      <c r="AC847" t="s">
        <v>16132</v>
      </c>
      <c r="AD847" t="s">
        <v>16133</v>
      </c>
      <c r="AE847" t="s">
        <v>16134</v>
      </c>
      <c r="AF847" t="s">
        <v>74</v>
      </c>
      <c r="AG847">
        <v>38</v>
      </c>
      <c r="AH847">
        <v>7</v>
      </c>
      <c r="AI847">
        <v>7</v>
      </c>
      <c r="AJ847">
        <v>1</v>
      </c>
      <c r="AK847">
        <v>60</v>
      </c>
      <c r="AL847" t="s">
        <v>1046</v>
      </c>
      <c r="AM847" t="s">
        <v>1047</v>
      </c>
      <c r="AN847" t="s">
        <v>1048</v>
      </c>
      <c r="AO847" t="s">
        <v>1049</v>
      </c>
      <c r="AP847" t="s">
        <v>1050</v>
      </c>
      <c r="AQ847" t="s">
        <v>74</v>
      </c>
      <c r="AR847" t="s">
        <v>1051</v>
      </c>
      <c r="AS847" t="s">
        <v>1052</v>
      </c>
      <c r="AT847" t="s">
        <v>16135</v>
      </c>
      <c r="AU847">
        <v>2015</v>
      </c>
      <c r="AV847">
        <v>530</v>
      </c>
      <c r="AW847" t="s">
        <v>74</v>
      </c>
      <c r="AX847" t="s">
        <v>74</v>
      </c>
      <c r="AY847" t="s">
        <v>74</v>
      </c>
      <c r="AZ847" t="s">
        <v>74</v>
      </c>
      <c r="BA847" t="s">
        <v>74</v>
      </c>
      <c r="BB847">
        <v>223</v>
      </c>
      <c r="BC847">
        <v>232</v>
      </c>
      <c r="BD847" t="s">
        <v>74</v>
      </c>
      <c r="BE847" t="s">
        <v>16136</v>
      </c>
      <c r="BF847" t="str">
        <f>HYPERLINK("http://dx.doi.org/10.3354/meps11135","http://dx.doi.org/10.3354/meps11135")</f>
        <v>http://dx.doi.org/10.3354/meps11135</v>
      </c>
      <c r="BG847" t="s">
        <v>74</v>
      </c>
      <c r="BH847" t="s">
        <v>74</v>
      </c>
      <c r="BI847">
        <v>10</v>
      </c>
      <c r="BJ847" t="s">
        <v>1054</v>
      </c>
      <c r="BK847" t="s">
        <v>1482</v>
      </c>
      <c r="BL847" t="s">
        <v>1055</v>
      </c>
      <c r="BM847" t="s">
        <v>16137</v>
      </c>
      <c r="BN847" t="s">
        <v>74</v>
      </c>
      <c r="BO847" t="s">
        <v>162</v>
      </c>
      <c r="BP847" t="s">
        <v>74</v>
      </c>
      <c r="BQ847" t="s">
        <v>74</v>
      </c>
      <c r="BR847" t="s">
        <v>103</v>
      </c>
      <c r="BS847" t="s">
        <v>16138</v>
      </c>
      <c r="BT847" t="str">
        <f>HYPERLINK("https%3A%2F%2Fwww.webofscience.com%2Fwos%2Fwoscc%2Ffull-record%2FWOS:000356938800017","View Full Record in Web of Science")</f>
        <v>View Full Record in Web of Science</v>
      </c>
    </row>
    <row r="848" spans="1:72" x14ac:dyDescent="0.15">
      <c r="A848" t="s">
        <v>72</v>
      </c>
      <c r="B848" t="s">
        <v>16139</v>
      </c>
      <c r="C848" t="s">
        <v>74</v>
      </c>
      <c r="D848" t="s">
        <v>74</v>
      </c>
      <c r="E848" t="s">
        <v>74</v>
      </c>
      <c r="F848" t="s">
        <v>16140</v>
      </c>
      <c r="G848" t="s">
        <v>74</v>
      </c>
      <c r="H848" t="s">
        <v>74</v>
      </c>
      <c r="I848" t="s">
        <v>16141</v>
      </c>
      <c r="J848" t="s">
        <v>16142</v>
      </c>
      <c r="K848" t="s">
        <v>74</v>
      </c>
      <c r="L848" t="s">
        <v>74</v>
      </c>
      <c r="M848" t="s">
        <v>78</v>
      </c>
      <c r="N848" t="s">
        <v>79</v>
      </c>
      <c r="O848" t="s">
        <v>74</v>
      </c>
      <c r="P848" t="s">
        <v>74</v>
      </c>
      <c r="Q848" t="s">
        <v>74</v>
      </c>
      <c r="R848" t="s">
        <v>74</v>
      </c>
      <c r="S848" t="s">
        <v>74</v>
      </c>
      <c r="T848" t="s">
        <v>16143</v>
      </c>
      <c r="U848" t="s">
        <v>16144</v>
      </c>
      <c r="V848" t="s">
        <v>16145</v>
      </c>
      <c r="W848" t="s">
        <v>16146</v>
      </c>
      <c r="X848" t="s">
        <v>16147</v>
      </c>
      <c r="Y848" t="s">
        <v>11874</v>
      </c>
      <c r="Z848" t="s">
        <v>4868</v>
      </c>
      <c r="AA848" t="s">
        <v>16148</v>
      </c>
      <c r="AB848" t="s">
        <v>16149</v>
      </c>
      <c r="AC848" t="s">
        <v>16150</v>
      </c>
      <c r="AD848" t="s">
        <v>16151</v>
      </c>
      <c r="AE848" t="s">
        <v>16152</v>
      </c>
      <c r="AF848" t="s">
        <v>74</v>
      </c>
      <c r="AG848">
        <v>69</v>
      </c>
      <c r="AH848">
        <v>28</v>
      </c>
      <c r="AI848">
        <v>28</v>
      </c>
      <c r="AJ848">
        <v>4</v>
      </c>
      <c r="AK848">
        <v>60</v>
      </c>
      <c r="AL848" t="s">
        <v>6136</v>
      </c>
      <c r="AM848" t="s">
        <v>180</v>
      </c>
      <c r="AN848" t="s">
        <v>6137</v>
      </c>
      <c r="AO848" t="s">
        <v>16153</v>
      </c>
      <c r="AP848" t="s">
        <v>74</v>
      </c>
      <c r="AQ848" t="s">
        <v>74</v>
      </c>
      <c r="AR848" t="s">
        <v>16154</v>
      </c>
      <c r="AS848" t="s">
        <v>16155</v>
      </c>
      <c r="AT848" t="s">
        <v>16135</v>
      </c>
      <c r="AU848">
        <v>2015</v>
      </c>
      <c r="AV848">
        <v>12</v>
      </c>
      <c r="AW848" t="s">
        <v>74</v>
      </c>
      <c r="AX848" t="s">
        <v>74</v>
      </c>
      <c r="AY848" t="s">
        <v>74</v>
      </c>
      <c r="AZ848" t="s">
        <v>74</v>
      </c>
      <c r="BA848" t="s">
        <v>74</v>
      </c>
      <c r="BB848" t="s">
        <v>74</v>
      </c>
      <c r="BC848" t="s">
        <v>74</v>
      </c>
      <c r="BD848">
        <v>13</v>
      </c>
      <c r="BE848" t="s">
        <v>16156</v>
      </c>
      <c r="BF848" t="str">
        <f>HYPERLINK("http://dx.doi.org/10.1186/s12983-015-0105-1","http://dx.doi.org/10.1186/s12983-015-0105-1")</f>
        <v>http://dx.doi.org/10.1186/s12983-015-0105-1</v>
      </c>
      <c r="BG848" t="s">
        <v>74</v>
      </c>
      <c r="BH848" t="s">
        <v>74</v>
      </c>
      <c r="BI848">
        <v>16</v>
      </c>
      <c r="BJ848" t="s">
        <v>243</v>
      </c>
      <c r="BK848" t="s">
        <v>101</v>
      </c>
      <c r="BL848" t="s">
        <v>243</v>
      </c>
      <c r="BM848" t="s">
        <v>16157</v>
      </c>
      <c r="BN848">
        <v>26085836</v>
      </c>
      <c r="BO848" t="s">
        <v>1150</v>
      </c>
      <c r="BP848" t="s">
        <v>74</v>
      </c>
      <c r="BQ848" t="s">
        <v>74</v>
      </c>
      <c r="BR848" t="s">
        <v>103</v>
      </c>
      <c r="BS848" t="s">
        <v>16158</v>
      </c>
      <c r="BT848" t="str">
        <f>HYPERLINK("https%3A%2F%2Fwww.webofscience.com%2Fwos%2Fwoscc%2Ffull-record%2FWOS:000356408400001","View Full Record in Web of Science")</f>
        <v>View Full Record in Web of Science</v>
      </c>
    </row>
    <row r="849" spans="1:72" x14ac:dyDescent="0.15">
      <c r="A849" t="s">
        <v>72</v>
      </c>
      <c r="B849" t="s">
        <v>16159</v>
      </c>
      <c r="C849" t="s">
        <v>74</v>
      </c>
      <c r="D849" t="s">
        <v>74</v>
      </c>
      <c r="E849" t="s">
        <v>74</v>
      </c>
      <c r="F849" t="s">
        <v>16160</v>
      </c>
      <c r="G849" t="s">
        <v>74</v>
      </c>
      <c r="H849" t="s">
        <v>74</v>
      </c>
      <c r="I849" t="s">
        <v>16161</v>
      </c>
      <c r="J849" t="s">
        <v>1033</v>
      </c>
      <c r="K849" t="s">
        <v>74</v>
      </c>
      <c r="L849" t="s">
        <v>74</v>
      </c>
      <c r="M849" t="s">
        <v>78</v>
      </c>
      <c r="N849" t="s">
        <v>79</v>
      </c>
      <c r="O849" t="s">
        <v>74</v>
      </c>
      <c r="P849" t="s">
        <v>74</v>
      </c>
      <c r="Q849" t="s">
        <v>74</v>
      </c>
      <c r="R849" t="s">
        <v>74</v>
      </c>
      <c r="S849" t="s">
        <v>74</v>
      </c>
      <c r="T849" t="s">
        <v>16162</v>
      </c>
      <c r="U849" t="s">
        <v>16163</v>
      </c>
      <c r="V849" t="s">
        <v>16164</v>
      </c>
      <c r="W849" t="s">
        <v>16165</v>
      </c>
      <c r="X849" t="s">
        <v>16166</v>
      </c>
      <c r="Y849" t="s">
        <v>16167</v>
      </c>
      <c r="Z849" t="s">
        <v>16168</v>
      </c>
      <c r="AA849" t="s">
        <v>16169</v>
      </c>
      <c r="AB849" t="s">
        <v>16170</v>
      </c>
      <c r="AC849" t="s">
        <v>16171</v>
      </c>
      <c r="AD849" t="s">
        <v>16172</v>
      </c>
      <c r="AE849" t="s">
        <v>16173</v>
      </c>
      <c r="AF849" t="s">
        <v>74</v>
      </c>
      <c r="AG849">
        <v>63</v>
      </c>
      <c r="AH849">
        <v>46</v>
      </c>
      <c r="AI849">
        <v>51</v>
      </c>
      <c r="AJ849">
        <v>0</v>
      </c>
      <c r="AK849">
        <v>55</v>
      </c>
      <c r="AL849" t="s">
        <v>1046</v>
      </c>
      <c r="AM849" t="s">
        <v>1047</v>
      </c>
      <c r="AN849" t="s">
        <v>1048</v>
      </c>
      <c r="AO849" t="s">
        <v>1049</v>
      </c>
      <c r="AP849" t="s">
        <v>1050</v>
      </c>
      <c r="AQ849" t="s">
        <v>74</v>
      </c>
      <c r="AR849" t="s">
        <v>1051</v>
      </c>
      <c r="AS849" t="s">
        <v>1052</v>
      </c>
      <c r="AT849" t="s">
        <v>16135</v>
      </c>
      <c r="AU849">
        <v>2015</v>
      </c>
      <c r="AV849">
        <v>530</v>
      </c>
      <c r="AW849" t="s">
        <v>74</v>
      </c>
      <c r="AX849" t="s">
        <v>74</v>
      </c>
      <c r="AY849" t="s">
        <v>74</v>
      </c>
      <c r="AZ849" t="s">
        <v>74</v>
      </c>
      <c r="BA849" t="s">
        <v>74</v>
      </c>
      <c r="BB849">
        <v>119</v>
      </c>
      <c r="BC849">
        <v>134</v>
      </c>
      <c r="BD849" t="s">
        <v>74</v>
      </c>
      <c r="BE849" t="s">
        <v>16174</v>
      </c>
      <c r="BF849" t="str">
        <f>HYPERLINK("http://dx.doi.org/10.3354/meps11266","http://dx.doi.org/10.3354/meps11266")</f>
        <v>http://dx.doi.org/10.3354/meps11266</v>
      </c>
      <c r="BG849" t="s">
        <v>74</v>
      </c>
      <c r="BH849" t="s">
        <v>74</v>
      </c>
      <c r="BI849">
        <v>16</v>
      </c>
      <c r="BJ849" t="s">
        <v>1054</v>
      </c>
      <c r="BK849" t="s">
        <v>101</v>
      </c>
      <c r="BL849" t="s">
        <v>1055</v>
      </c>
      <c r="BM849" t="s">
        <v>16137</v>
      </c>
      <c r="BN849" t="s">
        <v>74</v>
      </c>
      <c r="BO849" t="s">
        <v>1528</v>
      </c>
      <c r="BP849" t="s">
        <v>74</v>
      </c>
      <c r="BQ849" t="s">
        <v>74</v>
      </c>
      <c r="BR849" t="s">
        <v>103</v>
      </c>
      <c r="BS849" t="s">
        <v>16175</v>
      </c>
      <c r="BT849" t="str">
        <f>HYPERLINK("https%3A%2F%2Fwww.webofscience.com%2Fwos%2Fwoscc%2Ffull-record%2FWOS:000356938800009","View Full Record in Web of Science")</f>
        <v>View Full Record in Web of Science</v>
      </c>
    </row>
    <row r="850" spans="1:72" x14ac:dyDescent="0.15">
      <c r="A850" t="s">
        <v>72</v>
      </c>
      <c r="B850" t="s">
        <v>16176</v>
      </c>
      <c r="C850" t="s">
        <v>74</v>
      </c>
      <c r="D850" t="s">
        <v>74</v>
      </c>
      <c r="E850" t="s">
        <v>74</v>
      </c>
      <c r="F850" t="s">
        <v>16177</v>
      </c>
      <c r="G850" t="s">
        <v>74</v>
      </c>
      <c r="H850" t="s">
        <v>74</v>
      </c>
      <c r="I850" t="s">
        <v>16178</v>
      </c>
      <c r="J850" t="s">
        <v>1033</v>
      </c>
      <c r="K850" t="s">
        <v>74</v>
      </c>
      <c r="L850" t="s">
        <v>74</v>
      </c>
      <c r="M850" t="s">
        <v>78</v>
      </c>
      <c r="N850" t="s">
        <v>79</v>
      </c>
      <c r="O850" t="s">
        <v>74</v>
      </c>
      <c r="P850" t="s">
        <v>74</v>
      </c>
      <c r="Q850" t="s">
        <v>74</v>
      </c>
      <c r="R850" t="s">
        <v>74</v>
      </c>
      <c r="S850" t="s">
        <v>74</v>
      </c>
      <c r="T850" t="s">
        <v>16179</v>
      </c>
      <c r="U850" t="s">
        <v>16180</v>
      </c>
      <c r="V850" t="s">
        <v>16181</v>
      </c>
      <c r="W850" t="s">
        <v>16182</v>
      </c>
      <c r="X850" t="s">
        <v>16183</v>
      </c>
      <c r="Y850" t="s">
        <v>16184</v>
      </c>
      <c r="Z850" t="s">
        <v>16185</v>
      </c>
      <c r="AA850" t="s">
        <v>16186</v>
      </c>
      <c r="AB850" t="s">
        <v>16187</v>
      </c>
      <c r="AC850" t="s">
        <v>16188</v>
      </c>
      <c r="AD850" t="s">
        <v>16189</v>
      </c>
      <c r="AE850" t="s">
        <v>16190</v>
      </c>
      <c r="AF850" t="s">
        <v>74</v>
      </c>
      <c r="AG850">
        <v>70</v>
      </c>
      <c r="AH850">
        <v>13</v>
      </c>
      <c r="AI850">
        <v>13</v>
      </c>
      <c r="AJ850">
        <v>1</v>
      </c>
      <c r="AK850">
        <v>39</v>
      </c>
      <c r="AL850" t="s">
        <v>1046</v>
      </c>
      <c r="AM850" t="s">
        <v>1047</v>
      </c>
      <c r="AN850" t="s">
        <v>1048</v>
      </c>
      <c r="AO850" t="s">
        <v>1049</v>
      </c>
      <c r="AP850" t="s">
        <v>1050</v>
      </c>
      <c r="AQ850" t="s">
        <v>74</v>
      </c>
      <c r="AR850" t="s">
        <v>1051</v>
      </c>
      <c r="AS850" t="s">
        <v>1052</v>
      </c>
      <c r="AT850" t="s">
        <v>16135</v>
      </c>
      <c r="AU850">
        <v>2015</v>
      </c>
      <c r="AV850">
        <v>530</v>
      </c>
      <c r="AW850" t="s">
        <v>74</v>
      </c>
      <c r="AX850" t="s">
        <v>74</v>
      </c>
      <c r="AY850" t="s">
        <v>74</v>
      </c>
      <c r="AZ850" t="s">
        <v>74</v>
      </c>
      <c r="BA850" t="s">
        <v>74</v>
      </c>
      <c r="BB850">
        <v>163</v>
      </c>
      <c r="BC850">
        <v>176</v>
      </c>
      <c r="BD850" t="s">
        <v>74</v>
      </c>
      <c r="BE850" t="s">
        <v>16191</v>
      </c>
      <c r="BF850" t="str">
        <f>HYPERLINK("http://dx.doi.org/10.3354/meps11320","http://dx.doi.org/10.3354/meps11320")</f>
        <v>http://dx.doi.org/10.3354/meps11320</v>
      </c>
      <c r="BG850" t="s">
        <v>74</v>
      </c>
      <c r="BH850" t="s">
        <v>74</v>
      </c>
      <c r="BI850">
        <v>14</v>
      </c>
      <c r="BJ850" t="s">
        <v>1054</v>
      </c>
      <c r="BK850" t="s">
        <v>101</v>
      </c>
      <c r="BL850" t="s">
        <v>1055</v>
      </c>
      <c r="BM850" t="s">
        <v>16137</v>
      </c>
      <c r="BN850" t="s">
        <v>74</v>
      </c>
      <c r="BO850" t="s">
        <v>74</v>
      </c>
      <c r="BP850" t="s">
        <v>74</v>
      </c>
      <c r="BQ850" t="s">
        <v>74</v>
      </c>
      <c r="BR850" t="s">
        <v>103</v>
      </c>
      <c r="BS850" t="s">
        <v>16192</v>
      </c>
      <c r="BT850" t="str">
        <f>HYPERLINK("https%3A%2F%2Fwww.webofscience.com%2Fwos%2Fwoscc%2Ffull-record%2FWOS:000356938800012","View Full Record in Web of Science")</f>
        <v>View Full Record in Web of Science</v>
      </c>
    </row>
    <row r="851" spans="1:72" x14ac:dyDescent="0.15">
      <c r="A851" t="s">
        <v>72</v>
      </c>
      <c r="B851" t="s">
        <v>16193</v>
      </c>
      <c r="C851" t="s">
        <v>74</v>
      </c>
      <c r="D851" t="s">
        <v>74</v>
      </c>
      <c r="E851" t="s">
        <v>74</v>
      </c>
      <c r="F851" t="s">
        <v>16194</v>
      </c>
      <c r="G851" t="s">
        <v>74</v>
      </c>
      <c r="H851" t="s">
        <v>74</v>
      </c>
      <c r="I851" t="s">
        <v>16195</v>
      </c>
      <c r="J851" t="s">
        <v>1389</v>
      </c>
      <c r="K851" t="s">
        <v>74</v>
      </c>
      <c r="L851" t="s">
        <v>74</v>
      </c>
      <c r="M851" t="s">
        <v>78</v>
      </c>
      <c r="N851" t="s">
        <v>79</v>
      </c>
      <c r="O851" t="s">
        <v>74</v>
      </c>
      <c r="P851" t="s">
        <v>74</v>
      </c>
      <c r="Q851" t="s">
        <v>74</v>
      </c>
      <c r="R851" t="s">
        <v>74</v>
      </c>
      <c r="S851" t="s">
        <v>74</v>
      </c>
      <c r="T851" t="s">
        <v>16196</v>
      </c>
      <c r="U851" t="s">
        <v>16197</v>
      </c>
      <c r="V851" t="s">
        <v>16198</v>
      </c>
      <c r="W851" t="s">
        <v>16199</v>
      </c>
      <c r="X851" t="s">
        <v>16200</v>
      </c>
      <c r="Y851" t="s">
        <v>16201</v>
      </c>
      <c r="Z851" t="s">
        <v>16202</v>
      </c>
      <c r="AA851" t="s">
        <v>16203</v>
      </c>
      <c r="AB851" t="s">
        <v>16204</v>
      </c>
      <c r="AC851" t="s">
        <v>16205</v>
      </c>
      <c r="AD851" t="s">
        <v>16206</v>
      </c>
      <c r="AE851" t="s">
        <v>16207</v>
      </c>
      <c r="AF851" t="s">
        <v>74</v>
      </c>
      <c r="AG851">
        <v>69</v>
      </c>
      <c r="AH851">
        <v>11</v>
      </c>
      <c r="AI851">
        <v>11</v>
      </c>
      <c r="AJ851">
        <v>2</v>
      </c>
      <c r="AK851">
        <v>21</v>
      </c>
      <c r="AL851" t="s">
        <v>92</v>
      </c>
      <c r="AM851" t="s">
        <v>550</v>
      </c>
      <c r="AN851" t="s">
        <v>1398</v>
      </c>
      <c r="AO851" t="s">
        <v>74</v>
      </c>
      <c r="AP851" t="s">
        <v>1399</v>
      </c>
      <c r="AQ851" t="s">
        <v>74</v>
      </c>
      <c r="AR851" t="s">
        <v>1400</v>
      </c>
      <c r="AS851" t="s">
        <v>1401</v>
      </c>
      <c r="AT851" t="s">
        <v>16208</v>
      </c>
      <c r="AU851">
        <v>2015</v>
      </c>
      <c r="AV851">
        <v>67</v>
      </c>
      <c r="AW851" t="s">
        <v>74</v>
      </c>
      <c r="AX851" t="s">
        <v>74</v>
      </c>
      <c r="AY851" t="s">
        <v>74</v>
      </c>
      <c r="AZ851" t="s">
        <v>74</v>
      </c>
      <c r="BA851" t="s">
        <v>74</v>
      </c>
      <c r="BB851" t="s">
        <v>74</v>
      </c>
      <c r="BC851" t="s">
        <v>74</v>
      </c>
      <c r="BD851">
        <v>90</v>
      </c>
      <c r="BE851" t="s">
        <v>16209</v>
      </c>
      <c r="BF851" t="str">
        <f>HYPERLINK("http://dx.doi.org/10.1186/s40623-015-0261-8","http://dx.doi.org/10.1186/s40623-015-0261-8")</f>
        <v>http://dx.doi.org/10.1186/s40623-015-0261-8</v>
      </c>
      <c r="BG851" t="s">
        <v>74</v>
      </c>
      <c r="BH851" t="s">
        <v>74</v>
      </c>
      <c r="BI851">
        <v>17</v>
      </c>
      <c r="BJ851" t="s">
        <v>314</v>
      </c>
      <c r="BK851" t="s">
        <v>101</v>
      </c>
      <c r="BL851" t="s">
        <v>315</v>
      </c>
      <c r="BM851" t="s">
        <v>16210</v>
      </c>
      <c r="BN851" t="s">
        <v>74</v>
      </c>
      <c r="BO851" t="s">
        <v>533</v>
      </c>
      <c r="BP851" t="s">
        <v>74</v>
      </c>
      <c r="BQ851" t="s">
        <v>74</v>
      </c>
      <c r="BR851" t="s">
        <v>103</v>
      </c>
      <c r="BS851" t="s">
        <v>16211</v>
      </c>
      <c r="BT851" t="str">
        <f>HYPERLINK("https%3A%2F%2Fwww.webofscience.com%2Fwos%2Fwoscc%2Ffull-record%2FWOS:000356529800001","View Full Record in Web of Science")</f>
        <v>View Full Record in Web of Science</v>
      </c>
    </row>
    <row r="852" spans="1:72" x14ac:dyDescent="0.15">
      <c r="A852" t="s">
        <v>72</v>
      </c>
      <c r="B852" t="s">
        <v>16212</v>
      </c>
      <c r="C852" t="s">
        <v>74</v>
      </c>
      <c r="D852" t="s">
        <v>74</v>
      </c>
      <c r="E852" t="s">
        <v>74</v>
      </c>
      <c r="F852" t="s">
        <v>16213</v>
      </c>
      <c r="G852" t="s">
        <v>74</v>
      </c>
      <c r="H852" t="s">
        <v>74</v>
      </c>
      <c r="I852" t="s">
        <v>16214</v>
      </c>
      <c r="J852" t="s">
        <v>1193</v>
      </c>
      <c r="K852" t="s">
        <v>74</v>
      </c>
      <c r="L852" t="s">
        <v>74</v>
      </c>
      <c r="M852" t="s">
        <v>78</v>
      </c>
      <c r="N852" t="s">
        <v>581</v>
      </c>
      <c r="O852" t="s">
        <v>74</v>
      </c>
      <c r="P852" t="s">
        <v>74</v>
      </c>
      <c r="Q852" t="s">
        <v>74</v>
      </c>
      <c r="R852" t="s">
        <v>74</v>
      </c>
      <c r="S852" t="s">
        <v>74</v>
      </c>
      <c r="T852" t="s">
        <v>16215</v>
      </c>
      <c r="U852" t="s">
        <v>16216</v>
      </c>
      <c r="V852" t="s">
        <v>16217</v>
      </c>
      <c r="W852" t="s">
        <v>16218</v>
      </c>
      <c r="X852" t="s">
        <v>16219</v>
      </c>
      <c r="Y852" t="s">
        <v>16220</v>
      </c>
      <c r="Z852" t="s">
        <v>16221</v>
      </c>
      <c r="AA852" t="s">
        <v>16222</v>
      </c>
      <c r="AB852" t="s">
        <v>16223</v>
      </c>
      <c r="AC852" t="s">
        <v>16224</v>
      </c>
      <c r="AD852" t="s">
        <v>16224</v>
      </c>
      <c r="AE852" t="s">
        <v>16225</v>
      </c>
      <c r="AF852" t="s">
        <v>74</v>
      </c>
      <c r="AG852">
        <v>80</v>
      </c>
      <c r="AH852">
        <v>15</v>
      </c>
      <c r="AI852">
        <v>17</v>
      </c>
      <c r="AJ852">
        <v>0</v>
      </c>
      <c r="AK852">
        <v>12</v>
      </c>
      <c r="AL852" t="s">
        <v>1206</v>
      </c>
      <c r="AM852" t="s">
        <v>1207</v>
      </c>
      <c r="AN852" t="s">
        <v>9679</v>
      </c>
      <c r="AO852" t="s">
        <v>1209</v>
      </c>
      <c r="AP852" t="s">
        <v>1210</v>
      </c>
      <c r="AQ852" t="s">
        <v>74</v>
      </c>
      <c r="AR852" t="s">
        <v>1193</v>
      </c>
      <c r="AS852" t="s">
        <v>1211</v>
      </c>
      <c r="AT852" t="s">
        <v>16208</v>
      </c>
      <c r="AU852">
        <v>2015</v>
      </c>
      <c r="AV852">
        <v>3973</v>
      </c>
      <c r="AW852">
        <v>2</v>
      </c>
      <c r="AX852" t="s">
        <v>74</v>
      </c>
      <c r="AY852" t="s">
        <v>74</v>
      </c>
      <c r="AZ852" t="s">
        <v>74</v>
      </c>
      <c r="BA852" t="s">
        <v>74</v>
      </c>
      <c r="BB852">
        <v>337</v>
      </c>
      <c r="BC852">
        <v>350</v>
      </c>
      <c r="BD852" t="s">
        <v>74</v>
      </c>
      <c r="BE852" t="s">
        <v>16226</v>
      </c>
      <c r="BF852" t="str">
        <f>HYPERLINK("http://dx.doi.org/10.11646/zootaxa.3973.2.8","http://dx.doi.org/10.11646/zootaxa.3973.2.8")</f>
        <v>http://dx.doi.org/10.11646/zootaxa.3973.2.8</v>
      </c>
      <c r="BG852" t="s">
        <v>74</v>
      </c>
      <c r="BH852" t="s">
        <v>74</v>
      </c>
      <c r="BI852">
        <v>14</v>
      </c>
      <c r="BJ852" t="s">
        <v>243</v>
      </c>
      <c r="BK852" t="s">
        <v>101</v>
      </c>
      <c r="BL852" t="s">
        <v>243</v>
      </c>
      <c r="BM852" t="s">
        <v>16227</v>
      </c>
      <c r="BN852">
        <v>26249863</v>
      </c>
      <c r="BO852" t="s">
        <v>74</v>
      </c>
      <c r="BP852" t="s">
        <v>74</v>
      </c>
      <c r="BQ852" t="s">
        <v>74</v>
      </c>
      <c r="BR852" t="s">
        <v>103</v>
      </c>
      <c r="BS852" t="s">
        <v>16228</v>
      </c>
      <c r="BT852" t="str">
        <f>HYPERLINK("https%3A%2F%2Fwww.webofscience.com%2Fwos%2Fwoscc%2Ffull-record%2FWOS:000356458100008","View Full Record in Web of Science")</f>
        <v>View Full Record in Web of Science</v>
      </c>
    </row>
    <row r="853" spans="1:72" x14ac:dyDescent="0.15">
      <c r="A853" t="s">
        <v>72</v>
      </c>
      <c r="B853" t="s">
        <v>16229</v>
      </c>
      <c r="C853" t="s">
        <v>74</v>
      </c>
      <c r="D853" t="s">
        <v>74</v>
      </c>
      <c r="E853" t="s">
        <v>74</v>
      </c>
      <c r="F853" t="s">
        <v>16230</v>
      </c>
      <c r="G853" t="s">
        <v>74</v>
      </c>
      <c r="H853" t="s">
        <v>74</v>
      </c>
      <c r="I853" t="s">
        <v>16231</v>
      </c>
      <c r="J853" t="s">
        <v>13052</v>
      </c>
      <c r="K853" t="s">
        <v>74</v>
      </c>
      <c r="L853" t="s">
        <v>74</v>
      </c>
      <c r="M853" t="s">
        <v>78</v>
      </c>
      <c r="N853" t="s">
        <v>5520</v>
      </c>
      <c r="O853" t="s">
        <v>74</v>
      </c>
      <c r="P853" t="s">
        <v>74</v>
      </c>
      <c r="Q853" t="s">
        <v>74</v>
      </c>
      <c r="R853" t="s">
        <v>74</v>
      </c>
      <c r="S853" t="s">
        <v>74</v>
      </c>
      <c r="T853" t="s">
        <v>74</v>
      </c>
      <c r="U853" t="s">
        <v>16232</v>
      </c>
      <c r="V853" t="s">
        <v>74</v>
      </c>
      <c r="W853" t="s">
        <v>16233</v>
      </c>
      <c r="X853" t="s">
        <v>16234</v>
      </c>
      <c r="Y853" t="s">
        <v>16235</v>
      </c>
      <c r="Z853" t="s">
        <v>16236</v>
      </c>
      <c r="AA853" t="s">
        <v>16237</v>
      </c>
      <c r="AB853" t="s">
        <v>16238</v>
      </c>
      <c r="AC853" t="s">
        <v>74</v>
      </c>
      <c r="AD853" t="s">
        <v>74</v>
      </c>
      <c r="AE853" t="s">
        <v>74</v>
      </c>
      <c r="AF853" t="s">
        <v>74</v>
      </c>
      <c r="AG853">
        <v>29</v>
      </c>
      <c r="AH853">
        <v>6</v>
      </c>
      <c r="AI853">
        <v>6</v>
      </c>
      <c r="AJ853">
        <v>2</v>
      </c>
      <c r="AK853">
        <v>30</v>
      </c>
      <c r="AL853" t="s">
        <v>6922</v>
      </c>
      <c r="AM853" t="s">
        <v>307</v>
      </c>
      <c r="AN853" t="s">
        <v>6923</v>
      </c>
      <c r="AO853" t="s">
        <v>13063</v>
      </c>
      <c r="AP853" t="s">
        <v>13064</v>
      </c>
      <c r="AQ853" t="s">
        <v>74</v>
      </c>
      <c r="AR853" t="s">
        <v>13065</v>
      </c>
      <c r="AS853" t="s">
        <v>13066</v>
      </c>
      <c r="AT853" t="s">
        <v>16239</v>
      </c>
      <c r="AU853">
        <v>2015</v>
      </c>
      <c r="AV853">
        <v>49</v>
      </c>
      <c r="AW853">
        <v>12</v>
      </c>
      <c r="AX853" t="s">
        <v>74</v>
      </c>
      <c r="AY853" t="s">
        <v>74</v>
      </c>
      <c r="AZ853" t="s">
        <v>74</v>
      </c>
      <c r="BA853" t="s">
        <v>74</v>
      </c>
      <c r="BB853">
        <v>7504</v>
      </c>
      <c r="BC853">
        <v>7506</v>
      </c>
      <c r="BD853" t="s">
        <v>74</v>
      </c>
      <c r="BE853" t="s">
        <v>16240</v>
      </c>
      <c r="BF853" t="str">
        <f>HYPERLINK("http://dx.doi.org/10.1021/acs.est.5b01612","http://dx.doi.org/10.1021/acs.est.5b01612")</f>
        <v>http://dx.doi.org/10.1021/acs.est.5b01612</v>
      </c>
      <c r="BG853" t="s">
        <v>74</v>
      </c>
      <c r="BH853" t="s">
        <v>74</v>
      </c>
      <c r="BI853">
        <v>3</v>
      </c>
      <c r="BJ853" t="s">
        <v>13069</v>
      </c>
      <c r="BK853" t="s">
        <v>101</v>
      </c>
      <c r="BL853" t="s">
        <v>13070</v>
      </c>
      <c r="BM853" t="s">
        <v>16241</v>
      </c>
      <c r="BN853">
        <v>26010782</v>
      </c>
      <c r="BO853" t="s">
        <v>74</v>
      </c>
      <c r="BP853" t="s">
        <v>74</v>
      </c>
      <c r="BQ853" t="s">
        <v>74</v>
      </c>
      <c r="BR853" t="s">
        <v>103</v>
      </c>
      <c r="BS853" t="s">
        <v>16242</v>
      </c>
      <c r="BT853" t="str">
        <f>HYPERLINK("https%3A%2F%2Fwww.webofscience.com%2Fwos%2Fwoscc%2Ffull-record%2FWOS:000356755200048","View Full Record in Web of Science")</f>
        <v>View Full Record in Web of Science</v>
      </c>
    </row>
    <row r="854" spans="1:72" x14ac:dyDescent="0.15">
      <c r="A854" t="s">
        <v>72</v>
      </c>
      <c r="B854" t="s">
        <v>16243</v>
      </c>
      <c r="C854" t="s">
        <v>74</v>
      </c>
      <c r="D854" t="s">
        <v>74</v>
      </c>
      <c r="E854" t="s">
        <v>74</v>
      </c>
      <c r="F854" t="s">
        <v>16244</v>
      </c>
      <c r="G854" t="s">
        <v>74</v>
      </c>
      <c r="H854" t="s">
        <v>74</v>
      </c>
      <c r="I854" t="s">
        <v>16231</v>
      </c>
      <c r="J854" t="s">
        <v>13052</v>
      </c>
      <c r="K854" t="s">
        <v>74</v>
      </c>
      <c r="L854" t="s">
        <v>74</v>
      </c>
      <c r="M854" t="s">
        <v>78</v>
      </c>
      <c r="N854" t="s">
        <v>5520</v>
      </c>
      <c r="O854" t="s">
        <v>74</v>
      </c>
      <c r="P854" t="s">
        <v>74</v>
      </c>
      <c r="Q854" t="s">
        <v>74</v>
      </c>
      <c r="R854" t="s">
        <v>74</v>
      </c>
      <c r="S854" t="s">
        <v>74</v>
      </c>
      <c r="T854" t="s">
        <v>74</v>
      </c>
      <c r="U854" t="s">
        <v>16245</v>
      </c>
      <c r="V854" t="s">
        <v>74</v>
      </c>
      <c r="W854" t="s">
        <v>16246</v>
      </c>
      <c r="X854" t="s">
        <v>16247</v>
      </c>
      <c r="Y854" t="s">
        <v>16248</v>
      </c>
      <c r="Z854" t="s">
        <v>16249</v>
      </c>
      <c r="AA854" t="s">
        <v>16250</v>
      </c>
      <c r="AB854" t="s">
        <v>16251</v>
      </c>
      <c r="AC854" t="s">
        <v>74</v>
      </c>
      <c r="AD854" t="s">
        <v>74</v>
      </c>
      <c r="AE854" t="s">
        <v>74</v>
      </c>
      <c r="AF854" t="s">
        <v>74</v>
      </c>
      <c r="AG854">
        <v>20</v>
      </c>
      <c r="AH854">
        <v>6</v>
      </c>
      <c r="AI854">
        <v>6</v>
      </c>
      <c r="AJ854">
        <v>2</v>
      </c>
      <c r="AK854">
        <v>50</v>
      </c>
      <c r="AL854" t="s">
        <v>6922</v>
      </c>
      <c r="AM854" t="s">
        <v>307</v>
      </c>
      <c r="AN854" t="s">
        <v>6923</v>
      </c>
      <c r="AO854" t="s">
        <v>13063</v>
      </c>
      <c r="AP854" t="s">
        <v>13064</v>
      </c>
      <c r="AQ854" t="s">
        <v>74</v>
      </c>
      <c r="AR854" t="s">
        <v>13065</v>
      </c>
      <c r="AS854" t="s">
        <v>13066</v>
      </c>
      <c r="AT854" t="s">
        <v>16239</v>
      </c>
      <c r="AU854">
        <v>2015</v>
      </c>
      <c r="AV854">
        <v>49</v>
      </c>
      <c r="AW854">
        <v>12</v>
      </c>
      <c r="AX854" t="s">
        <v>74</v>
      </c>
      <c r="AY854" t="s">
        <v>74</v>
      </c>
      <c r="AZ854" t="s">
        <v>74</v>
      </c>
      <c r="BA854" t="s">
        <v>74</v>
      </c>
      <c r="BB854">
        <v>7507</v>
      </c>
      <c r="BC854">
        <v>7509</v>
      </c>
      <c r="BD854" t="s">
        <v>74</v>
      </c>
      <c r="BE854" t="s">
        <v>16252</v>
      </c>
      <c r="BF854" t="str">
        <f>HYPERLINK("http://dx.doi.org/10.1021/acs.est.5b01936","http://dx.doi.org/10.1021/acs.est.5b01936")</f>
        <v>http://dx.doi.org/10.1021/acs.est.5b01936</v>
      </c>
      <c r="BG854" t="s">
        <v>74</v>
      </c>
      <c r="BH854" t="s">
        <v>74</v>
      </c>
      <c r="BI854">
        <v>3</v>
      </c>
      <c r="BJ854" t="s">
        <v>13069</v>
      </c>
      <c r="BK854" t="s">
        <v>101</v>
      </c>
      <c r="BL854" t="s">
        <v>13070</v>
      </c>
      <c r="BM854" t="s">
        <v>16241</v>
      </c>
      <c r="BN854">
        <v>26011070</v>
      </c>
      <c r="BO854" t="s">
        <v>162</v>
      </c>
      <c r="BP854" t="s">
        <v>74</v>
      </c>
      <c r="BQ854" t="s">
        <v>74</v>
      </c>
      <c r="BR854" t="s">
        <v>103</v>
      </c>
      <c r="BS854" t="s">
        <v>16253</v>
      </c>
      <c r="BT854" t="str">
        <f>HYPERLINK("https%3A%2F%2Fwww.webofscience.com%2Fwos%2Fwoscc%2Ffull-record%2FWOS:000356755200049","View Full Record in Web of Science")</f>
        <v>View Full Record in Web of Science</v>
      </c>
    </row>
    <row r="855" spans="1:72" x14ac:dyDescent="0.15">
      <c r="A855" t="s">
        <v>72</v>
      </c>
      <c r="B855" t="s">
        <v>16254</v>
      </c>
      <c r="C855" t="s">
        <v>74</v>
      </c>
      <c r="D855" t="s">
        <v>74</v>
      </c>
      <c r="E855" t="s">
        <v>74</v>
      </c>
      <c r="F855" t="s">
        <v>16255</v>
      </c>
      <c r="G855" t="s">
        <v>74</v>
      </c>
      <c r="H855" t="s">
        <v>74</v>
      </c>
      <c r="I855" t="s">
        <v>16256</v>
      </c>
      <c r="J855" t="s">
        <v>13052</v>
      </c>
      <c r="K855" t="s">
        <v>74</v>
      </c>
      <c r="L855" t="s">
        <v>74</v>
      </c>
      <c r="M855" t="s">
        <v>78</v>
      </c>
      <c r="N855" t="s">
        <v>5520</v>
      </c>
      <c r="O855" t="s">
        <v>74</v>
      </c>
      <c r="P855" t="s">
        <v>74</v>
      </c>
      <c r="Q855" t="s">
        <v>74</v>
      </c>
      <c r="R855" t="s">
        <v>74</v>
      </c>
      <c r="S855" t="s">
        <v>74</v>
      </c>
      <c r="T855" t="s">
        <v>74</v>
      </c>
      <c r="U855" t="s">
        <v>16257</v>
      </c>
      <c r="V855" t="s">
        <v>74</v>
      </c>
      <c r="W855" t="s">
        <v>16258</v>
      </c>
      <c r="X855" t="s">
        <v>16259</v>
      </c>
      <c r="Y855" t="s">
        <v>16260</v>
      </c>
      <c r="Z855" t="s">
        <v>16261</v>
      </c>
      <c r="AA855" t="s">
        <v>16262</v>
      </c>
      <c r="AB855" t="s">
        <v>16263</v>
      </c>
      <c r="AC855" t="s">
        <v>74</v>
      </c>
      <c r="AD855" t="s">
        <v>74</v>
      </c>
      <c r="AE855" t="s">
        <v>74</v>
      </c>
      <c r="AF855" t="s">
        <v>74</v>
      </c>
      <c r="AG855">
        <v>22</v>
      </c>
      <c r="AH855">
        <v>2</v>
      </c>
      <c r="AI855">
        <v>2</v>
      </c>
      <c r="AJ855">
        <v>1</v>
      </c>
      <c r="AK855">
        <v>32</v>
      </c>
      <c r="AL855" t="s">
        <v>6922</v>
      </c>
      <c r="AM855" t="s">
        <v>307</v>
      </c>
      <c r="AN855" t="s">
        <v>6923</v>
      </c>
      <c r="AO855" t="s">
        <v>13063</v>
      </c>
      <c r="AP855" t="s">
        <v>13064</v>
      </c>
      <c r="AQ855" t="s">
        <v>74</v>
      </c>
      <c r="AR855" t="s">
        <v>13065</v>
      </c>
      <c r="AS855" t="s">
        <v>13066</v>
      </c>
      <c r="AT855" t="s">
        <v>16239</v>
      </c>
      <c r="AU855">
        <v>2015</v>
      </c>
      <c r="AV855">
        <v>49</v>
      </c>
      <c r="AW855">
        <v>12</v>
      </c>
      <c r="AX855" t="s">
        <v>74</v>
      </c>
      <c r="AY855" t="s">
        <v>74</v>
      </c>
      <c r="AZ855" t="s">
        <v>74</v>
      </c>
      <c r="BA855" t="s">
        <v>74</v>
      </c>
      <c r="BB855">
        <v>7510</v>
      </c>
      <c r="BC855">
        <v>7512</v>
      </c>
      <c r="BD855" t="s">
        <v>74</v>
      </c>
      <c r="BE855" t="s">
        <v>16264</v>
      </c>
      <c r="BF855" t="str">
        <f>HYPERLINK("http://dx.doi.org/10.1021/acs.est.5b02184","http://dx.doi.org/10.1021/acs.est.5b02184")</f>
        <v>http://dx.doi.org/10.1021/acs.est.5b02184</v>
      </c>
      <c r="BG855" t="s">
        <v>74</v>
      </c>
      <c r="BH855" t="s">
        <v>74</v>
      </c>
      <c r="BI855">
        <v>3</v>
      </c>
      <c r="BJ855" t="s">
        <v>13069</v>
      </c>
      <c r="BK855" t="s">
        <v>101</v>
      </c>
      <c r="BL855" t="s">
        <v>13070</v>
      </c>
      <c r="BM855" t="s">
        <v>16241</v>
      </c>
      <c r="BN855">
        <v>26000988</v>
      </c>
      <c r="BO855" t="s">
        <v>162</v>
      </c>
      <c r="BP855" t="s">
        <v>74</v>
      </c>
      <c r="BQ855" t="s">
        <v>74</v>
      </c>
      <c r="BR855" t="s">
        <v>103</v>
      </c>
      <c r="BS855" t="s">
        <v>16265</v>
      </c>
      <c r="BT855" t="str">
        <f>HYPERLINK("https%3A%2F%2Fwww.webofscience.com%2Fwos%2Fwoscc%2Ffull-record%2FWOS:000356755200050","View Full Record in Web of Science")</f>
        <v>View Full Record in Web of Science</v>
      </c>
    </row>
    <row r="856" spans="1:72" x14ac:dyDescent="0.15">
      <c r="A856" t="s">
        <v>72</v>
      </c>
      <c r="B856" t="s">
        <v>16266</v>
      </c>
      <c r="C856" t="s">
        <v>74</v>
      </c>
      <c r="D856" t="s">
        <v>74</v>
      </c>
      <c r="E856" t="s">
        <v>74</v>
      </c>
      <c r="F856" t="s">
        <v>16267</v>
      </c>
      <c r="G856" t="s">
        <v>74</v>
      </c>
      <c r="H856" t="s">
        <v>74</v>
      </c>
      <c r="I856" t="s">
        <v>16268</v>
      </c>
      <c r="J856" t="s">
        <v>1008</v>
      </c>
      <c r="K856" t="s">
        <v>74</v>
      </c>
      <c r="L856" t="s">
        <v>74</v>
      </c>
      <c r="M856" t="s">
        <v>78</v>
      </c>
      <c r="N856" t="s">
        <v>79</v>
      </c>
      <c r="O856" t="s">
        <v>74</v>
      </c>
      <c r="P856" t="s">
        <v>74</v>
      </c>
      <c r="Q856" t="s">
        <v>74</v>
      </c>
      <c r="R856" t="s">
        <v>74</v>
      </c>
      <c r="S856" t="s">
        <v>74</v>
      </c>
      <c r="T856" t="s">
        <v>16269</v>
      </c>
      <c r="U856" t="s">
        <v>16270</v>
      </c>
      <c r="V856" t="s">
        <v>16271</v>
      </c>
      <c r="W856" t="s">
        <v>16272</v>
      </c>
      <c r="X856" t="s">
        <v>1902</v>
      </c>
      <c r="Y856" t="s">
        <v>16273</v>
      </c>
      <c r="Z856" t="s">
        <v>16274</v>
      </c>
      <c r="AA856" t="s">
        <v>16275</v>
      </c>
      <c r="AB856" t="s">
        <v>16276</v>
      </c>
      <c r="AC856" t="s">
        <v>16277</v>
      </c>
      <c r="AD856" t="s">
        <v>16278</v>
      </c>
      <c r="AE856" t="s">
        <v>16279</v>
      </c>
      <c r="AF856" t="s">
        <v>74</v>
      </c>
      <c r="AG856">
        <v>38</v>
      </c>
      <c r="AH856">
        <v>30</v>
      </c>
      <c r="AI856">
        <v>30</v>
      </c>
      <c r="AJ856">
        <v>0</v>
      </c>
      <c r="AK856">
        <v>20</v>
      </c>
      <c r="AL856" t="s">
        <v>306</v>
      </c>
      <c r="AM856" t="s">
        <v>307</v>
      </c>
      <c r="AN856" t="s">
        <v>308</v>
      </c>
      <c r="AO856" t="s">
        <v>1021</v>
      </c>
      <c r="AP856" t="s">
        <v>1022</v>
      </c>
      <c r="AQ856" t="s">
        <v>74</v>
      </c>
      <c r="AR856" t="s">
        <v>1023</v>
      </c>
      <c r="AS856" t="s">
        <v>1024</v>
      </c>
      <c r="AT856" t="s">
        <v>16239</v>
      </c>
      <c r="AU856">
        <v>2015</v>
      </c>
      <c r="AV856">
        <v>42</v>
      </c>
      <c r="AW856">
        <v>11</v>
      </c>
      <c r="AX856" t="s">
        <v>74</v>
      </c>
      <c r="AY856" t="s">
        <v>74</v>
      </c>
      <c r="AZ856" t="s">
        <v>74</v>
      </c>
      <c r="BA856" t="s">
        <v>74</v>
      </c>
      <c r="BB856">
        <v>4456</v>
      </c>
      <c r="BC856">
        <v>4463</v>
      </c>
      <c r="BD856" t="s">
        <v>74</v>
      </c>
      <c r="BE856" t="s">
        <v>16280</v>
      </c>
      <c r="BF856" t="str">
        <f>HYPERLINK("http://dx.doi.org/10.1002/2015GL064195","http://dx.doi.org/10.1002/2015GL064195")</f>
        <v>http://dx.doi.org/10.1002/2015GL064195</v>
      </c>
      <c r="BG856" t="s">
        <v>74</v>
      </c>
      <c r="BH856" t="s">
        <v>74</v>
      </c>
      <c r="BI856">
        <v>8</v>
      </c>
      <c r="BJ856" t="s">
        <v>314</v>
      </c>
      <c r="BK856" t="s">
        <v>101</v>
      </c>
      <c r="BL856" t="s">
        <v>315</v>
      </c>
      <c r="BM856" t="s">
        <v>16281</v>
      </c>
      <c r="BN856" t="s">
        <v>74</v>
      </c>
      <c r="BO856" t="s">
        <v>4189</v>
      </c>
      <c r="BP856" t="s">
        <v>74</v>
      </c>
      <c r="BQ856" t="s">
        <v>74</v>
      </c>
      <c r="BR856" t="s">
        <v>103</v>
      </c>
      <c r="BS856" t="s">
        <v>16282</v>
      </c>
      <c r="BT856" t="str">
        <f>HYPERLINK("https%3A%2F%2Fwww.webofscience.com%2Fwos%2Fwoscc%2Ffull-record%2FWOS:000357511200026","View Full Record in Web of Science")</f>
        <v>View Full Record in Web of Science</v>
      </c>
    </row>
    <row r="857" spans="1:72" x14ac:dyDescent="0.15">
      <c r="A857" t="s">
        <v>72</v>
      </c>
      <c r="B857" t="s">
        <v>16283</v>
      </c>
      <c r="C857" t="s">
        <v>74</v>
      </c>
      <c r="D857" t="s">
        <v>74</v>
      </c>
      <c r="E857" t="s">
        <v>74</v>
      </c>
      <c r="F857" t="s">
        <v>16284</v>
      </c>
      <c r="G857" t="s">
        <v>74</v>
      </c>
      <c r="H857" t="s">
        <v>74</v>
      </c>
      <c r="I857" t="s">
        <v>16285</v>
      </c>
      <c r="J857" t="s">
        <v>1008</v>
      </c>
      <c r="K857" t="s">
        <v>74</v>
      </c>
      <c r="L857" t="s">
        <v>74</v>
      </c>
      <c r="M857" t="s">
        <v>78</v>
      </c>
      <c r="N857" t="s">
        <v>79</v>
      </c>
      <c r="O857" t="s">
        <v>74</v>
      </c>
      <c r="P857" t="s">
        <v>74</v>
      </c>
      <c r="Q857" t="s">
        <v>74</v>
      </c>
      <c r="R857" t="s">
        <v>74</v>
      </c>
      <c r="S857" t="s">
        <v>74</v>
      </c>
      <c r="T857" t="s">
        <v>16286</v>
      </c>
      <c r="U857" t="s">
        <v>16287</v>
      </c>
      <c r="V857" t="s">
        <v>16288</v>
      </c>
      <c r="W857" t="s">
        <v>16289</v>
      </c>
      <c r="X857" t="s">
        <v>16290</v>
      </c>
      <c r="Y857" t="s">
        <v>16291</v>
      </c>
      <c r="Z857" t="s">
        <v>16292</v>
      </c>
      <c r="AA857" t="s">
        <v>16293</v>
      </c>
      <c r="AB857" t="s">
        <v>16294</v>
      </c>
      <c r="AC857" t="s">
        <v>16295</v>
      </c>
      <c r="AD857" t="s">
        <v>16296</v>
      </c>
      <c r="AE857" t="s">
        <v>16297</v>
      </c>
      <c r="AF857" t="s">
        <v>74</v>
      </c>
      <c r="AG857">
        <v>28</v>
      </c>
      <c r="AH857">
        <v>26</v>
      </c>
      <c r="AI857">
        <v>27</v>
      </c>
      <c r="AJ857">
        <v>0</v>
      </c>
      <c r="AK857">
        <v>43</v>
      </c>
      <c r="AL857" t="s">
        <v>306</v>
      </c>
      <c r="AM857" t="s">
        <v>307</v>
      </c>
      <c r="AN857" t="s">
        <v>308</v>
      </c>
      <c r="AO857" t="s">
        <v>1021</v>
      </c>
      <c r="AP857" t="s">
        <v>1022</v>
      </c>
      <c r="AQ857" t="s">
        <v>74</v>
      </c>
      <c r="AR857" t="s">
        <v>1023</v>
      </c>
      <c r="AS857" t="s">
        <v>1024</v>
      </c>
      <c r="AT857" t="s">
        <v>16239</v>
      </c>
      <c r="AU857">
        <v>2015</v>
      </c>
      <c r="AV857">
        <v>42</v>
      </c>
      <c r="AW857">
        <v>11</v>
      </c>
      <c r="AX857" t="s">
        <v>74</v>
      </c>
      <c r="AY857" t="s">
        <v>74</v>
      </c>
      <c r="AZ857" t="s">
        <v>74</v>
      </c>
      <c r="BA857" t="s">
        <v>74</v>
      </c>
      <c r="BB857">
        <v>4516</v>
      </c>
      <c r="BC857">
        <v>4522</v>
      </c>
      <c r="BD857" t="s">
        <v>74</v>
      </c>
      <c r="BE857" t="s">
        <v>16298</v>
      </c>
      <c r="BF857" t="str">
        <f>HYPERLINK("http://dx.doi.org/10.1002/2015GL064320","http://dx.doi.org/10.1002/2015GL064320")</f>
        <v>http://dx.doi.org/10.1002/2015GL064320</v>
      </c>
      <c r="BG857" t="s">
        <v>74</v>
      </c>
      <c r="BH857" t="s">
        <v>74</v>
      </c>
      <c r="BI857">
        <v>7</v>
      </c>
      <c r="BJ857" t="s">
        <v>314</v>
      </c>
      <c r="BK857" t="s">
        <v>101</v>
      </c>
      <c r="BL857" t="s">
        <v>315</v>
      </c>
      <c r="BM857" t="s">
        <v>16281</v>
      </c>
      <c r="BN857" t="s">
        <v>74</v>
      </c>
      <c r="BO857" t="s">
        <v>74</v>
      </c>
      <c r="BP857" t="s">
        <v>74</v>
      </c>
      <c r="BQ857" t="s">
        <v>74</v>
      </c>
      <c r="BR857" t="s">
        <v>103</v>
      </c>
      <c r="BS857" t="s">
        <v>16299</v>
      </c>
      <c r="BT857" t="str">
        <f>HYPERLINK("https%3A%2F%2Fwww.webofscience.com%2Fwos%2Fwoscc%2Ffull-record%2FWOS:000357511200033","View Full Record in Web of Science")</f>
        <v>View Full Record in Web of Science</v>
      </c>
    </row>
    <row r="858" spans="1:72" x14ac:dyDescent="0.15">
      <c r="A858" t="s">
        <v>72</v>
      </c>
      <c r="B858" t="s">
        <v>16300</v>
      </c>
      <c r="C858" t="s">
        <v>74</v>
      </c>
      <c r="D858" t="s">
        <v>74</v>
      </c>
      <c r="E858" t="s">
        <v>74</v>
      </c>
      <c r="F858" t="s">
        <v>16301</v>
      </c>
      <c r="G858" t="s">
        <v>74</v>
      </c>
      <c r="H858" t="s">
        <v>74</v>
      </c>
      <c r="I858" t="s">
        <v>16302</v>
      </c>
      <c r="J858" t="s">
        <v>3096</v>
      </c>
      <c r="K858" t="s">
        <v>74</v>
      </c>
      <c r="L858" t="s">
        <v>74</v>
      </c>
      <c r="M858" t="s">
        <v>78</v>
      </c>
      <c r="N858" t="s">
        <v>79</v>
      </c>
      <c r="O858" t="s">
        <v>74</v>
      </c>
      <c r="P858" t="s">
        <v>74</v>
      </c>
      <c r="Q858" t="s">
        <v>74</v>
      </c>
      <c r="R858" t="s">
        <v>74</v>
      </c>
      <c r="S858" t="s">
        <v>74</v>
      </c>
      <c r="T858" t="s">
        <v>16303</v>
      </c>
      <c r="U858" t="s">
        <v>74</v>
      </c>
      <c r="V858" t="s">
        <v>16304</v>
      </c>
      <c r="W858" t="s">
        <v>16305</v>
      </c>
      <c r="X858" t="s">
        <v>16306</v>
      </c>
      <c r="Y858" t="s">
        <v>16307</v>
      </c>
      <c r="Z858" t="s">
        <v>16308</v>
      </c>
      <c r="AA858" t="s">
        <v>16309</v>
      </c>
      <c r="AB858" t="s">
        <v>16310</v>
      </c>
      <c r="AC858" t="s">
        <v>16311</v>
      </c>
      <c r="AD858" t="s">
        <v>16312</v>
      </c>
      <c r="AE858" t="s">
        <v>16313</v>
      </c>
      <c r="AF858" t="s">
        <v>74</v>
      </c>
      <c r="AG858">
        <v>15</v>
      </c>
      <c r="AH858">
        <v>52</v>
      </c>
      <c r="AI858">
        <v>55</v>
      </c>
      <c r="AJ858">
        <v>2</v>
      </c>
      <c r="AK858">
        <v>31</v>
      </c>
      <c r="AL858" t="s">
        <v>208</v>
      </c>
      <c r="AM858" t="s">
        <v>209</v>
      </c>
      <c r="AN858" t="s">
        <v>210</v>
      </c>
      <c r="AO858" t="s">
        <v>3107</v>
      </c>
      <c r="AP858" t="s">
        <v>3108</v>
      </c>
      <c r="AQ858" t="s">
        <v>74</v>
      </c>
      <c r="AR858" t="s">
        <v>3109</v>
      </c>
      <c r="AS858" t="s">
        <v>3110</v>
      </c>
      <c r="AT858" t="s">
        <v>16314</v>
      </c>
      <c r="AU858">
        <v>2015</v>
      </c>
      <c r="AV858">
        <v>35</v>
      </c>
      <c r="AW858">
        <v>7</v>
      </c>
      <c r="AX858" t="s">
        <v>74</v>
      </c>
      <c r="AY858" t="s">
        <v>74</v>
      </c>
      <c r="AZ858" t="s">
        <v>74</v>
      </c>
      <c r="BA858" t="s">
        <v>74</v>
      </c>
      <c r="BB858">
        <v>1354</v>
      </c>
      <c r="BC858">
        <v>1366</v>
      </c>
      <c r="BD858" t="s">
        <v>74</v>
      </c>
      <c r="BE858" t="s">
        <v>16315</v>
      </c>
      <c r="BF858" t="str">
        <f>HYPERLINK("http://dx.doi.org/10.1002/joc.4061","http://dx.doi.org/10.1002/joc.4061")</f>
        <v>http://dx.doi.org/10.1002/joc.4061</v>
      </c>
      <c r="BG858" t="s">
        <v>74</v>
      </c>
      <c r="BH858" t="s">
        <v>74</v>
      </c>
      <c r="BI858">
        <v>13</v>
      </c>
      <c r="BJ858" t="s">
        <v>271</v>
      </c>
      <c r="BK858" t="s">
        <v>101</v>
      </c>
      <c r="BL858" t="s">
        <v>271</v>
      </c>
      <c r="BM858" t="s">
        <v>16316</v>
      </c>
      <c r="BN858" t="s">
        <v>74</v>
      </c>
      <c r="BO858" t="s">
        <v>74</v>
      </c>
      <c r="BP858" t="s">
        <v>74</v>
      </c>
      <c r="BQ858" t="s">
        <v>74</v>
      </c>
      <c r="BR858" t="s">
        <v>103</v>
      </c>
      <c r="BS858" t="s">
        <v>16317</v>
      </c>
      <c r="BT858" t="str">
        <f>HYPERLINK("https%3A%2F%2Fwww.webofscience.com%2Fwos%2Fwoscc%2Ffull-record%2FWOS:000355953600013","View Full Record in Web of Science")</f>
        <v>View Full Record in Web of Science</v>
      </c>
    </row>
    <row r="859" spans="1:72" x14ac:dyDescent="0.15">
      <c r="A859" t="s">
        <v>72</v>
      </c>
      <c r="B859" t="s">
        <v>16318</v>
      </c>
      <c r="C859" t="s">
        <v>74</v>
      </c>
      <c r="D859" t="s">
        <v>74</v>
      </c>
      <c r="E859" t="s">
        <v>74</v>
      </c>
      <c r="F859" t="s">
        <v>16319</v>
      </c>
      <c r="G859" t="s">
        <v>74</v>
      </c>
      <c r="H859" t="s">
        <v>74</v>
      </c>
      <c r="I859" t="s">
        <v>16320</v>
      </c>
      <c r="J859" t="s">
        <v>8744</v>
      </c>
      <c r="K859" t="s">
        <v>74</v>
      </c>
      <c r="L859" t="s">
        <v>74</v>
      </c>
      <c r="M859" t="s">
        <v>78</v>
      </c>
      <c r="N859" t="s">
        <v>79</v>
      </c>
      <c r="O859" t="s">
        <v>74</v>
      </c>
      <c r="P859" t="s">
        <v>74</v>
      </c>
      <c r="Q859" t="s">
        <v>74</v>
      </c>
      <c r="R859" t="s">
        <v>74</v>
      </c>
      <c r="S859" t="s">
        <v>74</v>
      </c>
      <c r="T859" t="s">
        <v>16321</v>
      </c>
      <c r="U859" t="s">
        <v>16322</v>
      </c>
      <c r="V859" t="s">
        <v>16323</v>
      </c>
      <c r="W859" t="s">
        <v>16324</v>
      </c>
      <c r="X859" t="s">
        <v>16325</v>
      </c>
      <c r="Y859" t="s">
        <v>16326</v>
      </c>
      <c r="Z859" t="s">
        <v>16327</v>
      </c>
      <c r="AA859" t="s">
        <v>16328</v>
      </c>
      <c r="AB859" t="s">
        <v>16329</v>
      </c>
      <c r="AC859" t="s">
        <v>16330</v>
      </c>
      <c r="AD859" t="s">
        <v>16331</v>
      </c>
      <c r="AE859" t="s">
        <v>16332</v>
      </c>
      <c r="AF859" t="s">
        <v>74</v>
      </c>
      <c r="AG859">
        <v>55</v>
      </c>
      <c r="AH859">
        <v>53</v>
      </c>
      <c r="AI859">
        <v>57</v>
      </c>
      <c r="AJ859">
        <v>2</v>
      </c>
      <c r="AK859">
        <v>43</v>
      </c>
      <c r="AL859" t="s">
        <v>6897</v>
      </c>
      <c r="AM859" t="s">
        <v>550</v>
      </c>
      <c r="AN859" t="s">
        <v>8757</v>
      </c>
      <c r="AO859" t="s">
        <v>8758</v>
      </c>
      <c r="AP859" t="s">
        <v>8759</v>
      </c>
      <c r="AQ859" t="s">
        <v>74</v>
      </c>
      <c r="AR859" t="s">
        <v>8760</v>
      </c>
      <c r="AS859" t="s">
        <v>8761</v>
      </c>
      <c r="AT859" t="s">
        <v>16314</v>
      </c>
      <c r="AU859">
        <v>2015</v>
      </c>
      <c r="AV859">
        <v>163</v>
      </c>
      <c r="AW859" t="s">
        <v>74</v>
      </c>
      <c r="AX859" t="s">
        <v>74</v>
      </c>
      <c r="AY859" t="s">
        <v>74</v>
      </c>
      <c r="AZ859" t="s">
        <v>74</v>
      </c>
      <c r="BA859" t="s">
        <v>74</v>
      </c>
      <c r="BB859">
        <v>153</v>
      </c>
      <c r="BC859">
        <v>164</v>
      </c>
      <c r="BD859" t="s">
        <v>74</v>
      </c>
      <c r="BE859" t="s">
        <v>16333</v>
      </c>
      <c r="BF859" t="str">
        <f>HYPERLINK("http://dx.doi.org/10.1016/j.rse.2015.03.012","http://dx.doi.org/10.1016/j.rse.2015.03.012")</f>
        <v>http://dx.doi.org/10.1016/j.rse.2015.03.012</v>
      </c>
      <c r="BG859" t="s">
        <v>74</v>
      </c>
      <c r="BH859" t="s">
        <v>74</v>
      </c>
      <c r="BI859">
        <v>12</v>
      </c>
      <c r="BJ859" t="s">
        <v>8763</v>
      </c>
      <c r="BK859" t="s">
        <v>101</v>
      </c>
      <c r="BL859" t="s">
        <v>8764</v>
      </c>
      <c r="BM859" t="s">
        <v>16334</v>
      </c>
      <c r="BN859" t="s">
        <v>74</v>
      </c>
      <c r="BO859" t="s">
        <v>1213</v>
      </c>
      <c r="BP859" t="s">
        <v>74</v>
      </c>
      <c r="BQ859" t="s">
        <v>74</v>
      </c>
      <c r="BR859" t="s">
        <v>103</v>
      </c>
      <c r="BS859" t="s">
        <v>16335</v>
      </c>
      <c r="BT859" t="str">
        <f>HYPERLINK("https%3A%2F%2Fwww.webofscience.com%2Fwos%2Fwoscc%2Ffull-record%2FWOS:000355771300014","View Full Record in Web of Science")</f>
        <v>View Full Record in Web of Science</v>
      </c>
    </row>
    <row r="860" spans="1:72" x14ac:dyDescent="0.15">
      <c r="A860" t="s">
        <v>72</v>
      </c>
      <c r="B860" t="s">
        <v>16336</v>
      </c>
      <c r="C860" t="s">
        <v>74</v>
      </c>
      <c r="D860" t="s">
        <v>74</v>
      </c>
      <c r="E860" t="s">
        <v>74</v>
      </c>
      <c r="F860" t="s">
        <v>16337</v>
      </c>
      <c r="G860" t="s">
        <v>74</v>
      </c>
      <c r="H860" t="s">
        <v>74</v>
      </c>
      <c r="I860" t="s">
        <v>16338</v>
      </c>
      <c r="J860" t="s">
        <v>16339</v>
      </c>
      <c r="K860" t="s">
        <v>74</v>
      </c>
      <c r="L860" t="s">
        <v>74</v>
      </c>
      <c r="M860" t="s">
        <v>78</v>
      </c>
      <c r="N860" t="s">
        <v>581</v>
      </c>
      <c r="O860" t="s">
        <v>74</v>
      </c>
      <c r="P860" t="s">
        <v>74</v>
      </c>
      <c r="Q860" t="s">
        <v>74</v>
      </c>
      <c r="R860" t="s">
        <v>74</v>
      </c>
      <c r="S860" t="s">
        <v>74</v>
      </c>
      <c r="T860" t="s">
        <v>74</v>
      </c>
      <c r="U860" t="s">
        <v>16340</v>
      </c>
      <c r="V860" t="s">
        <v>16341</v>
      </c>
      <c r="W860" t="s">
        <v>16342</v>
      </c>
      <c r="X860" t="s">
        <v>16343</v>
      </c>
      <c r="Y860" t="s">
        <v>16344</v>
      </c>
      <c r="Z860" t="s">
        <v>16345</v>
      </c>
      <c r="AA860" t="s">
        <v>16346</v>
      </c>
      <c r="AB860" t="s">
        <v>16347</v>
      </c>
      <c r="AC860" t="s">
        <v>16348</v>
      </c>
      <c r="AD860" t="s">
        <v>16349</v>
      </c>
      <c r="AE860" t="s">
        <v>16350</v>
      </c>
      <c r="AF860" t="s">
        <v>74</v>
      </c>
      <c r="AG860">
        <v>251</v>
      </c>
      <c r="AH860">
        <v>78</v>
      </c>
      <c r="AI860">
        <v>87</v>
      </c>
      <c r="AJ860">
        <v>0</v>
      </c>
      <c r="AK860">
        <v>94</v>
      </c>
      <c r="AL860" t="s">
        <v>208</v>
      </c>
      <c r="AM860" t="s">
        <v>209</v>
      </c>
      <c r="AN860" t="s">
        <v>210</v>
      </c>
      <c r="AO860" t="s">
        <v>16351</v>
      </c>
      <c r="AP860" t="s">
        <v>16352</v>
      </c>
      <c r="AQ860" t="s">
        <v>74</v>
      </c>
      <c r="AR860" t="s">
        <v>16353</v>
      </c>
      <c r="AS860" t="s">
        <v>16354</v>
      </c>
      <c r="AT860" t="s">
        <v>16314</v>
      </c>
      <c r="AU860">
        <v>2015</v>
      </c>
      <c r="AV860">
        <v>324</v>
      </c>
      <c r="AW860">
        <v>4</v>
      </c>
      <c r="AX860" t="s">
        <v>74</v>
      </c>
      <c r="AY860" t="s">
        <v>74</v>
      </c>
      <c r="AZ860" t="s">
        <v>931</v>
      </c>
      <c r="BA860" t="s">
        <v>74</v>
      </c>
      <c r="BB860">
        <v>316</v>
      </c>
      <c r="BC860">
        <v>341</v>
      </c>
      <c r="BD860" t="s">
        <v>74</v>
      </c>
      <c r="BE860" t="s">
        <v>16355</v>
      </c>
      <c r="BF860" t="str">
        <f>HYPERLINK("http://dx.doi.org/10.1002/jez.b.22589","http://dx.doi.org/10.1002/jez.b.22589")</f>
        <v>http://dx.doi.org/10.1002/jez.b.22589</v>
      </c>
      <c r="BG860" t="s">
        <v>74</v>
      </c>
      <c r="BH860" t="s">
        <v>74</v>
      </c>
      <c r="BI860">
        <v>26</v>
      </c>
      <c r="BJ860" t="s">
        <v>16356</v>
      </c>
      <c r="BK860" t="s">
        <v>101</v>
      </c>
      <c r="BL860" t="s">
        <v>16356</v>
      </c>
      <c r="BM860" t="s">
        <v>16357</v>
      </c>
      <c r="BN860">
        <v>25111899</v>
      </c>
      <c r="BO860" t="s">
        <v>290</v>
      </c>
      <c r="BP860" t="s">
        <v>74</v>
      </c>
      <c r="BQ860" t="s">
        <v>74</v>
      </c>
      <c r="BR860" t="s">
        <v>103</v>
      </c>
      <c r="BS860" t="s">
        <v>16358</v>
      </c>
      <c r="BT860" t="str">
        <f>HYPERLINK("https%3A%2F%2Fwww.webofscience.com%2Fwos%2Fwoscc%2Ffull-record%2FWOS:000355002300002","View Full Record in Web of Science")</f>
        <v>View Full Record in Web of Science</v>
      </c>
    </row>
    <row r="861" spans="1:72" x14ac:dyDescent="0.15">
      <c r="A861" t="s">
        <v>72</v>
      </c>
      <c r="B861" t="s">
        <v>16359</v>
      </c>
      <c r="C861" t="s">
        <v>74</v>
      </c>
      <c r="D861" t="s">
        <v>74</v>
      </c>
      <c r="E861" t="s">
        <v>74</v>
      </c>
      <c r="F861" t="s">
        <v>16360</v>
      </c>
      <c r="G861" t="s">
        <v>74</v>
      </c>
      <c r="H861" t="s">
        <v>74</v>
      </c>
      <c r="I861" t="s">
        <v>16361</v>
      </c>
      <c r="J861" t="s">
        <v>16362</v>
      </c>
      <c r="K861" t="s">
        <v>74</v>
      </c>
      <c r="L861" t="s">
        <v>74</v>
      </c>
      <c r="M861" t="s">
        <v>78</v>
      </c>
      <c r="N861" t="s">
        <v>79</v>
      </c>
      <c r="O861" t="s">
        <v>74</v>
      </c>
      <c r="P861" t="s">
        <v>74</v>
      </c>
      <c r="Q861" t="s">
        <v>74</v>
      </c>
      <c r="R861" t="s">
        <v>74</v>
      </c>
      <c r="S861" t="s">
        <v>74</v>
      </c>
      <c r="T861" t="s">
        <v>16363</v>
      </c>
      <c r="U861" t="s">
        <v>16364</v>
      </c>
      <c r="V861" t="s">
        <v>16365</v>
      </c>
      <c r="W861" t="s">
        <v>16366</v>
      </c>
      <c r="X861" t="s">
        <v>16367</v>
      </c>
      <c r="Y861" t="s">
        <v>16368</v>
      </c>
      <c r="Z861" t="s">
        <v>16369</v>
      </c>
      <c r="AA861" t="s">
        <v>16370</v>
      </c>
      <c r="AB861" t="s">
        <v>16371</v>
      </c>
      <c r="AC861" t="s">
        <v>16372</v>
      </c>
      <c r="AD861" t="s">
        <v>16373</v>
      </c>
      <c r="AE861" t="s">
        <v>16374</v>
      </c>
      <c r="AF861" t="s">
        <v>74</v>
      </c>
      <c r="AG861">
        <v>62</v>
      </c>
      <c r="AH861">
        <v>234</v>
      </c>
      <c r="AI861">
        <v>243</v>
      </c>
      <c r="AJ861">
        <v>3</v>
      </c>
      <c r="AK861">
        <v>51</v>
      </c>
      <c r="AL861" t="s">
        <v>496</v>
      </c>
      <c r="AM861" t="s">
        <v>398</v>
      </c>
      <c r="AN861" t="s">
        <v>497</v>
      </c>
      <c r="AO861" t="s">
        <v>16375</v>
      </c>
      <c r="AP861" t="s">
        <v>16376</v>
      </c>
      <c r="AQ861" t="s">
        <v>74</v>
      </c>
      <c r="AR861" t="s">
        <v>16377</v>
      </c>
      <c r="AS861" t="s">
        <v>16378</v>
      </c>
      <c r="AT861" t="s">
        <v>16314</v>
      </c>
      <c r="AU861">
        <v>2015</v>
      </c>
      <c r="AV861">
        <v>148</v>
      </c>
      <c r="AW861" t="s">
        <v>74</v>
      </c>
      <c r="AX861" t="s">
        <v>74</v>
      </c>
      <c r="AY861" t="s">
        <v>74</v>
      </c>
      <c r="AZ861" t="s">
        <v>74</v>
      </c>
      <c r="BA861" t="s">
        <v>74</v>
      </c>
      <c r="BB861">
        <v>366</v>
      </c>
      <c r="BC861">
        <v>380</v>
      </c>
      <c r="BD861" t="s">
        <v>74</v>
      </c>
      <c r="BE861" t="s">
        <v>16379</v>
      </c>
      <c r="BF861" t="str">
        <f>HYPERLINK("http://dx.doi.org/10.1016/j.apenergy.2015.03.114","http://dx.doi.org/10.1016/j.apenergy.2015.03.114")</f>
        <v>http://dx.doi.org/10.1016/j.apenergy.2015.03.114</v>
      </c>
      <c r="BG861" t="s">
        <v>74</v>
      </c>
      <c r="BH861" t="s">
        <v>74</v>
      </c>
      <c r="BI861">
        <v>15</v>
      </c>
      <c r="BJ861" t="s">
        <v>16380</v>
      </c>
      <c r="BK861" t="s">
        <v>101</v>
      </c>
      <c r="BL861" t="s">
        <v>16381</v>
      </c>
      <c r="BM861" t="s">
        <v>16382</v>
      </c>
      <c r="BN861" t="s">
        <v>74</v>
      </c>
      <c r="BO861" t="s">
        <v>74</v>
      </c>
      <c r="BP861" t="s">
        <v>1736</v>
      </c>
      <c r="BQ861" t="s">
        <v>1737</v>
      </c>
      <c r="BR861" t="s">
        <v>103</v>
      </c>
      <c r="BS861" t="s">
        <v>16383</v>
      </c>
      <c r="BT861" t="str">
        <f>HYPERLINK("https%3A%2F%2Fwww.webofscience.com%2Fwos%2Fwoscc%2Ffull-record%2FWOS:000355063900035","View Full Record in Web of Science")</f>
        <v>View Full Record in Web of Science</v>
      </c>
    </row>
    <row r="862" spans="1:72" x14ac:dyDescent="0.15">
      <c r="A862" t="s">
        <v>72</v>
      </c>
      <c r="B862" t="s">
        <v>16384</v>
      </c>
      <c r="C862" t="s">
        <v>74</v>
      </c>
      <c r="D862" t="s">
        <v>74</v>
      </c>
      <c r="E862" t="s">
        <v>74</v>
      </c>
      <c r="F862" t="s">
        <v>16385</v>
      </c>
      <c r="G862" t="s">
        <v>74</v>
      </c>
      <c r="H862" t="s">
        <v>74</v>
      </c>
      <c r="I862" t="s">
        <v>16386</v>
      </c>
      <c r="J862" t="s">
        <v>1585</v>
      </c>
      <c r="K862" t="s">
        <v>74</v>
      </c>
      <c r="L862" t="s">
        <v>74</v>
      </c>
      <c r="M862" t="s">
        <v>78</v>
      </c>
      <c r="N862" t="s">
        <v>79</v>
      </c>
      <c r="O862" t="s">
        <v>74</v>
      </c>
      <c r="P862" t="s">
        <v>74</v>
      </c>
      <c r="Q862" t="s">
        <v>74</v>
      </c>
      <c r="R862" t="s">
        <v>74</v>
      </c>
      <c r="S862" t="s">
        <v>74</v>
      </c>
      <c r="T862" t="s">
        <v>16387</v>
      </c>
      <c r="U862" t="s">
        <v>16388</v>
      </c>
      <c r="V862" t="s">
        <v>16389</v>
      </c>
      <c r="W862" t="s">
        <v>16390</v>
      </c>
      <c r="X862" t="s">
        <v>16391</v>
      </c>
      <c r="Y862" t="s">
        <v>16392</v>
      </c>
      <c r="Z862" t="s">
        <v>16393</v>
      </c>
      <c r="AA862" t="s">
        <v>16394</v>
      </c>
      <c r="AB862" t="s">
        <v>16395</v>
      </c>
      <c r="AC862" t="s">
        <v>16396</v>
      </c>
      <c r="AD862" t="s">
        <v>16397</v>
      </c>
      <c r="AE862" t="s">
        <v>16398</v>
      </c>
      <c r="AF862" t="s">
        <v>74</v>
      </c>
      <c r="AG862">
        <v>52</v>
      </c>
      <c r="AH862">
        <v>25</v>
      </c>
      <c r="AI862">
        <v>27</v>
      </c>
      <c r="AJ862">
        <v>4</v>
      </c>
      <c r="AK862">
        <v>49</v>
      </c>
      <c r="AL862" t="s">
        <v>397</v>
      </c>
      <c r="AM862" t="s">
        <v>398</v>
      </c>
      <c r="AN862" t="s">
        <v>399</v>
      </c>
      <c r="AO862" t="s">
        <v>1598</v>
      </c>
      <c r="AP862" t="s">
        <v>1599</v>
      </c>
      <c r="AQ862" t="s">
        <v>74</v>
      </c>
      <c r="AR862" t="s">
        <v>1600</v>
      </c>
      <c r="AS862" t="s">
        <v>1601</v>
      </c>
      <c r="AT862" t="s">
        <v>16314</v>
      </c>
      <c r="AU862">
        <v>2015</v>
      </c>
      <c r="AV862">
        <v>95</v>
      </c>
      <c r="AW862">
        <v>1</v>
      </c>
      <c r="AX862" t="s">
        <v>74</v>
      </c>
      <c r="AY862" t="s">
        <v>74</v>
      </c>
      <c r="AZ862" t="s">
        <v>74</v>
      </c>
      <c r="BA862" t="s">
        <v>74</v>
      </c>
      <c r="BB862">
        <v>324</v>
      </c>
      <c r="BC862">
        <v>332</v>
      </c>
      <c r="BD862" t="s">
        <v>74</v>
      </c>
      <c r="BE862" t="s">
        <v>16399</v>
      </c>
      <c r="BF862" t="str">
        <f>HYPERLINK("http://dx.doi.org/10.1016/j.marpolbul.2015.03.023","http://dx.doi.org/10.1016/j.marpolbul.2015.03.023")</f>
        <v>http://dx.doi.org/10.1016/j.marpolbul.2015.03.023</v>
      </c>
      <c r="BG862" t="s">
        <v>74</v>
      </c>
      <c r="BH862" t="s">
        <v>74</v>
      </c>
      <c r="BI862">
        <v>9</v>
      </c>
      <c r="BJ862" t="s">
        <v>1605</v>
      </c>
      <c r="BK862" t="s">
        <v>101</v>
      </c>
      <c r="BL862" t="s">
        <v>990</v>
      </c>
      <c r="BM862" t="s">
        <v>16400</v>
      </c>
      <c r="BN862">
        <v>25882229</v>
      </c>
      <c r="BO862" t="s">
        <v>74</v>
      </c>
      <c r="BP862" t="s">
        <v>74</v>
      </c>
      <c r="BQ862" t="s">
        <v>74</v>
      </c>
      <c r="BR862" t="s">
        <v>103</v>
      </c>
      <c r="BS862" t="s">
        <v>16401</v>
      </c>
      <c r="BT862" t="str">
        <f>HYPERLINK("https%3A%2F%2Fwww.webofscience.com%2Fwos%2Fwoscc%2Ffull-record%2FWOS:000356741000047","View Full Record in Web of Science")</f>
        <v>View Full Record in Web of Science</v>
      </c>
    </row>
    <row r="863" spans="1:72" x14ac:dyDescent="0.15">
      <c r="A863" t="s">
        <v>72</v>
      </c>
      <c r="B863" t="s">
        <v>16402</v>
      </c>
      <c r="C863" t="s">
        <v>74</v>
      </c>
      <c r="D863" t="s">
        <v>74</v>
      </c>
      <c r="E863" t="s">
        <v>74</v>
      </c>
      <c r="F863" t="s">
        <v>16403</v>
      </c>
      <c r="G863" t="s">
        <v>74</v>
      </c>
      <c r="H863" t="s">
        <v>74</v>
      </c>
      <c r="I863" t="s">
        <v>16404</v>
      </c>
      <c r="J863" t="s">
        <v>16405</v>
      </c>
      <c r="K863" t="s">
        <v>74</v>
      </c>
      <c r="L863" t="s">
        <v>74</v>
      </c>
      <c r="M863" t="s">
        <v>78</v>
      </c>
      <c r="N863" t="s">
        <v>79</v>
      </c>
      <c r="O863" t="s">
        <v>74</v>
      </c>
      <c r="P863" t="s">
        <v>74</v>
      </c>
      <c r="Q863" t="s">
        <v>74</v>
      </c>
      <c r="R863" t="s">
        <v>74</v>
      </c>
      <c r="S863" t="s">
        <v>74</v>
      </c>
      <c r="T863" t="s">
        <v>16406</v>
      </c>
      <c r="U863" t="s">
        <v>16407</v>
      </c>
      <c r="V863" t="s">
        <v>16408</v>
      </c>
      <c r="W863" t="s">
        <v>16409</v>
      </c>
      <c r="X863" t="s">
        <v>16410</v>
      </c>
      <c r="Y863" t="s">
        <v>16411</v>
      </c>
      <c r="Z863" t="s">
        <v>16412</v>
      </c>
      <c r="AA863" t="s">
        <v>74</v>
      </c>
      <c r="AB863" t="s">
        <v>16413</v>
      </c>
      <c r="AC863" t="s">
        <v>74</v>
      </c>
      <c r="AD863" t="s">
        <v>74</v>
      </c>
      <c r="AE863" t="s">
        <v>74</v>
      </c>
      <c r="AF863" t="s">
        <v>74</v>
      </c>
      <c r="AG863">
        <v>51</v>
      </c>
      <c r="AH863">
        <v>28</v>
      </c>
      <c r="AI863">
        <v>28</v>
      </c>
      <c r="AJ863">
        <v>0</v>
      </c>
      <c r="AK863">
        <v>74</v>
      </c>
      <c r="AL863" t="s">
        <v>883</v>
      </c>
      <c r="AM863" t="s">
        <v>884</v>
      </c>
      <c r="AN863" t="s">
        <v>885</v>
      </c>
      <c r="AO863" t="s">
        <v>16414</v>
      </c>
      <c r="AP863" t="s">
        <v>16415</v>
      </c>
      <c r="AQ863" t="s">
        <v>74</v>
      </c>
      <c r="AR863" t="s">
        <v>16416</v>
      </c>
      <c r="AS863" t="s">
        <v>16417</v>
      </c>
      <c r="AT863" t="s">
        <v>16314</v>
      </c>
      <c r="AU863">
        <v>2015</v>
      </c>
      <c r="AV863">
        <v>518</v>
      </c>
      <c r="AW863" t="s">
        <v>74</v>
      </c>
      <c r="AX863" t="s">
        <v>74</v>
      </c>
      <c r="AY863" t="s">
        <v>74</v>
      </c>
      <c r="AZ863" t="s">
        <v>74</v>
      </c>
      <c r="BA863" t="s">
        <v>74</v>
      </c>
      <c r="BB863">
        <v>266</v>
      </c>
      <c r="BC863">
        <v>279</v>
      </c>
      <c r="BD863" t="s">
        <v>74</v>
      </c>
      <c r="BE863" t="s">
        <v>16418</v>
      </c>
      <c r="BF863" t="str">
        <f>HYPERLINK("http://dx.doi.org/10.1016/j.scitotenv.2015.02.096","http://dx.doi.org/10.1016/j.scitotenv.2015.02.096")</f>
        <v>http://dx.doi.org/10.1016/j.scitotenv.2015.02.096</v>
      </c>
      <c r="BG863" t="s">
        <v>74</v>
      </c>
      <c r="BH863" t="s">
        <v>74</v>
      </c>
      <c r="BI863">
        <v>14</v>
      </c>
      <c r="BJ863" t="s">
        <v>3267</v>
      </c>
      <c r="BK863" t="s">
        <v>101</v>
      </c>
      <c r="BL863" t="s">
        <v>644</v>
      </c>
      <c r="BM863" t="s">
        <v>16419</v>
      </c>
      <c r="BN863">
        <v>25770449</v>
      </c>
      <c r="BO863" t="s">
        <v>74</v>
      </c>
      <c r="BP863" t="s">
        <v>74</v>
      </c>
      <c r="BQ863" t="s">
        <v>74</v>
      </c>
      <c r="BR863" t="s">
        <v>103</v>
      </c>
      <c r="BS863" t="s">
        <v>16420</v>
      </c>
      <c r="BT863" t="str">
        <f>HYPERLINK("https%3A%2F%2Fwww.webofscience.com%2Fwos%2Fwoscc%2Ffull-record%2FWOS:000353225700028","View Full Record in Web of Science")</f>
        <v>View Full Record in Web of Science</v>
      </c>
    </row>
    <row r="864" spans="1:72" x14ac:dyDescent="0.15">
      <c r="A864" t="s">
        <v>72</v>
      </c>
      <c r="B864" t="s">
        <v>16421</v>
      </c>
      <c r="C864" t="s">
        <v>74</v>
      </c>
      <c r="D864" t="s">
        <v>74</v>
      </c>
      <c r="E864" t="s">
        <v>74</v>
      </c>
      <c r="F864" t="s">
        <v>16422</v>
      </c>
      <c r="G864" t="s">
        <v>74</v>
      </c>
      <c r="H864" t="s">
        <v>74</v>
      </c>
      <c r="I864" t="s">
        <v>16423</v>
      </c>
      <c r="J864" t="s">
        <v>16424</v>
      </c>
      <c r="K864" t="s">
        <v>74</v>
      </c>
      <c r="L864" t="s">
        <v>74</v>
      </c>
      <c r="M864" t="s">
        <v>78</v>
      </c>
      <c r="N864" t="s">
        <v>79</v>
      </c>
      <c r="O864" t="s">
        <v>74</v>
      </c>
      <c r="P864" t="s">
        <v>74</v>
      </c>
      <c r="Q864" t="s">
        <v>74</v>
      </c>
      <c r="R864" t="s">
        <v>74</v>
      </c>
      <c r="S864" t="s">
        <v>74</v>
      </c>
      <c r="T864" t="s">
        <v>16425</v>
      </c>
      <c r="U864" t="s">
        <v>16426</v>
      </c>
      <c r="V864" t="s">
        <v>16427</v>
      </c>
      <c r="W864" t="s">
        <v>16428</v>
      </c>
      <c r="X864" t="s">
        <v>7065</v>
      </c>
      <c r="Y864" t="s">
        <v>16429</v>
      </c>
      <c r="Z864" t="s">
        <v>9505</v>
      </c>
      <c r="AA864" t="s">
        <v>16430</v>
      </c>
      <c r="AB864" t="s">
        <v>16431</v>
      </c>
      <c r="AC864" t="s">
        <v>9508</v>
      </c>
      <c r="AD864" t="s">
        <v>9509</v>
      </c>
      <c r="AE864" t="s">
        <v>16432</v>
      </c>
      <c r="AF864" t="s">
        <v>74</v>
      </c>
      <c r="AG864">
        <v>66</v>
      </c>
      <c r="AH864">
        <v>17</v>
      </c>
      <c r="AI864">
        <v>19</v>
      </c>
      <c r="AJ864">
        <v>1</v>
      </c>
      <c r="AK864">
        <v>115</v>
      </c>
      <c r="AL864" t="s">
        <v>397</v>
      </c>
      <c r="AM864" t="s">
        <v>398</v>
      </c>
      <c r="AN864" t="s">
        <v>399</v>
      </c>
      <c r="AO864" t="s">
        <v>16433</v>
      </c>
      <c r="AP864" t="s">
        <v>74</v>
      </c>
      <c r="AQ864" t="s">
        <v>74</v>
      </c>
      <c r="AR864" t="s">
        <v>16434</v>
      </c>
      <c r="AS864" t="s">
        <v>16435</v>
      </c>
      <c r="AT864" t="s">
        <v>16314</v>
      </c>
      <c r="AU864">
        <v>2015</v>
      </c>
      <c r="AV864">
        <v>77</v>
      </c>
      <c r="AW864" t="s">
        <v>74</v>
      </c>
      <c r="AX864" t="s">
        <v>74</v>
      </c>
      <c r="AY864" t="s">
        <v>74</v>
      </c>
      <c r="AZ864" t="s">
        <v>74</v>
      </c>
      <c r="BA864" t="s">
        <v>74</v>
      </c>
      <c r="BB864">
        <v>24</v>
      </c>
      <c r="BC864">
        <v>34</v>
      </c>
      <c r="BD864" t="s">
        <v>74</v>
      </c>
      <c r="BE864" t="s">
        <v>16436</v>
      </c>
      <c r="BF864" t="str">
        <f>HYPERLINK("http://dx.doi.org/10.1016/j.watres.2015.03.007","http://dx.doi.org/10.1016/j.watres.2015.03.007")</f>
        <v>http://dx.doi.org/10.1016/j.watres.2015.03.007</v>
      </c>
      <c r="BG864" t="s">
        <v>74</v>
      </c>
      <c r="BH864" t="s">
        <v>74</v>
      </c>
      <c r="BI864">
        <v>11</v>
      </c>
      <c r="BJ864" t="s">
        <v>16437</v>
      </c>
      <c r="BK864" t="s">
        <v>101</v>
      </c>
      <c r="BL864" t="s">
        <v>16438</v>
      </c>
      <c r="BM864" t="s">
        <v>16439</v>
      </c>
      <c r="BN864">
        <v>25839833</v>
      </c>
      <c r="BO864" t="s">
        <v>74</v>
      </c>
      <c r="BP864" t="s">
        <v>74</v>
      </c>
      <c r="BQ864" t="s">
        <v>74</v>
      </c>
      <c r="BR864" t="s">
        <v>103</v>
      </c>
      <c r="BS864" t="s">
        <v>16440</v>
      </c>
      <c r="BT864" t="str">
        <f>HYPERLINK("https%3A%2F%2Fwww.webofscience.com%2Fwos%2Fwoscc%2Ffull-record%2FWOS:000355040000003","View Full Record in Web of Science")</f>
        <v>View Full Record in Web of Science</v>
      </c>
    </row>
    <row r="865" spans="1:72" x14ac:dyDescent="0.15">
      <c r="A865" t="s">
        <v>72</v>
      </c>
      <c r="B865" t="s">
        <v>16441</v>
      </c>
      <c r="C865" t="s">
        <v>74</v>
      </c>
      <c r="D865" t="s">
        <v>74</v>
      </c>
      <c r="E865" t="s">
        <v>74</v>
      </c>
      <c r="F865" t="s">
        <v>16442</v>
      </c>
      <c r="G865" t="s">
        <v>74</v>
      </c>
      <c r="H865" t="s">
        <v>74</v>
      </c>
      <c r="I865" t="s">
        <v>16443</v>
      </c>
      <c r="J865" t="s">
        <v>1690</v>
      </c>
      <c r="K865" t="s">
        <v>74</v>
      </c>
      <c r="L865" t="s">
        <v>74</v>
      </c>
      <c r="M865" t="s">
        <v>78</v>
      </c>
      <c r="N865" t="s">
        <v>79</v>
      </c>
      <c r="O865" t="s">
        <v>74</v>
      </c>
      <c r="P865" t="s">
        <v>74</v>
      </c>
      <c r="Q865" t="s">
        <v>74</v>
      </c>
      <c r="R865" t="s">
        <v>74</v>
      </c>
      <c r="S865" t="s">
        <v>74</v>
      </c>
      <c r="T865" t="s">
        <v>16444</v>
      </c>
      <c r="U865" t="s">
        <v>16445</v>
      </c>
      <c r="V865" t="s">
        <v>16446</v>
      </c>
      <c r="W865" t="s">
        <v>16447</v>
      </c>
      <c r="X865" t="s">
        <v>16448</v>
      </c>
      <c r="Y865" t="s">
        <v>16449</v>
      </c>
      <c r="Z865" t="s">
        <v>16450</v>
      </c>
      <c r="AA865" t="s">
        <v>16451</v>
      </c>
      <c r="AB865" t="s">
        <v>16452</v>
      </c>
      <c r="AC865" t="s">
        <v>16453</v>
      </c>
      <c r="AD865" t="s">
        <v>16454</v>
      </c>
      <c r="AE865" t="s">
        <v>16455</v>
      </c>
      <c r="AF865" t="s">
        <v>74</v>
      </c>
      <c r="AG865">
        <v>92</v>
      </c>
      <c r="AH865">
        <v>94</v>
      </c>
      <c r="AI865">
        <v>97</v>
      </c>
      <c r="AJ865">
        <v>0</v>
      </c>
      <c r="AK865">
        <v>31</v>
      </c>
      <c r="AL865" t="s">
        <v>925</v>
      </c>
      <c r="AM865" t="s">
        <v>884</v>
      </c>
      <c r="AN865" t="s">
        <v>926</v>
      </c>
      <c r="AO865" t="s">
        <v>1702</v>
      </c>
      <c r="AP865" t="s">
        <v>1703</v>
      </c>
      <c r="AQ865" t="s">
        <v>74</v>
      </c>
      <c r="AR865" t="s">
        <v>1704</v>
      </c>
      <c r="AS865" t="s">
        <v>1705</v>
      </c>
      <c r="AT865" t="s">
        <v>16314</v>
      </c>
      <c r="AU865">
        <v>2015</v>
      </c>
      <c r="AV865">
        <v>420</v>
      </c>
      <c r="AW865" t="s">
        <v>74</v>
      </c>
      <c r="AX865" t="s">
        <v>74</v>
      </c>
      <c r="AY865" t="s">
        <v>74</v>
      </c>
      <c r="AZ865" t="s">
        <v>74</v>
      </c>
      <c r="BA865" t="s">
        <v>74</v>
      </c>
      <c r="BB865">
        <v>162</v>
      </c>
      <c r="BC865">
        <v>173</v>
      </c>
      <c r="BD865" t="s">
        <v>74</v>
      </c>
      <c r="BE865" t="s">
        <v>16456</v>
      </c>
      <c r="BF865" t="str">
        <f>HYPERLINK("http://dx.doi.org/10.1016/j.epsl.2015.02.031","http://dx.doi.org/10.1016/j.epsl.2015.02.031")</f>
        <v>http://dx.doi.org/10.1016/j.epsl.2015.02.031</v>
      </c>
      <c r="BG865" t="s">
        <v>74</v>
      </c>
      <c r="BH865" t="s">
        <v>74</v>
      </c>
      <c r="BI865">
        <v>12</v>
      </c>
      <c r="BJ865" t="s">
        <v>1707</v>
      </c>
      <c r="BK865" t="s">
        <v>101</v>
      </c>
      <c r="BL865" t="s">
        <v>1707</v>
      </c>
      <c r="BM865" t="s">
        <v>16457</v>
      </c>
      <c r="BN865" t="s">
        <v>74</v>
      </c>
      <c r="BO865" t="s">
        <v>74</v>
      </c>
      <c r="BP865" t="s">
        <v>74</v>
      </c>
      <c r="BQ865" t="s">
        <v>74</v>
      </c>
      <c r="BR865" t="s">
        <v>103</v>
      </c>
      <c r="BS865" t="s">
        <v>16458</v>
      </c>
      <c r="BT865" t="str">
        <f>HYPERLINK("https%3A%2F%2Fwww.webofscience.com%2Fwos%2Fwoscc%2Ffull-record%2FWOS:000354148900016","View Full Record in Web of Science")</f>
        <v>View Full Record in Web of Science</v>
      </c>
    </row>
    <row r="866" spans="1:72" x14ac:dyDescent="0.15">
      <c r="A866" t="s">
        <v>72</v>
      </c>
      <c r="B866" t="s">
        <v>16459</v>
      </c>
      <c r="C866" t="s">
        <v>74</v>
      </c>
      <c r="D866" t="s">
        <v>74</v>
      </c>
      <c r="E866" t="s">
        <v>74</v>
      </c>
      <c r="F866" t="s">
        <v>16460</v>
      </c>
      <c r="G866" t="s">
        <v>74</v>
      </c>
      <c r="H866" t="s">
        <v>74</v>
      </c>
      <c r="I866" t="s">
        <v>16461</v>
      </c>
      <c r="J866" t="s">
        <v>16405</v>
      </c>
      <c r="K866" t="s">
        <v>74</v>
      </c>
      <c r="L866" t="s">
        <v>74</v>
      </c>
      <c r="M866" t="s">
        <v>78</v>
      </c>
      <c r="N866" t="s">
        <v>79</v>
      </c>
      <c r="O866" t="s">
        <v>74</v>
      </c>
      <c r="P866" t="s">
        <v>74</v>
      </c>
      <c r="Q866" t="s">
        <v>74</v>
      </c>
      <c r="R866" t="s">
        <v>74</v>
      </c>
      <c r="S866" t="s">
        <v>74</v>
      </c>
      <c r="T866" t="s">
        <v>16462</v>
      </c>
      <c r="U866" t="s">
        <v>16463</v>
      </c>
      <c r="V866" t="s">
        <v>16464</v>
      </c>
      <c r="W866" t="s">
        <v>16465</v>
      </c>
      <c r="X866" t="s">
        <v>16466</v>
      </c>
      <c r="Y866" t="s">
        <v>16467</v>
      </c>
      <c r="Z866" t="s">
        <v>16468</v>
      </c>
      <c r="AA866" t="s">
        <v>16469</v>
      </c>
      <c r="AB866" t="s">
        <v>16470</v>
      </c>
      <c r="AC866" t="s">
        <v>16471</v>
      </c>
      <c r="AD866" t="s">
        <v>16472</v>
      </c>
      <c r="AE866" t="s">
        <v>16473</v>
      </c>
      <c r="AF866" t="s">
        <v>74</v>
      </c>
      <c r="AG866">
        <v>54</v>
      </c>
      <c r="AH866">
        <v>9</v>
      </c>
      <c r="AI866">
        <v>9</v>
      </c>
      <c r="AJ866">
        <v>0</v>
      </c>
      <c r="AK866">
        <v>26</v>
      </c>
      <c r="AL866" t="s">
        <v>883</v>
      </c>
      <c r="AM866" t="s">
        <v>884</v>
      </c>
      <c r="AN866" t="s">
        <v>885</v>
      </c>
      <c r="AO866" t="s">
        <v>16414</v>
      </c>
      <c r="AP866" t="s">
        <v>16415</v>
      </c>
      <c r="AQ866" t="s">
        <v>74</v>
      </c>
      <c r="AR866" t="s">
        <v>16416</v>
      </c>
      <c r="AS866" t="s">
        <v>16417</v>
      </c>
      <c r="AT866" t="s">
        <v>16314</v>
      </c>
      <c r="AU866">
        <v>2015</v>
      </c>
      <c r="AV866">
        <v>518</v>
      </c>
      <c r="AW866" t="s">
        <v>74</v>
      </c>
      <c r="AX866" t="s">
        <v>74</v>
      </c>
      <c r="AY866" t="s">
        <v>74</v>
      </c>
      <c r="AZ866" t="s">
        <v>74</v>
      </c>
      <c r="BA866" t="s">
        <v>74</v>
      </c>
      <c r="BB866">
        <v>248</v>
      </c>
      <c r="BC866">
        <v>257</v>
      </c>
      <c r="BD866" t="s">
        <v>74</v>
      </c>
      <c r="BE866" t="s">
        <v>16474</v>
      </c>
      <c r="BF866" t="str">
        <f>HYPERLINK("http://dx.doi.org/10.1016/j.scitotenv.2015.03.006","http://dx.doi.org/10.1016/j.scitotenv.2015.03.006")</f>
        <v>http://dx.doi.org/10.1016/j.scitotenv.2015.03.006</v>
      </c>
      <c r="BG866" t="s">
        <v>74</v>
      </c>
      <c r="BH866" t="s">
        <v>74</v>
      </c>
      <c r="BI866">
        <v>10</v>
      </c>
      <c r="BJ866" t="s">
        <v>3267</v>
      </c>
      <c r="BK866" t="s">
        <v>101</v>
      </c>
      <c r="BL866" t="s">
        <v>644</v>
      </c>
      <c r="BM866" t="s">
        <v>16419</v>
      </c>
      <c r="BN866">
        <v>25765377</v>
      </c>
      <c r="BO866" t="s">
        <v>74</v>
      </c>
      <c r="BP866" t="s">
        <v>74</v>
      </c>
      <c r="BQ866" t="s">
        <v>74</v>
      </c>
      <c r="BR866" t="s">
        <v>103</v>
      </c>
      <c r="BS866" t="s">
        <v>16475</v>
      </c>
      <c r="BT866" t="str">
        <f>HYPERLINK("https%3A%2F%2Fwww.webofscience.com%2Fwos%2Fwoscc%2Ffull-record%2FWOS:000353225700026","View Full Record in Web of Science")</f>
        <v>View Full Record in Web of Science</v>
      </c>
    </row>
    <row r="867" spans="1:72" x14ac:dyDescent="0.15">
      <c r="A867" t="s">
        <v>72</v>
      </c>
      <c r="B867" t="s">
        <v>16476</v>
      </c>
      <c r="C867" t="s">
        <v>74</v>
      </c>
      <c r="D867" t="s">
        <v>74</v>
      </c>
      <c r="E867" t="s">
        <v>74</v>
      </c>
      <c r="F867" t="s">
        <v>16477</v>
      </c>
      <c r="G867" t="s">
        <v>74</v>
      </c>
      <c r="H867" t="s">
        <v>74</v>
      </c>
      <c r="I867" t="s">
        <v>16478</v>
      </c>
      <c r="J867" t="s">
        <v>1193</v>
      </c>
      <c r="K867" t="s">
        <v>74</v>
      </c>
      <c r="L867" t="s">
        <v>74</v>
      </c>
      <c r="M867" t="s">
        <v>78</v>
      </c>
      <c r="N867" t="s">
        <v>581</v>
      </c>
      <c r="O867" t="s">
        <v>74</v>
      </c>
      <c r="P867" t="s">
        <v>74</v>
      </c>
      <c r="Q867" t="s">
        <v>74</v>
      </c>
      <c r="R867" t="s">
        <v>74</v>
      </c>
      <c r="S867" t="s">
        <v>74</v>
      </c>
      <c r="T867" t="s">
        <v>16479</v>
      </c>
      <c r="U867" t="s">
        <v>16480</v>
      </c>
      <c r="V867" t="s">
        <v>16481</v>
      </c>
      <c r="W867" t="s">
        <v>16482</v>
      </c>
      <c r="X867" t="s">
        <v>16483</v>
      </c>
      <c r="Y867" t="s">
        <v>16484</v>
      </c>
      <c r="Z867" t="s">
        <v>16485</v>
      </c>
      <c r="AA867" t="s">
        <v>16486</v>
      </c>
      <c r="AB867" t="s">
        <v>16487</v>
      </c>
      <c r="AC867" t="s">
        <v>16488</v>
      </c>
      <c r="AD867" t="s">
        <v>16489</v>
      </c>
      <c r="AE867" t="s">
        <v>16490</v>
      </c>
      <c r="AF867" t="s">
        <v>74</v>
      </c>
      <c r="AG867">
        <v>56</v>
      </c>
      <c r="AH867">
        <v>8</v>
      </c>
      <c r="AI867">
        <v>8</v>
      </c>
      <c r="AJ867">
        <v>0</v>
      </c>
      <c r="AK867">
        <v>13</v>
      </c>
      <c r="AL867" t="s">
        <v>1206</v>
      </c>
      <c r="AM867" t="s">
        <v>1207</v>
      </c>
      <c r="AN867" t="s">
        <v>1208</v>
      </c>
      <c r="AO867" t="s">
        <v>1209</v>
      </c>
      <c r="AP867" t="s">
        <v>1210</v>
      </c>
      <c r="AQ867" t="s">
        <v>74</v>
      </c>
      <c r="AR867" t="s">
        <v>1193</v>
      </c>
      <c r="AS867" t="s">
        <v>1211</v>
      </c>
      <c r="AT867" t="s">
        <v>16491</v>
      </c>
      <c r="AU867">
        <v>2015</v>
      </c>
      <c r="AV867">
        <v>3972</v>
      </c>
      <c r="AW867">
        <v>3</v>
      </c>
      <c r="AX867" t="s">
        <v>74</v>
      </c>
      <c r="AY867" t="s">
        <v>74</v>
      </c>
      <c r="AZ867" t="s">
        <v>74</v>
      </c>
      <c r="BA867" t="s">
        <v>74</v>
      </c>
      <c r="BB867">
        <v>369</v>
      </c>
      <c r="BC867">
        <v>392</v>
      </c>
      <c r="BD867" t="s">
        <v>74</v>
      </c>
      <c r="BE867" t="s">
        <v>16492</v>
      </c>
      <c r="BF867" t="str">
        <f>HYPERLINK("http://dx.doi.org/10.11646/zootaxa.3972.3.4","http://dx.doi.org/10.11646/zootaxa.3972.3.4")</f>
        <v>http://dx.doi.org/10.11646/zootaxa.3972.3.4</v>
      </c>
      <c r="BG867" t="s">
        <v>74</v>
      </c>
      <c r="BH867" t="s">
        <v>74</v>
      </c>
      <c r="BI867">
        <v>24</v>
      </c>
      <c r="BJ867" t="s">
        <v>243</v>
      </c>
      <c r="BK867" t="s">
        <v>101</v>
      </c>
      <c r="BL867" t="s">
        <v>243</v>
      </c>
      <c r="BM867" t="s">
        <v>16493</v>
      </c>
      <c r="BN867">
        <v>26249498</v>
      </c>
      <c r="BO867" t="s">
        <v>74</v>
      </c>
      <c r="BP867" t="s">
        <v>74</v>
      </c>
      <c r="BQ867" t="s">
        <v>74</v>
      </c>
      <c r="BR867" t="s">
        <v>103</v>
      </c>
      <c r="BS867" t="s">
        <v>16494</v>
      </c>
      <c r="BT867" t="str">
        <f>HYPERLINK("https%3A%2F%2Fwww.webofscience.com%2Fwos%2Fwoscc%2Ffull-record%2FWOS:000356022400004","View Full Record in Web of Science")</f>
        <v>View Full Record in Web of Science</v>
      </c>
    </row>
    <row r="868" spans="1:72" x14ac:dyDescent="0.15">
      <c r="A868" t="s">
        <v>72</v>
      </c>
      <c r="B868" t="s">
        <v>16495</v>
      </c>
      <c r="C868" t="s">
        <v>74</v>
      </c>
      <c r="D868" t="s">
        <v>74</v>
      </c>
      <c r="E868" t="s">
        <v>74</v>
      </c>
      <c r="F868" t="s">
        <v>16496</v>
      </c>
      <c r="G868" t="s">
        <v>74</v>
      </c>
      <c r="H868" t="s">
        <v>74</v>
      </c>
      <c r="I868" t="s">
        <v>16497</v>
      </c>
      <c r="J868" t="s">
        <v>1193</v>
      </c>
      <c r="K868" t="s">
        <v>74</v>
      </c>
      <c r="L868" t="s">
        <v>74</v>
      </c>
      <c r="M868" t="s">
        <v>78</v>
      </c>
      <c r="N868" t="s">
        <v>79</v>
      </c>
      <c r="O868" t="s">
        <v>74</v>
      </c>
      <c r="P868" t="s">
        <v>74</v>
      </c>
      <c r="Q868" t="s">
        <v>74</v>
      </c>
      <c r="R868" t="s">
        <v>74</v>
      </c>
      <c r="S868" t="s">
        <v>74</v>
      </c>
      <c r="T868" t="s">
        <v>16498</v>
      </c>
      <c r="U868" t="s">
        <v>16499</v>
      </c>
      <c r="V868" t="s">
        <v>16500</v>
      </c>
      <c r="W868" t="s">
        <v>16501</v>
      </c>
      <c r="X868" t="s">
        <v>16502</v>
      </c>
      <c r="Y868" t="s">
        <v>16503</v>
      </c>
      <c r="Z868" t="s">
        <v>16504</v>
      </c>
      <c r="AA868" t="s">
        <v>74</v>
      </c>
      <c r="AB868" t="s">
        <v>16505</v>
      </c>
      <c r="AC868" t="s">
        <v>16506</v>
      </c>
      <c r="AD868" t="s">
        <v>16507</v>
      </c>
      <c r="AE868" t="s">
        <v>16508</v>
      </c>
      <c r="AF868" t="s">
        <v>74</v>
      </c>
      <c r="AG868">
        <v>60</v>
      </c>
      <c r="AH868">
        <v>8</v>
      </c>
      <c r="AI868">
        <v>11</v>
      </c>
      <c r="AJ868">
        <v>0</v>
      </c>
      <c r="AK868">
        <v>4</v>
      </c>
      <c r="AL868" t="s">
        <v>1206</v>
      </c>
      <c r="AM868" t="s">
        <v>1207</v>
      </c>
      <c r="AN868" t="s">
        <v>1208</v>
      </c>
      <c r="AO868" t="s">
        <v>1209</v>
      </c>
      <c r="AP868" t="s">
        <v>1210</v>
      </c>
      <c r="AQ868" t="s">
        <v>74</v>
      </c>
      <c r="AR868" t="s">
        <v>1193</v>
      </c>
      <c r="AS868" t="s">
        <v>1211</v>
      </c>
      <c r="AT868" t="s">
        <v>16491</v>
      </c>
      <c r="AU868">
        <v>2015</v>
      </c>
      <c r="AV868">
        <v>3972</v>
      </c>
      <c r="AW868">
        <v>3</v>
      </c>
      <c r="AX868" t="s">
        <v>74</v>
      </c>
      <c r="AY868" t="s">
        <v>74</v>
      </c>
      <c r="AZ868" t="s">
        <v>74</v>
      </c>
      <c r="BA868" t="s">
        <v>74</v>
      </c>
      <c r="BB868">
        <v>432</v>
      </c>
      <c r="BC868">
        <v>440</v>
      </c>
      <c r="BD868" t="s">
        <v>74</v>
      </c>
      <c r="BE868" t="s">
        <v>16509</v>
      </c>
      <c r="BF868" t="str">
        <f>HYPERLINK("http://dx.doi.org/10.11646/zootaxa.3972.3.8","http://dx.doi.org/10.11646/zootaxa.3972.3.8")</f>
        <v>http://dx.doi.org/10.11646/zootaxa.3972.3.8</v>
      </c>
      <c r="BG868" t="s">
        <v>74</v>
      </c>
      <c r="BH868" t="s">
        <v>74</v>
      </c>
      <c r="BI868">
        <v>9</v>
      </c>
      <c r="BJ868" t="s">
        <v>243</v>
      </c>
      <c r="BK868" t="s">
        <v>101</v>
      </c>
      <c r="BL868" t="s">
        <v>243</v>
      </c>
      <c r="BM868" t="s">
        <v>16493</v>
      </c>
      <c r="BN868">
        <v>26249502</v>
      </c>
      <c r="BO868" t="s">
        <v>1213</v>
      </c>
      <c r="BP868" t="s">
        <v>74</v>
      </c>
      <c r="BQ868" t="s">
        <v>74</v>
      </c>
      <c r="BR868" t="s">
        <v>103</v>
      </c>
      <c r="BS868" t="s">
        <v>16510</v>
      </c>
      <c r="BT868" t="str">
        <f>HYPERLINK("https%3A%2F%2Fwww.webofscience.com%2Fwos%2Fwoscc%2Ffull-record%2FWOS:000356022400008","View Full Record in Web of Science")</f>
        <v>View Full Record in Web of Science</v>
      </c>
    </row>
    <row r="869" spans="1:72" x14ac:dyDescent="0.15">
      <c r="A869" t="s">
        <v>72</v>
      </c>
      <c r="B869" t="s">
        <v>16511</v>
      </c>
      <c r="C869" t="s">
        <v>74</v>
      </c>
      <c r="D869" t="s">
        <v>74</v>
      </c>
      <c r="E869" t="s">
        <v>74</v>
      </c>
      <c r="F869" t="s">
        <v>16512</v>
      </c>
      <c r="G869" t="s">
        <v>74</v>
      </c>
      <c r="H869" t="s">
        <v>74</v>
      </c>
      <c r="I869" t="s">
        <v>16513</v>
      </c>
      <c r="J869" t="s">
        <v>1078</v>
      </c>
      <c r="K869" t="s">
        <v>74</v>
      </c>
      <c r="L869" t="s">
        <v>74</v>
      </c>
      <c r="M869" t="s">
        <v>78</v>
      </c>
      <c r="N869" t="s">
        <v>79</v>
      </c>
      <c r="O869" t="s">
        <v>74</v>
      </c>
      <c r="P869" t="s">
        <v>74</v>
      </c>
      <c r="Q869" t="s">
        <v>74</v>
      </c>
      <c r="R869" t="s">
        <v>74</v>
      </c>
      <c r="S869" t="s">
        <v>74</v>
      </c>
      <c r="T869" t="s">
        <v>74</v>
      </c>
      <c r="U869" t="s">
        <v>16514</v>
      </c>
      <c r="V869" t="s">
        <v>16515</v>
      </c>
      <c r="W869" t="s">
        <v>16516</v>
      </c>
      <c r="X869" t="s">
        <v>16517</v>
      </c>
      <c r="Y869" t="s">
        <v>16518</v>
      </c>
      <c r="Z869" t="s">
        <v>16519</v>
      </c>
      <c r="AA869" t="s">
        <v>74</v>
      </c>
      <c r="AB869" t="s">
        <v>74</v>
      </c>
      <c r="AC869" t="s">
        <v>16520</v>
      </c>
      <c r="AD869" t="s">
        <v>16521</v>
      </c>
      <c r="AE869" t="s">
        <v>16522</v>
      </c>
      <c r="AF869" t="s">
        <v>74</v>
      </c>
      <c r="AG869">
        <v>52</v>
      </c>
      <c r="AH869">
        <v>55</v>
      </c>
      <c r="AI869">
        <v>66</v>
      </c>
      <c r="AJ869">
        <v>2</v>
      </c>
      <c r="AK869">
        <v>14</v>
      </c>
      <c r="AL869" t="s">
        <v>1089</v>
      </c>
      <c r="AM869" t="s">
        <v>1090</v>
      </c>
      <c r="AN869" t="s">
        <v>1091</v>
      </c>
      <c r="AO869" t="s">
        <v>1092</v>
      </c>
      <c r="AP869" t="s">
        <v>74</v>
      </c>
      <c r="AQ869" t="s">
        <v>74</v>
      </c>
      <c r="AR869" t="s">
        <v>1078</v>
      </c>
      <c r="AS869" t="s">
        <v>1093</v>
      </c>
      <c r="AT869" t="s">
        <v>16491</v>
      </c>
      <c r="AU869">
        <v>2015</v>
      </c>
      <c r="AV869">
        <v>10</v>
      </c>
      <c r="AW869">
        <v>6</v>
      </c>
      <c r="AX869" t="s">
        <v>74</v>
      </c>
      <c r="AY869" t="s">
        <v>74</v>
      </c>
      <c r="AZ869" t="s">
        <v>74</v>
      </c>
      <c r="BA869" t="s">
        <v>74</v>
      </c>
      <c r="BB869" t="s">
        <v>74</v>
      </c>
      <c r="BC869" t="s">
        <v>74</v>
      </c>
      <c r="BD869" t="s">
        <v>16523</v>
      </c>
      <c r="BE869" t="s">
        <v>16524</v>
      </c>
      <c r="BF869" t="str">
        <f>HYPERLINK("http://dx.doi.org/10.1371/journal.pone.0130051","http://dx.doi.org/10.1371/journal.pone.0130051")</f>
        <v>http://dx.doi.org/10.1371/journal.pone.0130051</v>
      </c>
      <c r="BG869" t="s">
        <v>74</v>
      </c>
      <c r="BH869" t="s">
        <v>74</v>
      </c>
      <c r="BI869">
        <v>16</v>
      </c>
      <c r="BJ869" t="s">
        <v>530</v>
      </c>
      <c r="BK869" t="s">
        <v>101</v>
      </c>
      <c r="BL869" t="s">
        <v>531</v>
      </c>
      <c r="BM869" t="s">
        <v>16525</v>
      </c>
      <c r="BN869">
        <v>26067836</v>
      </c>
      <c r="BO869" t="s">
        <v>5233</v>
      </c>
      <c r="BP869" t="s">
        <v>74</v>
      </c>
      <c r="BQ869" t="s">
        <v>74</v>
      </c>
      <c r="BR869" t="s">
        <v>103</v>
      </c>
      <c r="BS869" t="s">
        <v>16526</v>
      </c>
      <c r="BT869" t="str">
        <f>HYPERLINK("https%3A%2F%2Fwww.webofscience.com%2Fwos%2Fwoscc%2Ffull-record%2FWOS:000356327000138","View Full Record in Web of Science")</f>
        <v>View Full Record in Web of Science</v>
      </c>
    </row>
    <row r="870" spans="1:72" x14ac:dyDescent="0.15">
      <c r="A870" t="s">
        <v>72</v>
      </c>
      <c r="B870" t="s">
        <v>16527</v>
      </c>
      <c r="C870" t="s">
        <v>74</v>
      </c>
      <c r="D870" t="s">
        <v>74</v>
      </c>
      <c r="E870" t="s">
        <v>74</v>
      </c>
      <c r="F870" t="s">
        <v>16528</v>
      </c>
      <c r="G870" t="s">
        <v>74</v>
      </c>
      <c r="H870" t="s">
        <v>74</v>
      </c>
      <c r="I870" t="s">
        <v>16529</v>
      </c>
      <c r="J870" t="s">
        <v>1987</v>
      </c>
      <c r="K870" t="s">
        <v>74</v>
      </c>
      <c r="L870" t="s">
        <v>74</v>
      </c>
      <c r="M870" t="s">
        <v>78</v>
      </c>
      <c r="N870" t="s">
        <v>79</v>
      </c>
      <c r="O870" t="s">
        <v>74</v>
      </c>
      <c r="P870" t="s">
        <v>74</v>
      </c>
      <c r="Q870" t="s">
        <v>74</v>
      </c>
      <c r="R870" t="s">
        <v>74</v>
      </c>
      <c r="S870" t="s">
        <v>74</v>
      </c>
      <c r="T870" t="s">
        <v>16530</v>
      </c>
      <c r="U870" t="s">
        <v>16531</v>
      </c>
      <c r="V870" t="s">
        <v>16532</v>
      </c>
      <c r="W870" t="s">
        <v>16533</v>
      </c>
      <c r="X870" t="s">
        <v>16534</v>
      </c>
      <c r="Y870" t="s">
        <v>16535</v>
      </c>
      <c r="Z870" t="s">
        <v>16536</v>
      </c>
      <c r="AA870" t="s">
        <v>16537</v>
      </c>
      <c r="AB870" t="s">
        <v>16538</v>
      </c>
      <c r="AC870" t="s">
        <v>16539</v>
      </c>
      <c r="AD870" t="s">
        <v>16540</v>
      </c>
      <c r="AE870" t="s">
        <v>16541</v>
      </c>
      <c r="AF870" t="s">
        <v>74</v>
      </c>
      <c r="AG870">
        <v>48</v>
      </c>
      <c r="AH870">
        <v>7</v>
      </c>
      <c r="AI870">
        <v>8</v>
      </c>
      <c r="AJ870">
        <v>0</v>
      </c>
      <c r="AK870">
        <v>42</v>
      </c>
      <c r="AL870" t="s">
        <v>397</v>
      </c>
      <c r="AM870" t="s">
        <v>398</v>
      </c>
      <c r="AN870" t="s">
        <v>399</v>
      </c>
      <c r="AO870" t="s">
        <v>1996</v>
      </c>
      <c r="AP870" t="s">
        <v>1997</v>
      </c>
      <c r="AQ870" t="s">
        <v>74</v>
      </c>
      <c r="AR870" t="s">
        <v>1998</v>
      </c>
      <c r="AS870" t="s">
        <v>1999</v>
      </c>
      <c r="AT870" t="s">
        <v>16491</v>
      </c>
      <c r="AU870">
        <v>2015</v>
      </c>
      <c r="AV870">
        <v>371</v>
      </c>
      <c r="AW870" t="s">
        <v>74</v>
      </c>
      <c r="AX870" t="s">
        <v>74</v>
      </c>
      <c r="AY870" t="s">
        <v>74</v>
      </c>
      <c r="AZ870" t="s">
        <v>74</v>
      </c>
      <c r="BA870" t="s">
        <v>74</v>
      </c>
      <c r="BB870">
        <v>191</v>
      </c>
      <c r="BC870">
        <v>196</v>
      </c>
      <c r="BD870" t="s">
        <v>74</v>
      </c>
      <c r="BE870" t="s">
        <v>16542</v>
      </c>
      <c r="BF870" t="str">
        <f>HYPERLINK("http://dx.doi.org/10.1016/j.quaint.2014.12.014","http://dx.doi.org/10.1016/j.quaint.2014.12.014")</f>
        <v>http://dx.doi.org/10.1016/j.quaint.2014.12.014</v>
      </c>
      <c r="BG870" t="s">
        <v>74</v>
      </c>
      <c r="BH870" t="s">
        <v>74</v>
      </c>
      <c r="BI870">
        <v>6</v>
      </c>
      <c r="BJ870" t="s">
        <v>1778</v>
      </c>
      <c r="BK870" t="s">
        <v>101</v>
      </c>
      <c r="BL870" t="s">
        <v>1779</v>
      </c>
      <c r="BM870" t="s">
        <v>16543</v>
      </c>
      <c r="BN870" t="s">
        <v>74</v>
      </c>
      <c r="BO870" t="s">
        <v>74</v>
      </c>
      <c r="BP870" t="s">
        <v>74</v>
      </c>
      <c r="BQ870" t="s">
        <v>74</v>
      </c>
      <c r="BR870" t="s">
        <v>103</v>
      </c>
      <c r="BS870" t="s">
        <v>16544</v>
      </c>
      <c r="BT870" t="str">
        <f>HYPERLINK("https%3A%2F%2Fwww.webofscience.com%2Fwos%2Fwoscc%2Ffull-record%2FWOS:000355331700019","View Full Record in Web of Science")</f>
        <v>View Full Record in Web of Science</v>
      </c>
    </row>
    <row r="871" spans="1:72" x14ac:dyDescent="0.15">
      <c r="A871" t="s">
        <v>72</v>
      </c>
      <c r="B871" t="s">
        <v>16545</v>
      </c>
      <c r="C871" t="s">
        <v>74</v>
      </c>
      <c r="D871" t="s">
        <v>74</v>
      </c>
      <c r="E871" t="s">
        <v>74</v>
      </c>
      <c r="F871" t="s">
        <v>16546</v>
      </c>
      <c r="G871" t="s">
        <v>74</v>
      </c>
      <c r="H871" t="s">
        <v>74</v>
      </c>
      <c r="I871" t="s">
        <v>16547</v>
      </c>
      <c r="J871" t="s">
        <v>16548</v>
      </c>
      <c r="K871" t="s">
        <v>74</v>
      </c>
      <c r="L871" t="s">
        <v>74</v>
      </c>
      <c r="M871" t="s">
        <v>78</v>
      </c>
      <c r="N871" t="s">
        <v>79</v>
      </c>
      <c r="O871" t="s">
        <v>74</v>
      </c>
      <c r="P871" t="s">
        <v>74</v>
      </c>
      <c r="Q871" t="s">
        <v>74</v>
      </c>
      <c r="R871" t="s">
        <v>74</v>
      </c>
      <c r="S871" t="s">
        <v>74</v>
      </c>
      <c r="T871" t="s">
        <v>74</v>
      </c>
      <c r="U871" t="s">
        <v>16549</v>
      </c>
      <c r="V871" t="s">
        <v>16550</v>
      </c>
      <c r="W871" t="s">
        <v>16551</v>
      </c>
      <c r="X871" t="s">
        <v>16552</v>
      </c>
      <c r="Y871" t="s">
        <v>9936</v>
      </c>
      <c r="Z871" t="s">
        <v>16553</v>
      </c>
      <c r="AA871" t="s">
        <v>16554</v>
      </c>
      <c r="AB871" t="s">
        <v>16555</v>
      </c>
      <c r="AC871" t="s">
        <v>16556</v>
      </c>
      <c r="AD871" t="s">
        <v>2187</v>
      </c>
      <c r="AE871" t="s">
        <v>16557</v>
      </c>
      <c r="AF871" t="s">
        <v>74</v>
      </c>
      <c r="AG871">
        <v>55</v>
      </c>
      <c r="AH871">
        <v>7</v>
      </c>
      <c r="AI871">
        <v>8</v>
      </c>
      <c r="AJ871">
        <v>0</v>
      </c>
      <c r="AK871">
        <v>9</v>
      </c>
      <c r="AL871" t="s">
        <v>1206</v>
      </c>
      <c r="AM871" t="s">
        <v>1207</v>
      </c>
      <c r="AN871" t="s">
        <v>1208</v>
      </c>
      <c r="AO871" t="s">
        <v>16558</v>
      </c>
      <c r="AP871" t="s">
        <v>16559</v>
      </c>
      <c r="AQ871" t="s">
        <v>74</v>
      </c>
      <c r="AR871" t="s">
        <v>16548</v>
      </c>
      <c r="AS871" t="s">
        <v>16560</v>
      </c>
      <c r="AT871" t="s">
        <v>16561</v>
      </c>
      <c r="AU871">
        <v>2015</v>
      </c>
      <c r="AV871">
        <v>213</v>
      </c>
      <c r="AW871">
        <v>1</v>
      </c>
      <c r="AX871" t="s">
        <v>74</v>
      </c>
      <c r="AY871" t="s">
        <v>74</v>
      </c>
      <c r="AZ871" t="s">
        <v>74</v>
      </c>
      <c r="BA871" t="s">
        <v>74</v>
      </c>
      <c r="BB871">
        <v>35</v>
      </c>
      <c r="BC871">
        <v>45</v>
      </c>
      <c r="BD871" t="s">
        <v>74</v>
      </c>
      <c r="BE871" t="s">
        <v>16562</v>
      </c>
      <c r="BF871" t="str">
        <f>HYPERLINK("http://dx.doi.org/10.11646/phytotaxa.213.1.3","http://dx.doi.org/10.11646/phytotaxa.213.1.3")</f>
        <v>http://dx.doi.org/10.11646/phytotaxa.213.1.3</v>
      </c>
      <c r="BG871" t="s">
        <v>74</v>
      </c>
      <c r="BH871" t="s">
        <v>74</v>
      </c>
      <c r="BI871">
        <v>11</v>
      </c>
      <c r="BJ871" t="s">
        <v>429</v>
      </c>
      <c r="BK871" t="s">
        <v>101</v>
      </c>
      <c r="BL871" t="s">
        <v>429</v>
      </c>
      <c r="BM871" t="s">
        <v>16563</v>
      </c>
      <c r="BN871" t="s">
        <v>74</v>
      </c>
      <c r="BO871" t="s">
        <v>74</v>
      </c>
      <c r="BP871" t="s">
        <v>74</v>
      </c>
      <c r="BQ871" t="s">
        <v>74</v>
      </c>
      <c r="BR871" t="s">
        <v>103</v>
      </c>
      <c r="BS871" t="s">
        <v>16564</v>
      </c>
      <c r="BT871" t="str">
        <f>HYPERLINK("https%3A%2F%2Fwww.webofscience.com%2Fwos%2Fwoscc%2Ffull-record%2FWOS:000356600000003","View Full Record in Web of Science")</f>
        <v>View Full Record in Web of Science</v>
      </c>
    </row>
    <row r="872" spans="1:72" x14ac:dyDescent="0.15">
      <c r="A872" t="s">
        <v>72</v>
      </c>
      <c r="B872" t="s">
        <v>16565</v>
      </c>
      <c r="C872" t="s">
        <v>74</v>
      </c>
      <c r="D872" t="s">
        <v>74</v>
      </c>
      <c r="E872" t="s">
        <v>74</v>
      </c>
      <c r="F872" t="s">
        <v>16566</v>
      </c>
      <c r="G872" t="s">
        <v>74</v>
      </c>
      <c r="H872" t="s">
        <v>74</v>
      </c>
      <c r="I872" t="s">
        <v>16567</v>
      </c>
      <c r="J872" t="s">
        <v>16568</v>
      </c>
      <c r="K872" t="s">
        <v>74</v>
      </c>
      <c r="L872" t="s">
        <v>74</v>
      </c>
      <c r="M872" t="s">
        <v>78</v>
      </c>
      <c r="N872" t="s">
        <v>79</v>
      </c>
      <c r="O872" t="s">
        <v>74</v>
      </c>
      <c r="P872" t="s">
        <v>74</v>
      </c>
      <c r="Q872" t="s">
        <v>74</v>
      </c>
      <c r="R872" t="s">
        <v>74</v>
      </c>
      <c r="S872" t="s">
        <v>74</v>
      </c>
      <c r="T872" t="s">
        <v>16569</v>
      </c>
      <c r="U872" t="s">
        <v>16570</v>
      </c>
      <c r="V872" t="s">
        <v>16571</v>
      </c>
      <c r="W872" t="s">
        <v>16572</v>
      </c>
      <c r="X872" t="s">
        <v>16573</v>
      </c>
      <c r="Y872" t="s">
        <v>16574</v>
      </c>
      <c r="Z872" t="s">
        <v>16575</v>
      </c>
      <c r="AA872" t="s">
        <v>16576</v>
      </c>
      <c r="AB872" t="s">
        <v>16577</v>
      </c>
      <c r="AC872" t="s">
        <v>16578</v>
      </c>
      <c r="AD872" t="s">
        <v>16579</v>
      </c>
      <c r="AE872" t="s">
        <v>16580</v>
      </c>
      <c r="AF872" t="s">
        <v>74</v>
      </c>
      <c r="AG872">
        <v>111</v>
      </c>
      <c r="AH872">
        <v>45</v>
      </c>
      <c r="AI872">
        <v>48</v>
      </c>
      <c r="AJ872">
        <v>3</v>
      </c>
      <c r="AK872">
        <v>37</v>
      </c>
      <c r="AL872" t="s">
        <v>6136</v>
      </c>
      <c r="AM872" t="s">
        <v>180</v>
      </c>
      <c r="AN872" t="s">
        <v>6137</v>
      </c>
      <c r="AO872" t="s">
        <v>16581</v>
      </c>
      <c r="AP872" t="s">
        <v>74</v>
      </c>
      <c r="AQ872" t="s">
        <v>74</v>
      </c>
      <c r="AR872" t="s">
        <v>16582</v>
      </c>
      <c r="AS872" t="s">
        <v>16583</v>
      </c>
      <c r="AT872" t="s">
        <v>16561</v>
      </c>
      <c r="AU872">
        <v>2015</v>
      </c>
      <c r="AV872">
        <v>15</v>
      </c>
      <c r="AW872" t="s">
        <v>74</v>
      </c>
      <c r="AX872" t="s">
        <v>74</v>
      </c>
      <c r="AY872" t="s">
        <v>74</v>
      </c>
      <c r="AZ872" t="s">
        <v>74</v>
      </c>
      <c r="BA872" t="s">
        <v>74</v>
      </c>
      <c r="BB872" t="s">
        <v>74</v>
      </c>
      <c r="BC872" t="s">
        <v>74</v>
      </c>
      <c r="BD872">
        <v>109</v>
      </c>
      <c r="BE872" t="s">
        <v>16584</v>
      </c>
      <c r="BF872" t="str">
        <f>HYPERLINK("http://dx.doi.org/10.1186/s12862-015-0362-9","http://dx.doi.org/10.1186/s12862-015-0362-9")</f>
        <v>http://dx.doi.org/10.1186/s12862-015-0362-9</v>
      </c>
      <c r="BG872" t="s">
        <v>74</v>
      </c>
      <c r="BH872" t="s">
        <v>74</v>
      </c>
      <c r="BI872">
        <v>14</v>
      </c>
      <c r="BJ872" t="s">
        <v>8097</v>
      </c>
      <c r="BK872" t="s">
        <v>101</v>
      </c>
      <c r="BL872" t="s">
        <v>8097</v>
      </c>
      <c r="BM872" t="s">
        <v>16585</v>
      </c>
      <c r="BN872">
        <v>26062690</v>
      </c>
      <c r="BO872" t="s">
        <v>1304</v>
      </c>
      <c r="BP872" t="s">
        <v>74</v>
      </c>
      <c r="BQ872" t="s">
        <v>74</v>
      </c>
      <c r="BR872" t="s">
        <v>103</v>
      </c>
      <c r="BS872" t="s">
        <v>16586</v>
      </c>
      <c r="BT872" t="str">
        <f>HYPERLINK("https%3A%2F%2Fwww.webofscience.com%2Fwos%2Fwoscc%2Ffull-record%2FWOS:000355989100002","View Full Record in Web of Science")</f>
        <v>View Full Record in Web of Science</v>
      </c>
    </row>
    <row r="873" spans="1:72" x14ac:dyDescent="0.15">
      <c r="A873" t="s">
        <v>72</v>
      </c>
      <c r="B873" t="s">
        <v>16587</v>
      </c>
      <c r="C873" t="s">
        <v>74</v>
      </c>
      <c r="D873" t="s">
        <v>74</v>
      </c>
      <c r="E873" t="s">
        <v>74</v>
      </c>
      <c r="F873" t="s">
        <v>16588</v>
      </c>
      <c r="G873" t="s">
        <v>74</v>
      </c>
      <c r="H873" t="s">
        <v>74</v>
      </c>
      <c r="I873" t="s">
        <v>16589</v>
      </c>
      <c r="J873" t="s">
        <v>1336</v>
      </c>
      <c r="K873" t="s">
        <v>74</v>
      </c>
      <c r="L873" t="s">
        <v>74</v>
      </c>
      <c r="M873" t="s">
        <v>78</v>
      </c>
      <c r="N873" t="s">
        <v>79</v>
      </c>
      <c r="O873" t="s">
        <v>74</v>
      </c>
      <c r="P873" t="s">
        <v>74</v>
      </c>
      <c r="Q873" t="s">
        <v>74</v>
      </c>
      <c r="R873" t="s">
        <v>74</v>
      </c>
      <c r="S873" t="s">
        <v>74</v>
      </c>
      <c r="T873" t="s">
        <v>74</v>
      </c>
      <c r="U873" t="s">
        <v>16590</v>
      </c>
      <c r="V873" t="s">
        <v>16591</v>
      </c>
      <c r="W873" t="s">
        <v>16592</v>
      </c>
      <c r="X873" t="s">
        <v>16593</v>
      </c>
      <c r="Y873" t="s">
        <v>16594</v>
      </c>
      <c r="Z873" t="s">
        <v>16595</v>
      </c>
      <c r="AA873" t="s">
        <v>16596</v>
      </c>
      <c r="AB873" t="s">
        <v>16597</v>
      </c>
      <c r="AC873" t="s">
        <v>16598</v>
      </c>
      <c r="AD873" t="s">
        <v>16599</v>
      </c>
      <c r="AE873" t="s">
        <v>16600</v>
      </c>
      <c r="AF873" t="s">
        <v>74</v>
      </c>
      <c r="AG873">
        <v>79</v>
      </c>
      <c r="AH873">
        <v>118</v>
      </c>
      <c r="AI873">
        <v>129</v>
      </c>
      <c r="AJ873">
        <v>1</v>
      </c>
      <c r="AK873">
        <v>120</v>
      </c>
      <c r="AL873" t="s">
        <v>523</v>
      </c>
      <c r="AM873" t="s">
        <v>524</v>
      </c>
      <c r="AN873" t="s">
        <v>525</v>
      </c>
      <c r="AO873" t="s">
        <v>1345</v>
      </c>
      <c r="AP873" t="s">
        <v>1346</v>
      </c>
      <c r="AQ873" t="s">
        <v>74</v>
      </c>
      <c r="AR873" t="s">
        <v>1336</v>
      </c>
      <c r="AS873" t="s">
        <v>1347</v>
      </c>
      <c r="AT873" t="s">
        <v>16561</v>
      </c>
      <c r="AU873">
        <v>2015</v>
      </c>
      <c r="AV873">
        <v>522</v>
      </c>
      <c r="AW873">
        <v>7555</v>
      </c>
      <c r="AX873" t="s">
        <v>74</v>
      </c>
      <c r="AY873" t="s">
        <v>74</v>
      </c>
      <c r="AZ873" t="s">
        <v>74</v>
      </c>
      <c r="BA873" t="s">
        <v>74</v>
      </c>
      <c r="BB873">
        <v>197</v>
      </c>
      <c r="BC873" t="s">
        <v>556</v>
      </c>
      <c r="BD873" t="s">
        <v>74</v>
      </c>
      <c r="BE873" t="s">
        <v>16601</v>
      </c>
      <c r="BF873" t="str">
        <f>HYPERLINK("http://dx.doi.org/10.1038/nature14499","http://dx.doi.org/10.1038/nature14499")</f>
        <v>http://dx.doi.org/10.1038/nature14499</v>
      </c>
      <c r="BG873" t="s">
        <v>74</v>
      </c>
      <c r="BH873" t="s">
        <v>74</v>
      </c>
      <c r="BI873">
        <v>18</v>
      </c>
      <c r="BJ873" t="s">
        <v>530</v>
      </c>
      <c r="BK873" t="s">
        <v>101</v>
      </c>
      <c r="BL873" t="s">
        <v>531</v>
      </c>
      <c r="BM873" t="s">
        <v>16602</v>
      </c>
      <c r="BN873">
        <v>26062511</v>
      </c>
      <c r="BO873" t="s">
        <v>74</v>
      </c>
      <c r="BP873" t="s">
        <v>74</v>
      </c>
      <c r="BQ873" t="s">
        <v>74</v>
      </c>
      <c r="BR873" t="s">
        <v>103</v>
      </c>
      <c r="BS873" t="s">
        <v>16603</v>
      </c>
      <c r="BT873" t="str">
        <f>HYPERLINK("https%3A%2F%2Fwww.webofscience.com%2Fwos%2Fwoscc%2Ffull-record%2FWOS:000356016700035","View Full Record in Web of Science")</f>
        <v>View Full Record in Web of Science</v>
      </c>
    </row>
    <row r="874" spans="1:72" x14ac:dyDescent="0.15">
      <c r="A874" t="s">
        <v>72</v>
      </c>
      <c r="B874" t="s">
        <v>16604</v>
      </c>
      <c r="C874" t="s">
        <v>74</v>
      </c>
      <c r="D874" t="s">
        <v>74</v>
      </c>
      <c r="E874" t="s">
        <v>74</v>
      </c>
      <c r="F874" t="s">
        <v>16605</v>
      </c>
      <c r="G874" t="s">
        <v>74</v>
      </c>
      <c r="H874" t="s">
        <v>74</v>
      </c>
      <c r="I874" t="s">
        <v>16606</v>
      </c>
      <c r="J874" t="s">
        <v>1193</v>
      </c>
      <c r="K874" t="s">
        <v>74</v>
      </c>
      <c r="L874" t="s">
        <v>74</v>
      </c>
      <c r="M874" t="s">
        <v>78</v>
      </c>
      <c r="N874" t="s">
        <v>79</v>
      </c>
      <c r="O874" t="s">
        <v>74</v>
      </c>
      <c r="P874" t="s">
        <v>74</v>
      </c>
      <c r="Q874" t="s">
        <v>74</v>
      </c>
      <c r="R874" t="s">
        <v>74</v>
      </c>
      <c r="S874" t="s">
        <v>74</v>
      </c>
      <c r="T874" t="s">
        <v>16607</v>
      </c>
      <c r="U874" t="s">
        <v>16608</v>
      </c>
      <c r="V874" t="s">
        <v>16609</v>
      </c>
      <c r="W874" t="s">
        <v>16610</v>
      </c>
      <c r="X874" t="s">
        <v>16611</v>
      </c>
      <c r="Y874" t="s">
        <v>16612</v>
      </c>
      <c r="Z874" t="s">
        <v>16613</v>
      </c>
      <c r="AA874" t="s">
        <v>74</v>
      </c>
      <c r="AB874" t="s">
        <v>16614</v>
      </c>
      <c r="AC874" t="s">
        <v>16615</v>
      </c>
      <c r="AD874" t="s">
        <v>16616</v>
      </c>
      <c r="AE874" t="s">
        <v>16617</v>
      </c>
      <c r="AF874" t="s">
        <v>74</v>
      </c>
      <c r="AG874">
        <v>90</v>
      </c>
      <c r="AH874">
        <v>35</v>
      </c>
      <c r="AI874">
        <v>37</v>
      </c>
      <c r="AJ874">
        <v>0</v>
      </c>
      <c r="AK874">
        <v>17</v>
      </c>
      <c r="AL874" t="s">
        <v>1206</v>
      </c>
      <c r="AM874" t="s">
        <v>1207</v>
      </c>
      <c r="AN874" t="s">
        <v>9679</v>
      </c>
      <c r="AO874" t="s">
        <v>1209</v>
      </c>
      <c r="AP874" t="s">
        <v>1210</v>
      </c>
      <c r="AQ874" t="s">
        <v>74</v>
      </c>
      <c r="AR874" t="s">
        <v>1193</v>
      </c>
      <c r="AS874" t="s">
        <v>1211</v>
      </c>
      <c r="AT874" t="s">
        <v>16618</v>
      </c>
      <c r="AU874">
        <v>2015</v>
      </c>
      <c r="AV874">
        <v>3971</v>
      </c>
      <c r="AW874">
        <v>1</v>
      </c>
      <c r="AX874" t="s">
        <v>74</v>
      </c>
      <c r="AY874" t="s">
        <v>74</v>
      </c>
      <c r="AZ874" t="s">
        <v>74</v>
      </c>
      <c r="BA874" t="s">
        <v>74</v>
      </c>
      <c r="BB874">
        <v>1</v>
      </c>
      <c r="BC874">
        <v>80</v>
      </c>
      <c r="BD874" t="s">
        <v>74</v>
      </c>
      <c r="BE874" t="s">
        <v>74</v>
      </c>
      <c r="BF874" t="s">
        <v>74</v>
      </c>
      <c r="BG874" t="s">
        <v>74</v>
      </c>
      <c r="BH874" t="s">
        <v>74</v>
      </c>
      <c r="BI874">
        <v>80</v>
      </c>
      <c r="BJ874" t="s">
        <v>243</v>
      </c>
      <c r="BK874" t="s">
        <v>101</v>
      </c>
      <c r="BL874" t="s">
        <v>243</v>
      </c>
      <c r="BM874" t="s">
        <v>16619</v>
      </c>
      <c r="BN874" t="s">
        <v>74</v>
      </c>
      <c r="BO874" t="s">
        <v>74</v>
      </c>
      <c r="BP874" t="s">
        <v>74</v>
      </c>
      <c r="BQ874" t="s">
        <v>74</v>
      </c>
      <c r="BR874" t="s">
        <v>103</v>
      </c>
      <c r="BS874" t="s">
        <v>16620</v>
      </c>
      <c r="BT874" t="str">
        <f>HYPERLINK("https%3A%2F%2Fwww.webofscience.com%2Fwos%2Fwoscc%2Ffull-record%2FWOS:000356021400001","View Full Record in Web of Science")</f>
        <v>View Full Record in Web of Science</v>
      </c>
    </row>
    <row r="875" spans="1:72" x14ac:dyDescent="0.15">
      <c r="A875" t="s">
        <v>72</v>
      </c>
      <c r="B875" t="s">
        <v>16621</v>
      </c>
      <c r="C875" t="s">
        <v>74</v>
      </c>
      <c r="D875" t="s">
        <v>74</v>
      </c>
      <c r="E875" t="s">
        <v>74</v>
      </c>
      <c r="F875" t="s">
        <v>16622</v>
      </c>
      <c r="G875" t="s">
        <v>74</v>
      </c>
      <c r="H875" t="s">
        <v>74</v>
      </c>
      <c r="I875" t="s">
        <v>16623</v>
      </c>
      <c r="J875" t="s">
        <v>1033</v>
      </c>
      <c r="K875" t="s">
        <v>74</v>
      </c>
      <c r="L875" t="s">
        <v>74</v>
      </c>
      <c r="M875" t="s">
        <v>78</v>
      </c>
      <c r="N875" t="s">
        <v>79</v>
      </c>
      <c r="O875" t="s">
        <v>74</v>
      </c>
      <c r="P875" t="s">
        <v>74</v>
      </c>
      <c r="Q875" t="s">
        <v>74</v>
      </c>
      <c r="R875" t="s">
        <v>74</v>
      </c>
      <c r="S875" t="s">
        <v>74</v>
      </c>
      <c r="T875" t="s">
        <v>16624</v>
      </c>
      <c r="U875" t="s">
        <v>16625</v>
      </c>
      <c r="V875" t="s">
        <v>16626</v>
      </c>
      <c r="W875" t="s">
        <v>16627</v>
      </c>
      <c r="X875" t="s">
        <v>16628</v>
      </c>
      <c r="Y875" t="s">
        <v>16629</v>
      </c>
      <c r="Z875" t="s">
        <v>16630</v>
      </c>
      <c r="AA875" t="s">
        <v>11649</v>
      </c>
      <c r="AB875" t="s">
        <v>11650</v>
      </c>
      <c r="AC875" t="s">
        <v>16631</v>
      </c>
      <c r="AD875" t="s">
        <v>16632</v>
      </c>
      <c r="AE875" t="s">
        <v>16633</v>
      </c>
      <c r="AF875" t="s">
        <v>74</v>
      </c>
      <c r="AG875">
        <v>83</v>
      </c>
      <c r="AH875">
        <v>13</v>
      </c>
      <c r="AI875">
        <v>16</v>
      </c>
      <c r="AJ875">
        <v>0</v>
      </c>
      <c r="AK875">
        <v>43</v>
      </c>
      <c r="AL875" t="s">
        <v>1046</v>
      </c>
      <c r="AM875" t="s">
        <v>1047</v>
      </c>
      <c r="AN875" t="s">
        <v>1048</v>
      </c>
      <c r="AO875" t="s">
        <v>1049</v>
      </c>
      <c r="AP875" t="s">
        <v>1050</v>
      </c>
      <c r="AQ875" t="s">
        <v>74</v>
      </c>
      <c r="AR875" t="s">
        <v>1051</v>
      </c>
      <c r="AS875" t="s">
        <v>1052</v>
      </c>
      <c r="AT875" t="s">
        <v>16634</v>
      </c>
      <c r="AU875">
        <v>2015</v>
      </c>
      <c r="AV875">
        <v>529</v>
      </c>
      <c r="AW875" t="s">
        <v>74</v>
      </c>
      <c r="AX875" t="s">
        <v>74</v>
      </c>
      <c r="AY875" t="s">
        <v>74</v>
      </c>
      <c r="AZ875" t="s">
        <v>74</v>
      </c>
      <c r="BA875" t="s">
        <v>74</v>
      </c>
      <c r="BB875">
        <v>35</v>
      </c>
      <c r="BC875">
        <v>48</v>
      </c>
      <c r="BD875" t="s">
        <v>74</v>
      </c>
      <c r="BE875" t="s">
        <v>16635</v>
      </c>
      <c r="BF875" t="str">
        <f>HYPERLINK("http://dx.doi.org/10.3354/meps11324","http://dx.doi.org/10.3354/meps11324")</f>
        <v>http://dx.doi.org/10.3354/meps11324</v>
      </c>
      <c r="BG875" t="s">
        <v>74</v>
      </c>
      <c r="BH875" t="s">
        <v>74</v>
      </c>
      <c r="BI875">
        <v>14</v>
      </c>
      <c r="BJ875" t="s">
        <v>1054</v>
      </c>
      <c r="BK875" t="s">
        <v>101</v>
      </c>
      <c r="BL875" t="s">
        <v>1055</v>
      </c>
      <c r="BM875" t="s">
        <v>16636</v>
      </c>
      <c r="BN875" t="s">
        <v>74</v>
      </c>
      <c r="BO875" t="s">
        <v>162</v>
      </c>
      <c r="BP875" t="s">
        <v>74</v>
      </c>
      <c r="BQ875" t="s">
        <v>74</v>
      </c>
      <c r="BR875" t="s">
        <v>103</v>
      </c>
      <c r="BS875" t="s">
        <v>16637</v>
      </c>
      <c r="BT875" t="str">
        <f>HYPERLINK("https%3A%2F%2Fwww.webofscience.com%2Fwos%2Fwoscc%2Ffull-record%2FWOS:000356076000003","View Full Record in Web of Science")</f>
        <v>View Full Record in Web of Science</v>
      </c>
    </row>
    <row r="876" spans="1:72" x14ac:dyDescent="0.15">
      <c r="A876" t="s">
        <v>72</v>
      </c>
      <c r="B876" t="s">
        <v>16638</v>
      </c>
      <c r="C876" t="s">
        <v>74</v>
      </c>
      <c r="D876" t="s">
        <v>74</v>
      </c>
      <c r="E876" t="s">
        <v>74</v>
      </c>
      <c r="F876" t="s">
        <v>16639</v>
      </c>
      <c r="G876" t="s">
        <v>74</v>
      </c>
      <c r="H876" t="s">
        <v>74</v>
      </c>
      <c r="I876" t="s">
        <v>16640</v>
      </c>
      <c r="J876" t="s">
        <v>1033</v>
      </c>
      <c r="K876" t="s">
        <v>74</v>
      </c>
      <c r="L876" t="s">
        <v>74</v>
      </c>
      <c r="M876" t="s">
        <v>78</v>
      </c>
      <c r="N876" t="s">
        <v>79</v>
      </c>
      <c r="O876" t="s">
        <v>74</v>
      </c>
      <c r="P876" t="s">
        <v>74</v>
      </c>
      <c r="Q876" t="s">
        <v>74</v>
      </c>
      <c r="R876" t="s">
        <v>74</v>
      </c>
      <c r="S876" t="s">
        <v>74</v>
      </c>
      <c r="T876" t="s">
        <v>16641</v>
      </c>
      <c r="U876" t="s">
        <v>16642</v>
      </c>
      <c r="V876" t="s">
        <v>16643</v>
      </c>
      <c r="W876" t="s">
        <v>16644</v>
      </c>
      <c r="X876" t="s">
        <v>16645</v>
      </c>
      <c r="Y876" t="s">
        <v>16646</v>
      </c>
      <c r="Z876" t="s">
        <v>16647</v>
      </c>
      <c r="AA876" t="s">
        <v>74</v>
      </c>
      <c r="AB876" t="s">
        <v>74</v>
      </c>
      <c r="AC876" t="s">
        <v>16648</v>
      </c>
      <c r="AD876" t="s">
        <v>16649</v>
      </c>
      <c r="AE876" t="s">
        <v>16650</v>
      </c>
      <c r="AF876" t="s">
        <v>74</v>
      </c>
      <c r="AG876">
        <v>43</v>
      </c>
      <c r="AH876">
        <v>10</v>
      </c>
      <c r="AI876">
        <v>13</v>
      </c>
      <c r="AJ876">
        <v>1</v>
      </c>
      <c r="AK876">
        <v>31</v>
      </c>
      <c r="AL876" t="s">
        <v>1046</v>
      </c>
      <c r="AM876" t="s">
        <v>1047</v>
      </c>
      <c r="AN876" t="s">
        <v>1048</v>
      </c>
      <c r="AO876" t="s">
        <v>1049</v>
      </c>
      <c r="AP876" t="s">
        <v>1050</v>
      </c>
      <c r="AQ876" t="s">
        <v>74</v>
      </c>
      <c r="AR876" t="s">
        <v>1051</v>
      </c>
      <c r="AS876" t="s">
        <v>1052</v>
      </c>
      <c r="AT876" t="s">
        <v>16634</v>
      </c>
      <c r="AU876">
        <v>2015</v>
      </c>
      <c r="AV876">
        <v>529</v>
      </c>
      <c r="AW876" t="s">
        <v>74</v>
      </c>
      <c r="AX876" t="s">
        <v>74</v>
      </c>
      <c r="AY876" t="s">
        <v>74</v>
      </c>
      <c r="AZ876" t="s">
        <v>74</v>
      </c>
      <c r="BA876" t="s">
        <v>74</v>
      </c>
      <c r="BB876">
        <v>49</v>
      </c>
      <c r="BC876">
        <v>61</v>
      </c>
      <c r="BD876" t="s">
        <v>74</v>
      </c>
      <c r="BE876" t="s">
        <v>16651</v>
      </c>
      <c r="BF876" t="str">
        <f>HYPERLINK("http://dx.doi.org/10.3354/meps11291","http://dx.doi.org/10.3354/meps11291")</f>
        <v>http://dx.doi.org/10.3354/meps11291</v>
      </c>
      <c r="BG876" t="s">
        <v>74</v>
      </c>
      <c r="BH876" t="s">
        <v>74</v>
      </c>
      <c r="BI876">
        <v>13</v>
      </c>
      <c r="BJ876" t="s">
        <v>1054</v>
      </c>
      <c r="BK876" t="s">
        <v>101</v>
      </c>
      <c r="BL876" t="s">
        <v>1055</v>
      </c>
      <c r="BM876" t="s">
        <v>16636</v>
      </c>
      <c r="BN876" t="s">
        <v>74</v>
      </c>
      <c r="BO876" t="s">
        <v>162</v>
      </c>
      <c r="BP876" t="s">
        <v>74</v>
      </c>
      <c r="BQ876" t="s">
        <v>74</v>
      </c>
      <c r="BR876" t="s">
        <v>103</v>
      </c>
      <c r="BS876" t="s">
        <v>16652</v>
      </c>
      <c r="BT876" t="str">
        <f>HYPERLINK("https%3A%2F%2Fwww.webofscience.com%2Fwos%2Fwoscc%2Ffull-record%2FWOS:000356076000004","View Full Record in Web of Science")</f>
        <v>View Full Record in Web of Science</v>
      </c>
    </row>
    <row r="877" spans="1:72" x14ac:dyDescent="0.15">
      <c r="A877" t="s">
        <v>72</v>
      </c>
      <c r="B877" t="s">
        <v>16653</v>
      </c>
      <c r="C877" t="s">
        <v>74</v>
      </c>
      <c r="D877" t="s">
        <v>74</v>
      </c>
      <c r="E877" t="s">
        <v>74</v>
      </c>
      <c r="F877" t="s">
        <v>16654</v>
      </c>
      <c r="G877" t="s">
        <v>74</v>
      </c>
      <c r="H877" t="s">
        <v>74</v>
      </c>
      <c r="I877" t="s">
        <v>16655</v>
      </c>
      <c r="J877" t="s">
        <v>1033</v>
      </c>
      <c r="K877" t="s">
        <v>74</v>
      </c>
      <c r="L877" t="s">
        <v>74</v>
      </c>
      <c r="M877" t="s">
        <v>78</v>
      </c>
      <c r="N877" t="s">
        <v>79</v>
      </c>
      <c r="O877" t="s">
        <v>74</v>
      </c>
      <c r="P877" t="s">
        <v>74</v>
      </c>
      <c r="Q877" t="s">
        <v>74</v>
      </c>
      <c r="R877" t="s">
        <v>74</v>
      </c>
      <c r="S877" t="s">
        <v>74</v>
      </c>
      <c r="T877" t="s">
        <v>16656</v>
      </c>
      <c r="U877" t="s">
        <v>16657</v>
      </c>
      <c r="V877" t="s">
        <v>16658</v>
      </c>
      <c r="W877" t="s">
        <v>16659</v>
      </c>
      <c r="X877" t="s">
        <v>16660</v>
      </c>
      <c r="Y877" t="s">
        <v>16661</v>
      </c>
      <c r="Z877" t="s">
        <v>16662</v>
      </c>
      <c r="AA877" t="s">
        <v>16663</v>
      </c>
      <c r="AB877" t="s">
        <v>16664</v>
      </c>
      <c r="AC877" t="s">
        <v>16665</v>
      </c>
      <c r="AD877" t="s">
        <v>16666</v>
      </c>
      <c r="AE877" t="s">
        <v>16667</v>
      </c>
      <c r="AF877" t="s">
        <v>74</v>
      </c>
      <c r="AG877">
        <v>53</v>
      </c>
      <c r="AH877">
        <v>21</v>
      </c>
      <c r="AI877">
        <v>23</v>
      </c>
      <c r="AJ877">
        <v>4</v>
      </c>
      <c r="AK877">
        <v>41</v>
      </c>
      <c r="AL877" t="s">
        <v>1046</v>
      </c>
      <c r="AM877" t="s">
        <v>1047</v>
      </c>
      <c r="AN877" t="s">
        <v>1048</v>
      </c>
      <c r="AO877" t="s">
        <v>1049</v>
      </c>
      <c r="AP877" t="s">
        <v>1050</v>
      </c>
      <c r="AQ877" t="s">
        <v>74</v>
      </c>
      <c r="AR877" t="s">
        <v>1051</v>
      </c>
      <c r="AS877" t="s">
        <v>1052</v>
      </c>
      <c r="AT877" t="s">
        <v>16634</v>
      </c>
      <c r="AU877">
        <v>2015</v>
      </c>
      <c r="AV877">
        <v>529</v>
      </c>
      <c r="AW877" t="s">
        <v>74</v>
      </c>
      <c r="AX877" t="s">
        <v>74</v>
      </c>
      <c r="AY877" t="s">
        <v>74</v>
      </c>
      <c r="AZ877" t="s">
        <v>74</v>
      </c>
      <c r="BA877" t="s">
        <v>74</v>
      </c>
      <c r="BB877">
        <v>63</v>
      </c>
      <c r="BC877">
        <v>74</v>
      </c>
      <c r="BD877" t="s">
        <v>74</v>
      </c>
      <c r="BE877" t="s">
        <v>16668</v>
      </c>
      <c r="BF877" t="str">
        <f>HYPERLINK("http://dx.doi.org/10.3354/meps11288","http://dx.doi.org/10.3354/meps11288")</f>
        <v>http://dx.doi.org/10.3354/meps11288</v>
      </c>
      <c r="BG877" t="s">
        <v>74</v>
      </c>
      <c r="BH877" t="s">
        <v>74</v>
      </c>
      <c r="BI877">
        <v>12</v>
      </c>
      <c r="BJ877" t="s">
        <v>1054</v>
      </c>
      <c r="BK877" t="s">
        <v>101</v>
      </c>
      <c r="BL877" t="s">
        <v>1055</v>
      </c>
      <c r="BM877" t="s">
        <v>16636</v>
      </c>
      <c r="BN877" t="s">
        <v>74</v>
      </c>
      <c r="BO877" t="s">
        <v>162</v>
      </c>
      <c r="BP877" t="s">
        <v>74</v>
      </c>
      <c r="BQ877" t="s">
        <v>74</v>
      </c>
      <c r="BR877" t="s">
        <v>103</v>
      </c>
      <c r="BS877" t="s">
        <v>16669</v>
      </c>
      <c r="BT877" t="str">
        <f>HYPERLINK("https%3A%2F%2Fwww.webofscience.com%2Fwos%2Fwoscc%2Ffull-record%2FWOS:000356076000005","View Full Record in Web of Science")</f>
        <v>View Full Record in Web of Science</v>
      </c>
    </row>
    <row r="878" spans="1:72" x14ac:dyDescent="0.15">
      <c r="A878" t="s">
        <v>72</v>
      </c>
      <c r="B878" t="s">
        <v>16670</v>
      </c>
      <c r="C878" t="s">
        <v>74</v>
      </c>
      <c r="D878" t="s">
        <v>74</v>
      </c>
      <c r="E878" t="s">
        <v>74</v>
      </c>
      <c r="F878" t="s">
        <v>16671</v>
      </c>
      <c r="G878" t="s">
        <v>74</v>
      </c>
      <c r="H878" t="s">
        <v>74</v>
      </c>
      <c r="I878" t="s">
        <v>16672</v>
      </c>
      <c r="J878" t="s">
        <v>13052</v>
      </c>
      <c r="K878" t="s">
        <v>74</v>
      </c>
      <c r="L878" t="s">
        <v>74</v>
      </c>
      <c r="M878" t="s">
        <v>78</v>
      </c>
      <c r="N878" t="s">
        <v>79</v>
      </c>
      <c r="O878" t="s">
        <v>74</v>
      </c>
      <c r="P878" t="s">
        <v>74</v>
      </c>
      <c r="Q878" t="s">
        <v>74</v>
      </c>
      <c r="R878" t="s">
        <v>74</v>
      </c>
      <c r="S878" t="s">
        <v>74</v>
      </c>
      <c r="T878" t="s">
        <v>74</v>
      </c>
      <c r="U878" t="s">
        <v>16673</v>
      </c>
      <c r="V878" t="s">
        <v>16674</v>
      </c>
      <c r="W878" t="s">
        <v>16675</v>
      </c>
      <c r="X878" t="s">
        <v>16676</v>
      </c>
      <c r="Y878" t="s">
        <v>16677</v>
      </c>
      <c r="Z878" t="s">
        <v>16678</v>
      </c>
      <c r="AA878" t="s">
        <v>16679</v>
      </c>
      <c r="AB878" t="s">
        <v>16680</v>
      </c>
      <c r="AC878" t="s">
        <v>16681</v>
      </c>
      <c r="AD878" t="s">
        <v>16682</v>
      </c>
      <c r="AE878" t="s">
        <v>16683</v>
      </c>
      <c r="AF878" t="s">
        <v>74</v>
      </c>
      <c r="AG878">
        <v>48</v>
      </c>
      <c r="AH878">
        <v>24</v>
      </c>
      <c r="AI878">
        <v>27</v>
      </c>
      <c r="AJ878">
        <v>3</v>
      </c>
      <c r="AK878">
        <v>63</v>
      </c>
      <c r="AL878" t="s">
        <v>6922</v>
      </c>
      <c r="AM878" t="s">
        <v>307</v>
      </c>
      <c r="AN878" t="s">
        <v>6923</v>
      </c>
      <c r="AO878" t="s">
        <v>13063</v>
      </c>
      <c r="AP878" t="s">
        <v>13064</v>
      </c>
      <c r="AQ878" t="s">
        <v>74</v>
      </c>
      <c r="AR878" t="s">
        <v>13065</v>
      </c>
      <c r="AS878" t="s">
        <v>13066</v>
      </c>
      <c r="AT878" t="s">
        <v>16684</v>
      </c>
      <c r="AU878">
        <v>2015</v>
      </c>
      <c r="AV878">
        <v>49</v>
      </c>
      <c r="AW878">
        <v>11</v>
      </c>
      <c r="AX878" t="s">
        <v>74</v>
      </c>
      <c r="AY878" t="s">
        <v>74</v>
      </c>
      <c r="AZ878" t="s">
        <v>74</v>
      </c>
      <c r="BA878" t="s">
        <v>74</v>
      </c>
      <c r="BB878">
        <v>6691</v>
      </c>
      <c r="BC878">
        <v>6700</v>
      </c>
      <c r="BD878" t="s">
        <v>74</v>
      </c>
      <c r="BE878" t="s">
        <v>16685</v>
      </c>
      <c r="BF878" t="str">
        <f>HYPERLINK("http://dx.doi.org/10.1021/acs.est.5b01234","http://dx.doi.org/10.1021/acs.est.5b01234")</f>
        <v>http://dx.doi.org/10.1021/acs.est.5b01234</v>
      </c>
      <c r="BG878" t="s">
        <v>74</v>
      </c>
      <c r="BH878" t="s">
        <v>74</v>
      </c>
      <c r="BI878">
        <v>10</v>
      </c>
      <c r="BJ878" t="s">
        <v>13069</v>
      </c>
      <c r="BK878" t="s">
        <v>101</v>
      </c>
      <c r="BL878" t="s">
        <v>13070</v>
      </c>
      <c r="BM878" t="s">
        <v>16686</v>
      </c>
      <c r="BN878">
        <v>25944707</v>
      </c>
      <c r="BO878" t="s">
        <v>74</v>
      </c>
      <c r="BP878" t="s">
        <v>74</v>
      </c>
      <c r="BQ878" t="s">
        <v>74</v>
      </c>
      <c r="BR878" t="s">
        <v>103</v>
      </c>
      <c r="BS878" t="s">
        <v>16687</v>
      </c>
      <c r="BT878" t="str">
        <f>HYPERLINK("https%3A%2F%2Fwww.webofscience.com%2Fwos%2Fwoscc%2Ffull-record%2FWOS:000355779100041","View Full Record in Web of Science")</f>
        <v>View Full Record in Web of Science</v>
      </c>
    </row>
    <row r="879" spans="1:72" x14ac:dyDescent="0.15">
      <c r="A879" t="s">
        <v>72</v>
      </c>
      <c r="B879" t="s">
        <v>16688</v>
      </c>
      <c r="C879" t="s">
        <v>74</v>
      </c>
      <c r="D879" t="s">
        <v>74</v>
      </c>
      <c r="E879" t="s">
        <v>74</v>
      </c>
      <c r="F879" t="s">
        <v>16689</v>
      </c>
      <c r="G879" t="s">
        <v>74</v>
      </c>
      <c r="H879" t="s">
        <v>74</v>
      </c>
      <c r="I879" t="s">
        <v>16690</v>
      </c>
      <c r="J879" t="s">
        <v>13052</v>
      </c>
      <c r="K879" t="s">
        <v>74</v>
      </c>
      <c r="L879" t="s">
        <v>74</v>
      </c>
      <c r="M879" t="s">
        <v>78</v>
      </c>
      <c r="N879" t="s">
        <v>79</v>
      </c>
      <c r="O879" t="s">
        <v>74</v>
      </c>
      <c r="P879" t="s">
        <v>74</v>
      </c>
      <c r="Q879" t="s">
        <v>74</v>
      </c>
      <c r="R879" t="s">
        <v>74</v>
      </c>
      <c r="S879" t="s">
        <v>74</v>
      </c>
      <c r="T879" t="s">
        <v>74</v>
      </c>
      <c r="U879" t="s">
        <v>16691</v>
      </c>
      <c r="V879" t="s">
        <v>16692</v>
      </c>
      <c r="W879" t="s">
        <v>16693</v>
      </c>
      <c r="X879" t="s">
        <v>7685</v>
      </c>
      <c r="Y879" t="s">
        <v>16694</v>
      </c>
      <c r="Z879" t="s">
        <v>16695</v>
      </c>
      <c r="AA879" t="s">
        <v>16696</v>
      </c>
      <c r="AB879" t="s">
        <v>16697</v>
      </c>
      <c r="AC879" t="s">
        <v>16698</v>
      </c>
      <c r="AD879" t="s">
        <v>16699</v>
      </c>
      <c r="AE879" t="s">
        <v>16700</v>
      </c>
      <c r="AF879" t="s">
        <v>74</v>
      </c>
      <c r="AG879">
        <v>40</v>
      </c>
      <c r="AH879">
        <v>39</v>
      </c>
      <c r="AI879">
        <v>41</v>
      </c>
      <c r="AJ879">
        <v>2</v>
      </c>
      <c r="AK879">
        <v>54</v>
      </c>
      <c r="AL879" t="s">
        <v>6922</v>
      </c>
      <c r="AM879" t="s">
        <v>307</v>
      </c>
      <c r="AN879" t="s">
        <v>6923</v>
      </c>
      <c r="AO879" t="s">
        <v>13063</v>
      </c>
      <c r="AP879" t="s">
        <v>13064</v>
      </c>
      <c r="AQ879" t="s">
        <v>74</v>
      </c>
      <c r="AR879" t="s">
        <v>13065</v>
      </c>
      <c r="AS879" t="s">
        <v>13066</v>
      </c>
      <c r="AT879" t="s">
        <v>16684</v>
      </c>
      <c r="AU879">
        <v>2015</v>
      </c>
      <c r="AV879">
        <v>49</v>
      </c>
      <c r="AW879">
        <v>11</v>
      </c>
      <c r="AX879" t="s">
        <v>74</v>
      </c>
      <c r="AY879" t="s">
        <v>74</v>
      </c>
      <c r="AZ879" t="s">
        <v>74</v>
      </c>
      <c r="BA879" t="s">
        <v>74</v>
      </c>
      <c r="BB879">
        <v>6712</v>
      </c>
      <c r="BC879">
        <v>6721</v>
      </c>
      <c r="BD879" t="s">
        <v>74</v>
      </c>
      <c r="BE879" t="s">
        <v>16701</v>
      </c>
      <c r="BF879" t="str">
        <f>HYPERLINK("http://dx.doi.org/10.1021/acs.est.5b00969","http://dx.doi.org/10.1021/acs.est.5b00969")</f>
        <v>http://dx.doi.org/10.1021/acs.est.5b00969</v>
      </c>
      <c r="BG879" t="s">
        <v>74</v>
      </c>
      <c r="BH879" t="s">
        <v>74</v>
      </c>
      <c r="BI879">
        <v>10</v>
      </c>
      <c r="BJ879" t="s">
        <v>13069</v>
      </c>
      <c r="BK879" t="s">
        <v>101</v>
      </c>
      <c r="BL879" t="s">
        <v>13070</v>
      </c>
      <c r="BM879" t="s">
        <v>16686</v>
      </c>
      <c r="BN879">
        <v>25923446</v>
      </c>
      <c r="BO879" t="s">
        <v>290</v>
      </c>
      <c r="BP879" t="s">
        <v>74</v>
      </c>
      <c r="BQ879" t="s">
        <v>74</v>
      </c>
      <c r="BR879" t="s">
        <v>103</v>
      </c>
      <c r="BS879" t="s">
        <v>16702</v>
      </c>
      <c r="BT879" t="str">
        <f>HYPERLINK("https%3A%2F%2Fwww.webofscience.com%2Fwos%2Fwoscc%2Ffull-record%2FWOS:000355779100043","View Full Record in Web of Science")</f>
        <v>View Full Record in Web of Science</v>
      </c>
    </row>
    <row r="880" spans="1:72" x14ac:dyDescent="0.15">
      <c r="A880" t="s">
        <v>72</v>
      </c>
      <c r="B880" t="s">
        <v>16703</v>
      </c>
      <c r="C880" t="s">
        <v>74</v>
      </c>
      <c r="D880" t="s">
        <v>74</v>
      </c>
      <c r="E880" t="s">
        <v>74</v>
      </c>
      <c r="F880" t="s">
        <v>16704</v>
      </c>
      <c r="G880" t="s">
        <v>74</v>
      </c>
      <c r="H880" t="s">
        <v>74</v>
      </c>
      <c r="I880" t="s">
        <v>16705</v>
      </c>
      <c r="J880" t="s">
        <v>1489</v>
      </c>
      <c r="K880" t="s">
        <v>74</v>
      </c>
      <c r="L880" t="s">
        <v>74</v>
      </c>
      <c r="M880" t="s">
        <v>78</v>
      </c>
      <c r="N880" t="s">
        <v>79</v>
      </c>
      <c r="O880" t="s">
        <v>74</v>
      </c>
      <c r="P880" t="s">
        <v>74</v>
      </c>
      <c r="Q880" t="s">
        <v>74</v>
      </c>
      <c r="R880" t="s">
        <v>74</v>
      </c>
      <c r="S880" t="s">
        <v>74</v>
      </c>
      <c r="T880" t="s">
        <v>16706</v>
      </c>
      <c r="U880" t="s">
        <v>16707</v>
      </c>
      <c r="V880" t="s">
        <v>16708</v>
      </c>
      <c r="W880" t="s">
        <v>16709</v>
      </c>
      <c r="X880" t="s">
        <v>16710</v>
      </c>
      <c r="Y880" t="s">
        <v>16711</v>
      </c>
      <c r="Z880" t="s">
        <v>16712</v>
      </c>
      <c r="AA880" t="s">
        <v>16713</v>
      </c>
      <c r="AB880" t="s">
        <v>16714</v>
      </c>
      <c r="AC880" t="s">
        <v>16715</v>
      </c>
      <c r="AD880" t="s">
        <v>13262</v>
      </c>
      <c r="AE880" t="s">
        <v>16716</v>
      </c>
      <c r="AF880" t="s">
        <v>74</v>
      </c>
      <c r="AG880">
        <v>28</v>
      </c>
      <c r="AH880">
        <v>96</v>
      </c>
      <c r="AI880">
        <v>112</v>
      </c>
      <c r="AJ880">
        <v>5</v>
      </c>
      <c r="AK880">
        <v>96</v>
      </c>
      <c r="AL880" t="s">
        <v>1502</v>
      </c>
      <c r="AM880" t="s">
        <v>307</v>
      </c>
      <c r="AN880" t="s">
        <v>1503</v>
      </c>
      <c r="AO880" t="s">
        <v>1504</v>
      </c>
      <c r="AP880" t="s">
        <v>74</v>
      </c>
      <c r="AQ880" t="s">
        <v>74</v>
      </c>
      <c r="AR880" t="s">
        <v>1505</v>
      </c>
      <c r="AS880" t="s">
        <v>1506</v>
      </c>
      <c r="AT880" t="s">
        <v>16684</v>
      </c>
      <c r="AU880">
        <v>2015</v>
      </c>
      <c r="AV880">
        <v>112</v>
      </c>
      <c r="AW880">
        <v>22</v>
      </c>
      <c r="AX880" t="s">
        <v>74</v>
      </c>
      <c r="AY880" t="s">
        <v>74</v>
      </c>
      <c r="AZ880" t="s">
        <v>74</v>
      </c>
      <c r="BA880" t="s">
        <v>74</v>
      </c>
      <c r="BB880">
        <v>6887</v>
      </c>
      <c r="BC880">
        <v>6891</v>
      </c>
      <c r="BD880" t="s">
        <v>74</v>
      </c>
      <c r="BE880" t="s">
        <v>16717</v>
      </c>
      <c r="BF880" t="str">
        <f>HYPERLINK("http://dx.doi.org/10.1073/pnas.1420232112","http://dx.doi.org/10.1073/pnas.1420232112")</f>
        <v>http://dx.doi.org/10.1073/pnas.1420232112</v>
      </c>
      <c r="BG880" t="s">
        <v>74</v>
      </c>
      <c r="BH880" t="s">
        <v>74</v>
      </c>
      <c r="BI880">
        <v>5</v>
      </c>
      <c r="BJ880" t="s">
        <v>530</v>
      </c>
      <c r="BK880" t="s">
        <v>101</v>
      </c>
      <c r="BL880" t="s">
        <v>531</v>
      </c>
      <c r="BM880" t="s">
        <v>16718</v>
      </c>
      <c r="BN880">
        <v>25964367</v>
      </c>
      <c r="BO880" t="s">
        <v>4189</v>
      </c>
      <c r="BP880" t="s">
        <v>74</v>
      </c>
      <c r="BQ880" t="s">
        <v>74</v>
      </c>
      <c r="BR880" t="s">
        <v>103</v>
      </c>
      <c r="BS880" t="s">
        <v>16719</v>
      </c>
      <c r="BT880" t="str">
        <f>HYPERLINK("https%3A%2F%2Fwww.webofscience.com%2Fwos%2Fwoscc%2Ffull-record%2FWOS:000355832200046","View Full Record in Web of Science")</f>
        <v>View Full Record in Web of Science</v>
      </c>
    </row>
    <row r="881" spans="1:72" x14ac:dyDescent="0.15">
      <c r="A881" t="s">
        <v>72</v>
      </c>
      <c r="B881" t="s">
        <v>16720</v>
      </c>
      <c r="C881" t="s">
        <v>74</v>
      </c>
      <c r="D881" t="s">
        <v>74</v>
      </c>
      <c r="E881" t="s">
        <v>74</v>
      </c>
      <c r="F881" t="s">
        <v>16721</v>
      </c>
      <c r="G881" t="s">
        <v>74</v>
      </c>
      <c r="H881" t="s">
        <v>74</v>
      </c>
      <c r="I881" t="s">
        <v>16722</v>
      </c>
      <c r="J881" t="s">
        <v>16723</v>
      </c>
      <c r="K881" t="s">
        <v>74</v>
      </c>
      <c r="L881" t="s">
        <v>74</v>
      </c>
      <c r="M881" t="s">
        <v>78</v>
      </c>
      <c r="N881" t="s">
        <v>79</v>
      </c>
      <c r="O881" t="s">
        <v>74</v>
      </c>
      <c r="P881" t="s">
        <v>74</v>
      </c>
      <c r="Q881" t="s">
        <v>74</v>
      </c>
      <c r="R881" t="s">
        <v>74</v>
      </c>
      <c r="S881" t="s">
        <v>74</v>
      </c>
      <c r="T881" t="s">
        <v>16724</v>
      </c>
      <c r="U881" t="s">
        <v>16725</v>
      </c>
      <c r="V881" t="s">
        <v>16726</v>
      </c>
      <c r="W881" t="s">
        <v>16727</v>
      </c>
      <c r="X881" t="s">
        <v>14226</v>
      </c>
      <c r="Y881" t="s">
        <v>16728</v>
      </c>
      <c r="Z881" t="s">
        <v>16729</v>
      </c>
      <c r="AA881" t="s">
        <v>16730</v>
      </c>
      <c r="AB881" t="s">
        <v>16731</v>
      </c>
      <c r="AC881" t="s">
        <v>16732</v>
      </c>
      <c r="AD881" t="s">
        <v>74</v>
      </c>
      <c r="AE881" t="s">
        <v>16733</v>
      </c>
      <c r="AF881" t="s">
        <v>74</v>
      </c>
      <c r="AG881">
        <v>49</v>
      </c>
      <c r="AH881">
        <v>11</v>
      </c>
      <c r="AI881">
        <v>13</v>
      </c>
      <c r="AJ881">
        <v>0</v>
      </c>
      <c r="AK881">
        <v>18</v>
      </c>
      <c r="AL881" t="s">
        <v>16734</v>
      </c>
      <c r="AM881" t="s">
        <v>16735</v>
      </c>
      <c r="AN881" t="s">
        <v>16736</v>
      </c>
      <c r="AO881" t="s">
        <v>16737</v>
      </c>
      <c r="AP881" t="s">
        <v>16738</v>
      </c>
      <c r="AQ881" t="s">
        <v>74</v>
      </c>
      <c r="AR881" t="s">
        <v>16739</v>
      </c>
      <c r="AS881" t="s">
        <v>16740</v>
      </c>
      <c r="AT881" t="s">
        <v>16741</v>
      </c>
      <c r="AU881">
        <v>2015</v>
      </c>
      <c r="AV881">
        <v>16</v>
      </c>
      <c r="AW881">
        <v>1</v>
      </c>
      <c r="AX881" t="s">
        <v>74</v>
      </c>
      <c r="AY881" t="s">
        <v>74</v>
      </c>
      <c r="AZ881" t="s">
        <v>74</v>
      </c>
      <c r="BA881" t="s">
        <v>74</v>
      </c>
      <c r="BB881">
        <v>55</v>
      </c>
      <c r="BC881">
        <v>65</v>
      </c>
      <c r="BD881" t="s">
        <v>74</v>
      </c>
      <c r="BE881" t="s">
        <v>16742</v>
      </c>
      <c r="BF881" t="str">
        <f>HYPERLINK("http://dx.doi.org/10.1556/168.2015.16.1.7","http://dx.doi.org/10.1556/168.2015.16.1.7")</f>
        <v>http://dx.doi.org/10.1556/168.2015.16.1.7</v>
      </c>
      <c r="BG881" t="s">
        <v>74</v>
      </c>
      <c r="BH881" t="s">
        <v>74</v>
      </c>
      <c r="BI881">
        <v>11</v>
      </c>
      <c r="BJ881" t="s">
        <v>643</v>
      </c>
      <c r="BK881" t="s">
        <v>101</v>
      </c>
      <c r="BL881" t="s">
        <v>644</v>
      </c>
      <c r="BM881" t="s">
        <v>16743</v>
      </c>
      <c r="BN881" t="s">
        <v>74</v>
      </c>
      <c r="BO881" t="s">
        <v>1781</v>
      </c>
      <c r="BP881" t="s">
        <v>74</v>
      </c>
      <c r="BQ881" t="s">
        <v>74</v>
      </c>
      <c r="BR881" t="s">
        <v>103</v>
      </c>
      <c r="BS881" t="s">
        <v>16744</v>
      </c>
      <c r="BT881" t="str">
        <f>HYPERLINK("https%3A%2F%2Fwww.webofscience.com%2Fwos%2Fwoscc%2Ffull-record%2FWOS:000365978200007","View Full Record in Web of Science")</f>
        <v>View Full Record in Web of Science</v>
      </c>
    </row>
    <row r="882" spans="1:72" x14ac:dyDescent="0.15">
      <c r="A882" t="s">
        <v>72</v>
      </c>
      <c r="B882" t="s">
        <v>16745</v>
      </c>
      <c r="C882" t="s">
        <v>74</v>
      </c>
      <c r="D882" t="s">
        <v>74</v>
      </c>
      <c r="E882" t="s">
        <v>74</v>
      </c>
      <c r="F882" t="s">
        <v>16746</v>
      </c>
      <c r="G882" t="s">
        <v>74</v>
      </c>
      <c r="H882" t="s">
        <v>74</v>
      </c>
      <c r="I882" t="s">
        <v>16747</v>
      </c>
      <c r="J882" t="s">
        <v>16748</v>
      </c>
      <c r="K882" t="s">
        <v>74</v>
      </c>
      <c r="L882" t="s">
        <v>74</v>
      </c>
      <c r="M882" t="s">
        <v>78</v>
      </c>
      <c r="N882" t="s">
        <v>79</v>
      </c>
      <c r="O882" t="s">
        <v>74</v>
      </c>
      <c r="P882" t="s">
        <v>74</v>
      </c>
      <c r="Q882" t="s">
        <v>74</v>
      </c>
      <c r="R882" t="s">
        <v>74</v>
      </c>
      <c r="S882" t="s">
        <v>74</v>
      </c>
      <c r="T882" t="s">
        <v>74</v>
      </c>
      <c r="U882" t="s">
        <v>74</v>
      </c>
      <c r="V882" t="s">
        <v>74</v>
      </c>
      <c r="W882" t="s">
        <v>16749</v>
      </c>
      <c r="X882" t="s">
        <v>16750</v>
      </c>
      <c r="Y882" t="s">
        <v>16751</v>
      </c>
      <c r="Z882" t="s">
        <v>74</v>
      </c>
      <c r="AA882" t="s">
        <v>74</v>
      </c>
      <c r="AB882" t="s">
        <v>74</v>
      </c>
      <c r="AC882" t="s">
        <v>74</v>
      </c>
      <c r="AD882" t="s">
        <v>74</v>
      </c>
      <c r="AE882" t="s">
        <v>74</v>
      </c>
      <c r="AF882" t="s">
        <v>74</v>
      </c>
      <c r="AG882">
        <v>12</v>
      </c>
      <c r="AH882">
        <v>1</v>
      </c>
      <c r="AI882">
        <v>1</v>
      </c>
      <c r="AJ882">
        <v>0</v>
      </c>
      <c r="AK882">
        <v>0</v>
      </c>
      <c r="AL882" t="s">
        <v>16752</v>
      </c>
      <c r="AM882" t="s">
        <v>16753</v>
      </c>
      <c r="AN882" t="s">
        <v>16754</v>
      </c>
      <c r="AO882" t="s">
        <v>16755</v>
      </c>
      <c r="AP882" t="s">
        <v>16756</v>
      </c>
      <c r="AQ882" t="s">
        <v>74</v>
      </c>
      <c r="AR882" t="s">
        <v>16757</v>
      </c>
      <c r="AS882" t="s">
        <v>16758</v>
      </c>
      <c r="AT882" t="s">
        <v>16759</v>
      </c>
      <c r="AU882">
        <v>2015</v>
      </c>
      <c r="AV882">
        <v>49</v>
      </c>
      <c r="AW882">
        <v>2</v>
      </c>
      <c r="AX882" t="s">
        <v>74</v>
      </c>
      <c r="AY882" t="s">
        <v>74</v>
      </c>
      <c r="AZ882" t="s">
        <v>74</v>
      </c>
      <c r="BA882" t="s">
        <v>74</v>
      </c>
      <c r="BB882">
        <v>191</v>
      </c>
      <c r="BC882">
        <v>224</v>
      </c>
      <c r="BD882" t="s">
        <v>74</v>
      </c>
      <c r="BE882" t="s">
        <v>16760</v>
      </c>
      <c r="BF882" t="str">
        <f>HYPERLINK("http://dx.doi.org/10.1353/cdr.2015.0014","http://dx.doi.org/10.1353/cdr.2015.0014")</f>
        <v>http://dx.doi.org/10.1353/cdr.2015.0014</v>
      </c>
      <c r="BG882" t="s">
        <v>74</v>
      </c>
      <c r="BH882" t="s">
        <v>74</v>
      </c>
      <c r="BI882">
        <v>34</v>
      </c>
      <c r="BJ882" t="s">
        <v>16761</v>
      </c>
      <c r="BK882" t="s">
        <v>16762</v>
      </c>
      <c r="BL882" t="s">
        <v>16761</v>
      </c>
      <c r="BM882" t="s">
        <v>16763</v>
      </c>
      <c r="BN882" t="s">
        <v>74</v>
      </c>
      <c r="BO882" t="s">
        <v>74</v>
      </c>
      <c r="BP882" t="s">
        <v>74</v>
      </c>
      <c r="BQ882" t="s">
        <v>74</v>
      </c>
      <c r="BR882" t="s">
        <v>103</v>
      </c>
      <c r="BS882" t="s">
        <v>16764</v>
      </c>
      <c r="BT882" t="str">
        <f>HYPERLINK("https%3A%2F%2Fwww.webofscience.com%2Fwos%2Fwoscc%2Ffull-record%2FWOS:000362461000003","View Full Record in Web of Science")</f>
        <v>View Full Record in Web of Science</v>
      </c>
    </row>
    <row r="883" spans="1:72" x14ac:dyDescent="0.15">
      <c r="A883" t="s">
        <v>72</v>
      </c>
      <c r="B883" t="s">
        <v>16765</v>
      </c>
      <c r="C883" t="s">
        <v>74</v>
      </c>
      <c r="D883" t="s">
        <v>74</v>
      </c>
      <c r="E883" t="s">
        <v>74</v>
      </c>
      <c r="F883" t="s">
        <v>16766</v>
      </c>
      <c r="G883" t="s">
        <v>74</v>
      </c>
      <c r="H883" t="s">
        <v>74</v>
      </c>
      <c r="I883" t="s">
        <v>16767</v>
      </c>
      <c r="J883" t="s">
        <v>7920</v>
      </c>
      <c r="K883" t="s">
        <v>74</v>
      </c>
      <c r="L883" t="s">
        <v>74</v>
      </c>
      <c r="M883" t="s">
        <v>78</v>
      </c>
      <c r="N883" t="s">
        <v>79</v>
      </c>
      <c r="O883" t="s">
        <v>74</v>
      </c>
      <c r="P883" t="s">
        <v>74</v>
      </c>
      <c r="Q883" t="s">
        <v>74</v>
      </c>
      <c r="R883" t="s">
        <v>74</v>
      </c>
      <c r="S883" t="s">
        <v>74</v>
      </c>
      <c r="T883" t="s">
        <v>74</v>
      </c>
      <c r="U883" t="s">
        <v>16768</v>
      </c>
      <c r="V883" t="s">
        <v>16769</v>
      </c>
      <c r="W883" t="s">
        <v>16770</v>
      </c>
      <c r="X883" t="s">
        <v>16771</v>
      </c>
      <c r="Y883" t="s">
        <v>16772</v>
      </c>
      <c r="Z883" t="s">
        <v>16773</v>
      </c>
      <c r="AA883" t="s">
        <v>16774</v>
      </c>
      <c r="AB883" t="s">
        <v>16775</v>
      </c>
      <c r="AC883" t="s">
        <v>16776</v>
      </c>
      <c r="AD883" t="s">
        <v>16777</v>
      </c>
      <c r="AE883" t="s">
        <v>16778</v>
      </c>
      <c r="AF883" t="s">
        <v>74</v>
      </c>
      <c r="AG883">
        <v>135</v>
      </c>
      <c r="AH883">
        <v>18</v>
      </c>
      <c r="AI883">
        <v>19</v>
      </c>
      <c r="AJ883">
        <v>0</v>
      </c>
      <c r="AK883">
        <v>11</v>
      </c>
      <c r="AL883" t="s">
        <v>306</v>
      </c>
      <c r="AM883" t="s">
        <v>307</v>
      </c>
      <c r="AN883" t="s">
        <v>308</v>
      </c>
      <c r="AO883" t="s">
        <v>7932</v>
      </c>
      <c r="AP883" t="s">
        <v>74</v>
      </c>
      <c r="AQ883" t="s">
        <v>74</v>
      </c>
      <c r="AR883" t="s">
        <v>7933</v>
      </c>
      <c r="AS883" t="s">
        <v>7934</v>
      </c>
      <c r="AT883" t="s">
        <v>16741</v>
      </c>
      <c r="AU883">
        <v>2015</v>
      </c>
      <c r="AV883">
        <v>7</v>
      </c>
      <c r="AW883">
        <v>2</v>
      </c>
      <c r="AX883" t="s">
        <v>74</v>
      </c>
      <c r="AY883" t="s">
        <v>74</v>
      </c>
      <c r="AZ883" t="s">
        <v>74</v>
      </c>
      <c r="BA883" t="s">
        <v>74</v>
      </c>
      <c r="BB883">
        <v>551</v>
      </c>
      <c r="BC883">
        <v>585</v>
      </c>
      <c r="BD883" t="s">
        <v>74</v>
      </c>
      <c r="BE883" t="s">
        <v>16779</v>
      </c>
      <c r="BF883" t="str">
        <f>HYPERLINK("http://dx.doi.org/10.1002/2015MS000427","http://dx.doi.org/10.1002/2015MS000427")</f>
        <v>http://dx.doi.org/10.1002/2015MS000427</v>
      </c>
      <c r="BG883" t="s">
        <v>74</v>
      </c>
      <c r="BH883" t="s">
        <v>74</v>
      </c>
      <c r="BI883">
        <v>35</v>
      </c>
      <c r="BJ883" t="s">
        <v>271</v>
      </c>
      <c r="BK883" t="s">
        <v>101</v>
      </c>
      <c r="BL883" t="s">
        <v>271</v>
      </c>
      <c r="BM883" t="s">
        <v>16780</v>
      </c>
      <c r="BN883" t="s">
        <v>74</v>
      </c>
      <c r="BO883" t="s">
        <v>1404</v>
      </c>
      <c r="BP883" t="s">
        <v>74</v>
      </c>
      <c r="BQ883" t="s">
        <v>74</v>
      </c>
      <c r="BR883" t="s">
        <v>103</v>
      </c>
      <c r="BS883" t="s">
        <v>16781</v>
      </c>
      <c r="BT883" t="str">
        <f>HYPERLINK("https%3A%2F%2Fwww.webofscience.com%2Fwos%2Fwoscc%2Ffull-record%2FWOS:000360825000010","View Full Record in Web of Science")</f>
        <v>View Full Record in Web of Science</v>
      </c>
    </row>
    <row r="884" spans="1:72" x14ac:dyDescent="0.15">
      <c r="A884" t="s">
        <v>72</v>
      </c>
      <c r="B884" t="s">
        <v>16782</v>
      </c>
      <c r="C884" t="s">
        <v>74</v>
      </c>
      <c r="D884" t="s">
        <v>74</v>
      </c>
      <c r="E884" t="s">
        <v>74</v>
      </c>
      <c r="F884" t="s">
        <v>16783</v>
      </c>
      <c r="G884" t="s">
        <v>74</v>
      </c>
      <c r="H884" t="s">
        <v>74</v>
      </c>
      <c r="I884" t="s">
        <v>16784</v>
      </c>
      <c r="J884" t="s">
        <v>3406</v>
      </c>
      <c r="K884" t="s">
        <v>74</v>
      </c>
      <c r="L884" t="s">
        <v>74</v>
      </c>
      <c r="M884" t="s">
        <v>78</v>
      </c>
      <c r="N884" t="s">
        <v>79</v>
      </c>
      <c r="O884" t="s">
        <v>74</v>
      </c>
      <c r="P884" t="s">
        <v>74</v>
      </c>
      <c r="Q884" t="s">
        <v>74</v>
      </c>
      <c r="R884" t="s">
        <v>74</v>
      </c>
      <c r="S884" t="s">
        <v>74</v>
      </c>
      <c r="T884" t="s">
        <v>74</v>
      </c>
      <c r="U884" t="s">
        <v>16785</v>
      </c>
      <c r="V884" t="s">
        <v>16786</v>
      </c>
      <c r="W884" t="s">
        <v>16787</v>
      </c>
      <c r="X884" t="s">
        <v>16788</v>
      </c>
      <c r="Y884" t="s">
        <v>16789</v>
      </c>
      <c r="Z884" t="s">
        <v>16790</v>
      </c>
      <c r="AA884" t="s">
        <v>16791</v>
      </c>
      <c r="AB884" t="s">
        <v>16792</v>
      </c>
      <c r="AC884" t="s">
        <v>16793</v>
      </c>
      <c r="AD884" t="s">
        <v>16794</v>
      </c>
      <c r="AE884" t="s">
        <v>16795</v>
      </c>
      <c r="AF884" t="s">
        <v>74</v>
      </c>
      <c r="AG884">
        <v>31</v>
      </c>
      <c r="AH884">
        <v>67</v>
      </c>
      <c r="AI884">
        <v>72</v>
      </c>
      <c r="AJ884">
        <v>0</v>
      </c>
      <c r="AK884">
        <v>22</v>
      </c>
      <c r="AL884" t="s">
        <v>3418</v>
      </c>
      <c r="AM884" t="s">
        <v>3419</v>
      </c>
      <c r="AN884" t="s">
        <v>3420</v>
      </c>
      <c r="AO884" t="s">
        <v>3421</v>
      </c>
      <c r="AP884" t="s">
        <v>3422</v>
      </c>
      <c r="AQ884" t="s">
        <v>74</v>
      </c>
      <c r="AR884" t="s">
        <v>3406</v>
      </c>
      <c r="AS884" t="s">
        <v>315</v>
      </c>
      <c r="AT884" t="s">
        <v>16741</v>
      </c>
      <c r="AU884">
        <v>2015</v>
      </c>
      <c r="AV884">
        <v>43</v>
      </c>
      <c r="AW884">
        <v>6</v>
      </c>
      <c r="AX884" t="s">
        <v>74</v>
      </c>
      <c r="AY884" t="s">
        <v>74</v>
      </c>
      <c r="AZ884" t="s">
        <v>74</v>
      </c>
      <c r="BA884" t="s">
        <v>74</v>
      </c>
      <c r="BB884">
        <v>491</v>
      </c>
      <c r="BC884">
        <v>494</v>
      </c>
      <c r="BD884" t="s">
        <v>74</v>
      </c>
      <c r="BE884" t="s">
        <v>16796</v>
      </c>
      <c r="BF884" t="str">
        <f>HYPERLINK("http://dx.doi.org/10.1130/G36625.1","http://dx.doi.org/10.1130/G36625.1")</f>
        <v>http://dx.doi.org/10.1130/G36625.1</v>
      </c>
      <c r="BG884" t="s">
        <v>74</v>
      </c>
      <c r="BH884" t="s">
        <v>74</v>
      </c>
      <c r="BI884">
        <v>4</v>
      </c>
      <c r="BJ884" t="s">
        <v>315</v>
      </c>
      <c r="BK884" t="s">
        <v>101</v>
      </c>
      <c r="BL884" t="s">
        <v>315</v>
      </c>
      <c r="BM884" t="s">
        <v>16797</v>
      </c>
      <c r="BN884" t="s">
        <v>74</v>
      </c>
      <c r="BO884" t="s">
        <v>74</v>
      </c>
      <c r="BP884" t="s">
        <v>74</v>
      </c>
      <c r="BQ884" t="s">
        <v>74</v>
      </c>
      <c r="BR884" t="s">
        <v>103</v>
      </c>
      <c r="BS884" t="s">
        <v>16798</v>
      </c>
      <c r="BT884" t="str">
        <f>HYPERLINK("https%3A%2F%2Fwww.webofscience.com%2Fwos%2Fwoscc%2Ffull-record%2FWOS:000358572600011","View Full Record in Web of Science")</f>
        <v>View Full Record in Web of Science</v>
      </c>
    </row>
    <row r="885" spans="1:72" x14ac:dyDescent="0.15">
      <c r="A885" t="s">
        <v>72</v>
      </c>
      <c r="B885" t="s">
        <v>16799</v>
      </c>
      <c r="C885" t="s">
        <v>74</v>
      </c>
      <c r="D885" t="s">
        <v>74</v>
      </c>
      <c r="E885" t="s">
        <v>74</v>
      </c>
      <c r="F885" t="s">
        <v>16800</v>
      </c>
      <c r="G885" t="s">
        <v>74</v>
      </c>
      <c r="H885" t="s">
        <v>74</v>
      </c>
      <c r="I885" t="s">
        <v>16801</v>
      </c>
      <c r="J885" t="s">
        <v>13521</v>
      </c>
      <c r="K885" t="s">
        <v>74</v>
      </c>
      <c r="L885" t="s">
        <v>74</v>
      </c>
      <c r="M885" t="s">
        <v>13522</v>
      </c>
      <c r="N885" t="s">
        <v>79</v>
      </c>
      <c r="O885" t="s">
        <v>74</v>
      </c>
      <c r="P885" t="s">
        <v>74</v>
      </c>
      <c r="Q885" t="s">
        <v>74</v>
      </c>
      <c r="R885" t="s">
        <v>74</v>
      </c>
      <c r="S885" t="s">
        <v>74</v>
      </c>
      <c r="T885" t="s">
        <v>16802</v>
      </c>
      <c r="U885" t="s">
        <v>16803</v>
      </c>
      <c r="V885" t="s">
        <v>16804</v>
      </c>
      <c r="W885" t="s">
        <v>16805</v>
      </c>
      <c r="X885" t="s">
        <v>16806</v>
      </c>
      <c r="Y885" t="s">
        <v>16807</v>
      </c>
      <c r="Z885" t="s">
        <v>16808</v>
      </c>
      <c r="AA885" t="s">
        <v>16809</v>
      </c>
      <c r="AB885" t="s">
        <v>74</v>
      </c>
      <c r="AC885" t="s">
        <v>74</v>
      </c>
      <c r="AD885" t="s">
        <v>74</v>
      </c>
      <c r="AE885" t="s">
        <v>74</v>
      </c>
      <c r="AF885" t="s">
        <v>74</v>
      </c>
      <c r="AG885">
        <v>44</v>
      </c>
      <c r="AH885">
        <v>0</v>
      </c>
      <c r="AI885">
        <v>0</v>
      </c>
      <c r="AJ885">
        <v>0</v>
      </c>
      <c r="AK885">
        <v>1</v>
      </c>
      <c r="AL885" t="s">
        <v>13532</v>
      </c>
      <c r="AM885" t="s">
        <v>719</v>
      </c>
      <c r="AN885" t="s">
        <v>13533</v>
      </c>
      <c r="AO885" t="s">
        <v>13534</v>
      </c>
      <c r="AP885" t="s">
        <v>74</v>
      </c>
      <c r="AQ885" t="s">
        <v>74</v>
      </c>
      <c r="AR885" t="s">
        <v>13535</v>
      </c>
      <c r="AS885" t="s">
        <v>13536</v>
      </c>
      <c r="AT885" t="s">
        <v>16741</v>
      </c>
      <c r="AU885">
        <v>2015</v>
      </c>
      <c r="AV885">
        <v>94</v>
      </c>
      <c r="AW885">
        <v>6</v>
      </c>
      <c r="AX885" t="s">
        <v>74</v>
      </c>
      <c r="AY885" t="s">
        <v>74</v>
      </c>
      <c r="AZ885" t="s">
        <v>74</v>
      </c>
      <c r="BA885" t="s">
        <v>74</v>
      </c>
      <c r="BB885">
        <v>634</v>
      </c>
      <c r="BC885">
        <v>643</v>
      </c>
      <c r="BD885" t="s">
        <v>74</v>
      </c>
      <c r="BE885" t="s">
        <v>16810</v>
      </c>
      <c r="BF885" t="str">
        <f>HYPERLINK("http://dx.doi.org/10.7868/S0044513415060082","http://dx.doi.org/10.7868/S0044513415060082")</f>
        <v>http://dx.doi.org/10.7868/S0044513415060082</v>
      </c>
      <c r="BG885" t="s">
        <v>74</v>
      </c>
      <c r="BH885" t="s">
        <v>74</v>
      </c>
      <c r="BI885">
        <v>10</v>
      </c>
      <c r="BJ885" t="s">
        <v>243</v>
      </c>
      <c r="BK885" t="s">
        <v>101</v>
      </c>
      <c r="BL885" t="s">
        <v>243</v>
      </c>
      <c r="BM885" t="s">
        <v>16811</v>
      </c>
      <c r="BN885" t="s">
        <v>74</v>
      </c>
      <c r="BO885" t="s">
        <v>74</v>
      </c>
      <c r="BP885" t="s">
        <v>74</v>
      </c>
      <c r="BQ885" t="s">
        <v>74</v>
      </c>
      <c r="BR885" t="s">
        <v>103</v>
      </c>
      <c r="BS885" t="s">
        <v>16812</v>
      </c>
      <c r="BT885" t="str">
        <f>HYPERLINK("https%3A%2F%2Fwww.webofscience.com%2Fwos%2Fwoscc%2Ffull-record%2FWOS:000358557400002","View Full Record in Web of Science")</f>
        <v>View Full Record in Web of Science</v>
      </c>
    </row>
    <row r="886" spans="1:72" x14ac:dyDescent="0.15">
      <c r="A886" t="s">
        <v>72</v>
      </c>
      <c r="B886" t="s">
        <v>16813</v>
      </c>
      <c r="C886" t="s">
        <v>74</v>
      </c>
      <c r="D886" t="s">
        <v>74</v>
      </c>
      <c r="E886" t="s">
        <v>74</v>
      </c>
      <c r="F886" t="s">
        <v>16814</v>
      </c>
      <c r="G886" t="s">
        <v>74</v>
      </c>
      <c r="H886" t="s">
        <v>74</v>
      </c>
      <c r="I886" t="s">
        <v>16815</v>
      </c>
      <c r="J886" t="s">
        <v>322</v>
      </c>
      <c r="K886" t="s">
        <v>74</v>
      </c>
      <c r="L886" t="s">
        <v>74</v>
      </c>
      <c r="M886" t="s">
        <v>78</v>
      </c>
      <c r="N886" t="s">
        <v>79</v>
      </c>
      <c r="O886" t="s">
        <v>74</v>
      </c>
      <c r="P886" t="s">
        <v>74</v>
      </c>
      <c r="Q886" t="s">
        <v>74</v>
      </c>
      <c r="R886" t="s">
        <v>74</v>
      </c>
      <c r="S886" t="s">
        <v>74</v>
      </c>
      <c r="T886" t="s">
        <v>16816</v>
      </c>
      <c r="U886" t="s">
        <v>16817</v>
      </c>
      <c r="V886" t="s">
        <v>16818</v>
      </c>
      <c r="W886" t="s">
        <v>16819</v>
      </c>
      <c r="X886" t="s">
        <v>16820</v>
      </c>
      <c r="Y886" t="s">
        <v>16821</v>
      </c>
      <c r="Z886" t="s">
        <v>16822</v>
      </c>
      <c r="AA886" t="s">
        <v>16823</v>
      </c>
      <c r="AB886" t="s">
        <v>16824</v>
      </c>
      <c r="AC886" t="s">
        <v>16825</v>
      </c>
      <c r="AD886" t="s">
        <v>16826</v>
      </c>
      <c r="AE886" t="s">
        <v>16827</v>
      </c>
      <c r="AF886" t="s">
        <v>74</v>
      </c>
      <c r="AG886">
        <v>93</v>
      </c>
      <c r="AH886">
        <v>35</v>
      </c>
      <c r="AI886">
        <v>38</v>
      </c>
      <c r="AJ886">
        <v>0</v>
      </c>
      <c r="AK886">
        <v>30</v>
      </c>
      <c r="AL886" t="s">
        <v>306</v>
      </c>
      <c r="AM886" t="s">
        <v>307</v>
      </c>
      <c r="AN886" t="s">
        <v>308</v>
      </c>
      <c r="AO886" t="s">
        <v>334</v>
      </c>
      <c r="AP886" t="s">
        <v>335</v>
      </c>
      <c r="AQ886" t="s">
        <v>74</v>
      </c>
      <c r="AR886" t="s">
        <v>336</v>
      </c>
      <c r="AS886" t="s">
        <v>337</v>
      </c>
      <c r="AT886" t="s">
        <v>16741</v>
      </c>
      <c r="AU886">
        <v>2015</v>
      </c>
      <c r="AV886">
        <v>120</v>
      </c>
      <c r="AW886">
        <v>6</v>
      </c>
      <c r="AX886" t="s">
        <v>74</v>
      </c>
      <c r="AY886" t="s">
        <v>74</v>
      </c>
      <c r="AZ886" t="s">
        <v>74</v>
      </c>
      <c r="BA886" t="s">
        <v>74</v>
      </c>
      <c r="BB886">
        <v>4003</v>
      </c>
      <c r="BC886">
        <v>4027</v>
      </c>
      <c r="BD886" t="s">
        <v>74</v>
      </c>
      <c r="BE886" t="s">
        <v>16828</v>
      </c>
      <c r="BF886" t="str">
        <f>HYPERLINK("http://dx.doi.org/10.1002/2014JC010662","http://dx.doi.org/10.1002/2014JC010662")</f>
        <v>http://dx.doi.org/10.1002/2014JC010662</v>
      </c>
      <c r="BG886" t="s">
        <v>74</v>
      </c>
      <c r="BH886" t="s">
        <v>74</v>
      </c>
      <c r="BI886">
        <v>25</v>
      </c>
      <c r="BJ886" t="s">
        <v>339</v>
      </c>
      <c r="BK886" t="s">
        <v>101</v>
      </c>
      <c r="BL886" t="s">
        <v>339</v>
      </c>
      <c r="BM886" t="s">
        <v>16829</v>
      </c>
      <c r="BN886" t="s">
        <v>74</v>
      </c>
      <c r="BO886" t="s">
        <v>162</v>
      </c>
      <c r="BP886" t="s">
        <v>74</v>
      </c>
      <c r="BQ886" t="s">
        <v>74</v>
      </c>
      <c r="BR886" t="s">
        <v>103</v>
      </c>
      <c r="BS886" t="s">
        <v>16830</v>
      </c>
      <c r="BT886" t="str">
        <f>HYPERLINK("https%3A%2F%2Fwww.webofscience.com%2Fwos%2Fwoscc%2Ffull-record%2FWOS:000358124100008","View Full Record in Web of Science")</f>
        <v>View Full Record in Web of Science</v>
      </c>
    </row>
    <row r="887" spans="1:72" x14ac:dyDescent="0.15">
      <c r="A887" t="s">
        <v>72</v>
      </c>
      <c r="B887" t="s">
        <v>16831</v>
      </c>
      <c r="C887" t="s">
        <v>74</v>
      </c>
      <c r="D887" t="s">
        <v>74</v>
      </c>
      <c r="E887" t="s">
        <v>74</v>
      </c>
      <c r="F887" t="s">
        <v>16832</v>
      </c>
      <c r="G887" t="s">
        <v>74</v>
      </c>
      <c r="H887" t="s">
        <v>74</v>
      </c>
      <c r="I887" t="s">
        <v>16833</v>
      </c>
      <c r="J887" t="s">
        <v>322</v>
      </c>
      <c r="K887" t="s">
        <v>74</v>
      </c>
      <c r="L887" t="s">
        <v>74</v>
      </c>
      <c r="M887" t="s">
        <v>78</v>
      </c>
      <c r="N887" t="s">
        <v>79</v>
      </c>
      <c r="O887" t="s">
        <v>74</v>
      </c>
      <c r="P887" t="s">
        <v>74</v>
      </c>
      <c r="Q887" t="s">
        <v>74</v>
      </c>
      <c r="R887" t="s">
        <v>74</v>
      </c>
      <c r="S887" t="s">
        <v>74</v>
      </c>
      <c r="T887" t="s">
        <v>16834</v>
      </c>
      <c r="U887" t="s">
        <v>16835</v>
      </c>
      <c r="V887" t="s">
        <v>16836</v>
      </c>
      <c r="W887" t="s">
        <v>16837</v>
      </c>
      <c r="X887" t="s">
        <v>16838</v>
      </c>
      <c r="Y887" t="s">
        <v>16839</v>
      </c>
      <c r="Z887" t="s">
        <v>16840</v>
      </c>
      <c r="AA887" t="s">
        <v>16841</v>
      </c>
      <c r="AB887" t="s">
        <v>16842</v>
      </c>
      <c r="AC887" t="s">
        <v>16843</v>
      </c>
      <c r="AD887" t="s">
        <v>16844</v>
      </c>
      <c r="AE887" t="s">
        <v>16845</v>
      </c>
      <c r="AF887" t="s">
        <v>74</v>
      </c>
      <c r="AG887">
        <v>66</v>
      </c>
      <c r="AH887">
        <v>10</v>
      </c>
      <c r="AI887">
        <v>10</v>
      </c>
      <c r="AJ887">
        <v>1</v>
      </c>
      <c r="AK887">
        <v>37</v>
      </c>
      <c r="AL887" t="s">
        <v>306</v>
      </c>
      <c r="AM887" t="s">
        <v>307</v>
      </c>
      <c r="AN887" t="s">
        <v>308</v>
      </c>
      <c r="AO887" t="s">
        <v>334</v>
      </c>
      <c r="AP887" t="s">
        <v>335</v>
      </c>
      <c r="AQ887" t="s">
        <v>74</v>
      </c>
      <c r="AR887" t="s">
        <v>336</v>
      </c>
      <c r="AS887" t="s">
        <v>337</v>
      </c>
      <c r="AT887" t="s">
        <v>16741</v>
      </c>
      <c r="AU887">
        <v>2015</v>
      </c>
      <c r="AV887">
        <v>120</v>
      </c>
      <c r="AW887">
        <v>6</v>
      </c>
      <c r="AX887" t="s">
        <v>74</v>
      </c>
      <c r="AY887" t="s">
        <v>74</v>
      </c>
      <c r="AZ887" t="s">
        <v>74</v>
      </c>
      <c r="BA887" t="s">
        <v>74</v>
      </c>
      <c r="BB887">
        <v>4226</v>
      </c>
      <c r="BC887">
        <v>4244</v>
      </c>
      <c r="BD887" t="s">
        <v>74</v>
      </c>
      <c r="BE887" t="s">
        <v>16846</v>
      </c>
      <c r="BF887" t="str">
        <f>HYPERLINK("http://dx.doi.org/10.1002/2014JC010646","http://dx.doi.org/10.1002/2014JC010646")</f>
        <v>http://dx.doi.org/10.1002/2014JC010646</v>
      </c>
      <c r="BG887" t="s">
        <v>74</v>
      </c>
      <c r="BH887" t="s">
        <v>74</v>
      </c>
      <c r="BI887">
        <v>19</v>
      </c>
      <c r="BJ887" t="s">
        <v>339</v>
      </c>
      <c r="BK887" t="s">
        <v>101</v>
      </c>
      <c r="BL887" t="s">
        <v>339</v>
      </c>
      <c r="BM887" t="s">
        <v>16829</v>
      </c>
      <c r="BN887" t="s">
        <v>74</v>
      </c>
      <c r="BO887" t="s">
        <v>4305</v>
      </c>
      <c r="BP887" t="s">
        <v>74</v>
      </c>
      <c r="BQ887" t="s">
        <v>74</v>
      </c>
      <c r="BR887" t="s">
        <v>103</v>
      </c>
      <c r="BS887" t="s">
        <v>16847</v>
      </c>
      <c r="BT887" t="str">
        <f>HYPERLINK("https%3A%2F%2Fwww.webofscience.com%2Fwos%2Fwoscc%2Ffull-record%2FWOS:000358124100019","View Full Record in Web of Science")</f>
        <v>View Full Record in Web of Science</v>
      </c>
    </row>
    <row r="888" spans="1:72" x14ac:dyDescent="0.15">
      <c r="A888" t="s">
        <v>72</v>
      </c>
      <c r="B888" t="s">
        <v>16848</v>
      </c>
      <c r="C888" t="s">
        <v>74</v>
      </c>
      <c r="D888" t="s">
        <v>74</v>
      </c>
      <c r="E888" t="s">
        <v>74</v>
      </c>
      <c r="F888" t="s">
        <v>16849</v>
      </c>
      <c r="G888" t="s">
        <v>74</v>
      </c>
      <c r="H888" t="s">
        <v>74</v>
      </c>
      <c r="I888" t="s">
        <v>16850</v>
      </c>
      <c r="J888" t="s">
        <v>322</v>
      </c>
      <c r="K888" t="s">
        <v>74</v>
      </c>
      <c r="L888" t="s">
        <v>74</v>
      </c>
      <c r="M888" t="s">
        <v>78</v>
      </c>
      <c r="N888" t="s">
        <v>79</v>
      </c>
      <c r="O888" t="s">
        <v>74</v>
      </c>
      <c r="P888" t="s">
        <v>74</v>
      </c>
      <c r="Q888" t="s">
        <v>74</v>
      </c>
      <c r="R888" t="s">
        <v>74</v>
      </c>
      <c r="S888" t="s">
        <v>74</v>
      </c>
      <c r="T888" t="s">
        <v>16851</v>
      </c>
      <c r="U888" t="s">
        <v>16852</v>
      </c>
      <c r="V888" t="s">
        <v>16853</v>
      </c>
      <c r="W888" t="s">
        <v>16854</v>
      </c>
      <c r="X888" t="s">
        <v>14583</v>
      </c>
      <c r="Y888" t="s">
        <v>16855</v>
      </c>
      <c r="Z888" t="s">
        <v>16856</v>
      </c>
      <c r="AA888" t="s">
        <v>74</v>
      </c>
      <c r="AB888" t="s">
        <v>16857</v>
      </c>
      <c r="AC888" t="s">
        <v>16858</v>
      </c>
      <c r="AD888" t="s">
        <v>16859</v>
      </c>
      <c r="AE888" t="s">
        <v>16860</v>
      </c>
      <c r="AF888" t="s">
        <v>74</v>
      </c>
      <c r="AG888">
        <v>63</v>
      </c>
      <c r="AH888">
        <v>18</v>
      </c>
      <c r="AI888">
        <v>18</v>
      </c>
      <c r="AJ888">
        <v>1</v>
      </c>
      <c r="AK888">
        <v>19</v>
      </c>
      <c r="AL888" t="s">
        <v>306</v>
      </c>
      <c r="AM888" t="s">
        <v>307</v>
      </c>
      <c r="AN888" t="s">
        <v>308</v>
      </c>
      <c r="AO888" t="s">
        <v>334</v>
      </c>
      <c r="AP888" t="s">
        <v>335</v>
      </c>
      <c r="AQ888" t="s">
        <v>74</v>
      </c>
      <c r="AR888" t="s">
        <v>336</v>
      </c>
      <c r="AS888" t="s">
        <v>337</v>
      </c>
      <c r="AT888" t="s">
        <v>16741</v>
      </c>
      <c r="AU888">
        <v>2015</v>
      </c>
      <c r="AV888">
        <v>120</v>
      </c>
      <c r="AW888">
        <v>6</v>
      </c>
      <c r="AX888" t="s">
        <v>74</v>
      </c>
      <c r="AY888" t="s">
        <v>74</v>
      </c>
      <c r="AZ888" t="s">
        <v>74</v>
      </c>
      <c r="BA888" t="s">
        <v>74</v>
      </c>
      <c r="BB888">
        <v>4245</v>
      </c>
      <c r="BC888">
        <v>4259</v>
      </c>
      <c r="BD888" t="s">
        <v>74</v>
      </c>
      <c r="BE888" t="s">
        <v>16861</v>
      </c>
      <c r="BF888" t="str">
        <f>HYPERLINK("http://dx.doi.org/10.1002/2014JC010575","http://dx.doi.org/10.1002/2014JC010575")</f>
        <v>http://dx.doi.org/10.1002/2014JC010575</v>
      </c>
      <c r="BG888" t="s">
        <v>74</v>
      </c>
      <c r="BH888" t="s">
        <v>74</v>
      </c>
      <c r="BI888">
        <v>15</v>
      </c>
      <c r="BJ888" t="s">
        <v>339</v>
      </c>
      <c r="BK888" t="s">
        <v>101</v>
      </c>
      <c r="BL888" t="s">
        <v>339</v>
      </c>
      <c r="BM888" t="s">
        <v>16829</v>
      </c>
      <c r="BN888" t="s">
        <v>74</v>
      </c>
      <c r="BO888" t="s">
        <v>162</v>
      </c>
      <c r="BP888" t="s">
        <v>74</v>
      </c>
      <c r="BQ888" t="s">
        <v>74</v>
      </c>
      <c r="BR888" t="s">
        <v>103</v>
      </c>
      <c r="BS888" t="s">
        <v>16862</v>
      </c>
      <c r="BT888" t="str">
        <f>HYPERLINK("https%3A%2F%2Fwww.webofscience.com%2Fwos%2Fwoscc%2Ffull-record%2FWOS:000358124100020","View Full Record in Web of Science")</f>
        <v>View Full Record in Web of Science</v>
      </c>
    </row>
    <row r="889" spans="1:72" x14ac:dyDescent="0.15">
      <c r="A889" t="s">
        <v>72</v>
      </c>
      <c r="B889" t="s">
        <v>16863</v>
      </c>
      <c r="C889" t="s">
        <v>74</v>
      </c>
      <c r="D889" t="s">
        <v>74</v>
      </c>
      <c r="E889" t="s">
        <v>74</v>
      </c>
      <c r="F889" t="s">
        <v>16864</v>
      </c>
      <c r="G889" t="s">
        <v>74</v>
      </c>
      <c r="H889" t="s">
        <v>74</v>
      </c>
      <c r="I889" t="s">
        <v>16865</v>
      </c>
      <c r="J889" t="s">
        <v>361</v>
      </c>
      <c r="K889" t="s">
        <v>74</v>
      </c>
      <c r="L889" t="s">
        <v>74</v>
      </c>
      <c r="M889" t="s">
        <v>78</v>
      </c>
      <c r="N889" t="s">
        <v>79</v>
      </c>
      <c r="O889" t="s">
        <v>74</v>
      </c>
      <c r="P889" t="s">
        <v>74</v>
      </c>
      <c r="Q889" t="s">
        <v>74</v>
      </c>
      <c r="R889" t="s">
        <v>74</v>
      </c>
      <c r="S889" t="s">
        <v>74</v>
      </c>
      <c r="T889" t="s">
        <v>16866</v>
      </c>
      <c r="U889" t="s">
        <v>16867</v>
      </c>
      <c r="V889" t="s">
        <v>16868</v>
      </c>
      <c r="W889" t="s">
        <v>16869</v>
      </c>
      <c r="X889" t="s">
        <v>16870</v>
      </c>
      <c r="Y889" t="s">
        <v>16871</v>
      </c>
      <c r="Z889" t="s">
        <v>16872</v>
      </c>
      <c r="AA889" t="s">
        <v>16873</v>
      </c>
      <c r="AB889" t="s">
        <v>16874</v>
      </c>
      <c r="AC889" t="s">
        <v>16875</v>
      </c>
      <c r="AD889" t="s">
        <v>16876</v>
      </c>
      <c r="AE889" t="s">
        <v>16877</v>
      </c>
      <c r="AF889" t="s">
        <v>74</v>
      </c>
      <c r="AG889">
        <v>65</v>
      </c>
      <c r="AH889">
        <v>53</v>
      </c>
      <c r="AI889">
        <v>57</v>
      </c>
      <c r="AJ889">
        <v>1</v>
      </c>
      <c r="AK889">
        <v>15</v>
      </c>
      <c r="AL889" t="s">
        <v>306</v>
      </c>
      <c r="AM889" t="s">
        <v>307</v>
      </c>
      <c r="AN889" t="s">
        <v>308</v>
      </c>
      <c r="AO889" t="s">
        <v>373</v>
      </c>
      <c r="AP889" t="s">
        <v>374</v>
      </c>
      <c r="AQ889" t="s">
        <v>74</v>
      </c>
      <c r="AR889" t="s">
        <v>375</v>
      </c>
      <c r="AS889" t="s">
        <v>376</v>
      </c>
      <c r="AT889" t="s">
        <v>16741</v>
      </c>
      <c r="AU889">
        <v>2015</v>
      </c>
      <c r="AV889">
        <v>120</v>
      </c>
      <c r="AW889">
        <v>6</v>
      </c>
      <c r="AX889" t="s">
        <v>74</v>
      </c>
      <c r="AY889" t="s">
        <v>74</v>
      </c>
      <c r="AZ889" t="s">
        <v>74</v>
      </c>
      <c r="BA889" t="s">
        <v>74</v>
      </c>
      <c r="BB889">
        <v>4313</v>
      </c>
      <c r="BC889">
        <v>4323</v>
      </c>
      <c r="BD889" t="s">
        <v>74</v>
      </c>
      <c r="BE889" t="s">
        <v>16878</v>
      </c>
      <c r="BF889" t="str">
        <f>HYPERLINK("http://dx.doi.org/10.1002/2015JA021147","http://dx.doi.org/10.1002/2015JA021147")</f>
        <v>http://dx.doi.org/10.1002/2015JA021147</v>
      </c>
      <c r="BG889" t="s">
        <v>74</v>
      </c>
      <c r="BH889" t="s">
        <v>74</v>
      </c>
      <c r="BI889">
        <v>11</v>
      </c>
      <c r="BJ889" t="s">
        <v>378</v>
      </c>
      <c r="BK889" t="s">
        <v>101</v>
      </c>
      <c r="BL889" t="s">
        <v>378</v>
      </c>
      <c r="BM889" t="s">
        <v>16879</v>
      </c>
      <c r="BN889" t="s">
        <v>74</v>
      </c>
      <c r="BO889" t="s">
        <v>4189</v>
      </c>
      <c r="BP889" t="s">
        <v>74</v>
      </c>
      <c r="BQ889" t="s">
        <v>74</v>
      </c>
      <c r="BR889" t="s">
        <v>103</v>
      </c>
      <c r="BS889" t="s">
        <v>16880</v>
      </c>
      <c r="BT889" t="str">
        <f>HYPERLINK("https%3A%2F%2Fwww.webofscience.com%2Fwos%2Fwoscc%2Ffull-record%2FWOS:000358199100016","View Full Record in Web of Science")</f>
        <v>View Full Record in Web of Science</v>
      </c>
    </row>
    <row r="890" spans="1:72" x14ac:dyDescent="0.15">
      <c r="A890" t="s">
        <v>72</v>
      </c>
      <c r="B890" t="s">
        <v>16881</v>
      </c>
      <c r="C890" t="s">
        <v>74</v>
      </c>
      <c r="D890" t="s">
        <v>74</v>
      </c>
      <c r="E890" t="s">
        <v>74</v>
      </c>
      <c r="F890" t="s">
        <v>16882</v>
      </c>
      <c r="G890" t="s">
        <v>74</v>
      </c>
      <c r="H890" t="s">
        <v>74</v>
      </c>
      <c r="I890" t="s">
        <v>16883</v>
      </c>
      <c r="J890" t="s">
        <v>361</v>
      </c>
      <c r="K890" t="s">
        <v>74</v>
      </c>
      <c r="L890" t="s">
        <v>74</v>
      </c>
      <c r="M890" t="s">
        <v>78</v>
      </c>
      <c r="N890" t="s">
        <v>79</v>
      </c>
      <c r="O890" t="s">
        <v>74</v>
      </c>
      <c r="P890" t="s">
        <v>74</v>
      </c>
      <c r="Q890" t="s">
        <v>74</v>
      </c>
      <c r="R890" t="s">
        <v>74</v>
      </c>
      <c r="S890" t="s">
        <v>74</v>
      </c>
      <c r="T890" t="s">
        <v>16884</v>
      </c>
      <c r="U890" t="s">
        <v>16885</v>
      </c>
      <c r="V890" t="s">
        <v>16886</v>
      </c>
      <c r="W890" t="s">
        <v>16887</v>
      </c>
      <c r="X890" t="s">
        <v>16888</v>
      </c>
      <c r="Y890" t="s">
        <v>16889</v>
      </c>
      <c r="Z890" t="s">
        <v>16890</v>
      </c>
      <c r="AA890" t="s">
        <v>74</v>
      </c>
      <c r="AB890" t="s">
        <v>74</v>
      </c>
      <c r="AC890" t="s">
        <v>16891</v>
      </c>
      <c r="AD890" t="s">
        <v>16892</v>
      </c>
      <c r="AE890" t="s">
        <v>16893</v>
      </c>
      <c r="AF890" t="s">
        <v>74</v>
      </c>
      <c r="AG890">
        <v>27</v>
      </c>
      <c r="AH890">
        <v>5</v>
      </c>
      <c r="AI890">
        <v>6</v>
      </c>
      <c r="AJ890">
        <v>0</v>
      </c>
      <c r="AK890">
        <v>3</v>
      </c>
      <c r="AL890" t="s">
        <v>306</v>
      </c>
      <c r="AM890" t="s">
        <v>307</v>
      </c>
      <c r="AN890" t="s">
        <v>308</v>
      </c>
      <c r="AO890" t="s">
        <v>373</v>
      </c>
      <c r="AP890" t="s">
        <v>374</v>
      </c>
      <c r="AQ890" t="s">
        <v>74</v>
      </c>
      <c r="AR890" t="s">
        <v>375</v>
      </c>
      <c r="AS890" t="s">
        <v>376</v>
      </c>
      <c r="AT890" t="s">
        <v>16741</v>
      </c>
      <c r="AU890">
        <v>2015</v>
      </c>
      <c r="AV890">
        <v>120</v>
      </c>
      <c r="AW890">
        <v>6</v>
      </c>
      <c r="AX890" t="s">
        <v>74</v>
      </c>
      <c r="AY890" t="s">
        <v>74</v>
      </c>
      <c r="AZ890" t="s">
        <v>74</v>
      </c>
      <c r="BA890" t="s">
        <v>74</v>
      </c>
      <c r="BB890">
        <v>4711</v>
      </c>
      <c r="BC890">
        <v>4718</v>
      </c>
      <c r="BD890" t="s">
        <v>74</v>
      </c>
      <c r="BE890" t="s">
        <v>16894</v>
      </c>
      <c r="BF890" t="str">
        <f>HYPERLINK("http://dx.doi.org/10.1002/2014JA020791","http://dx.doi.org/10.1002/2014JA020791")</f>
        <v>http://dx.doi.org/10.1002/2014JA020791</v>
      </c>
      <c r="BG890" t="s">
        <v>74</v>
      </c>
      <c r="BH890" t="s">
        <v>74</v>
      </c>
      <c r="BI890">
        <v>8</v>
      </c>
      <c r="BJ890" t="s">
        <v>378</v>
      </c>
      <c r="BK890" t="s">
        <v>101</v>
      </c>
      <c r="BL890" t="s">
        <v>378</v>
      </c>
      <c r="BM890" t="s">
        <v>16879</v>
      </c>
      <c r="BN890" t="s">
        <v>74</v>
      </c>
      <c r="BO890" t="s">
        <v>74</v>
      </c>
      <c r="BP890" t="s">
        <v>74</v>
      </c>
      <c r="BQ890" t="s">
        <v>74</v>
      </c>
      <c r="BR890" t="s">
        <v>103</v>
      </c>
      <c r="BS890" t="s">
        <v>16895</v>
      </c>
      <c r="BT890" t="str">
        <f>HYPERLINK("https%3A%2F%2Fwww.webofscience.com%2Fwos%2Fwoscc%2Ffull-record%2FWOS:000358199100047","View Full Record in Web of Science")</f>
        <v>View Full Record in Web of Science</v>
      </c>
    </row>
    <row r="891" spans="1:72" x14ac:dyDescent="0.15">
      <c r="A891" t="s">
        <v>72</v>
      </c>
      <c r="B891" t="s">
        <v>16896</v>
      </c>
      <c r="C891" t="s">
        <v>74</v>
      </c>
      <c r="D891" t="s">
        <v>74</v>
      </c>
      <c r="E891" t="s">
        <v>74</v>
      </c>
      <c r="F891" t="s">
        <v>16897</v>
      </c>
      <c r="G891" t="s">
        <v>74</v>
      </c>
      <c r="H891" t="s">
        <v>74</v>
      </c>
      <c r="I891" t="s">
        <v>16898</v>
      </c>
      <c r="J891" t="s">
        <v>16899</v>
      </c>
      <c r="K891" t="s">
        <v>74</v>
      </c>
      <c r="L891" t="s">
        <v>74</v>
      </c>
      <c r="M891" t="s">
        <v>78</v>
      </c>
      <c r="N891" t="s">
        <v>581</v>
      </c>
      <c r="O891" t="s">
        <v>74</v>
      </c>
      <c r="P891" t="s">
        <v>74</v>
      </c>
      <c r="Q891" t="s">
        <v>74</v>
      </c>
      <c r="R891" t="s">
        <v>74</v>
      </c>
      <c r="S891" t="s">
        <v>74</v>
      </c>
      <c r="T891" t="s">
        <v>16900</v>
      </c>
      <c r="U891" t="s">
        <v>16901</v>
      </c>
      <c r="V891" t="s">
        <v>16902</v>
      </c>
      <c r="W891" t="s">
        <v>16903</v>
      </c>
      <c r="X891" t="s">
        <v>16904</v>
      </c>
      <c r="Y891" t="s">
        <v>16905</v>
      </c>
      <c r="Z891" t="s">
        <v>16906</v>
      </c>
      <c r="AA891" t="s">
        <v>16907</v>
      </c>
      <c r="AB891" t="s">
        <v>16908</v>
      </c>
      <c r="AC891" t="s">
        <v>16909</v>
      </c>
      <c r="AD891" t="s">
        <v>16910</v>
      </c>
      <c r="AE891" t="s">
        <v>16911</v>
      </c>
      <c r="AF891" t="s">
        <v>74</v>
      </c>
      <c r="AG891">
        <v>357</v>
      </c>
      <c r="AH891">
        <v>66</v>
      </c>
      <c r="AI891">
        <v>69</v>
      </c>
      <c r="AJ891">
        <v>6</v>
      </c>
      <c r="AK891">
        <v>67</v>
      </c>
      <c r="AL891" t="s">
        <v>306</v>
      </c>
      <c r="AM891" t="s">
        <v>307</v>
      </c>
      <c r="AN891" t="s">
        <v>308</v>
      </c>
      <c r="AO891" t="s">
        <v>16912</v>
      </c>
      <c r="AP891" t="s">
        <v>16913</v>
      </c>
      <c r="AQ891" t="s">
        <v>74</v>
      </c>
      <c r="AR891" t="s">
        <v>16914</v>
      </c>
      <c r="AS891" t="s">
        <v>16915</v>
      </c>
      <c r="AT891" t="s">
        <v>16741</v>
      </c>
      <c r="AU891">
        <v>2015</v>
      </c>
      <c r="AV891">
        <v>53</v>
      </c>
      <c r="AW891">
        <v>2</v>
      </c>
      <c r="AX891" t="s">
        <v>74</v>
      </c>
      <c r="AY891" t="s">
        <v>74</v>
      </c>
      <c r="AZ891" t="s">
        <v>74</v>
      </c>
      <c r="BA891" t="s">
        <v>74</v>
      </c>
      <c r="BB891">
        <v>165</v>
      </c>
      <c r="BC891">
        <v>202</v>
      </c>
      <c r="BD891" t="s">
        <v>74</v>
      </c>
      <c r="BE891" t="s">
        <v>16916</v>
      </c>
      <c r="BF891" t="str">
        <f>HYPERLINK("http://dx.doi.org/10.1002/2014RG000473","http://dx.doi.org/10.1002/2014RG000473")</f>
        <v>http://dx.doi.org/10.1002/2014RG000473</v>
      </c>
      <c r="BG891" t="s">
        <v>74</v>
      </c>
      <c r="BH891" t="s">
        <v>74</v>
      </c>
      <c r="BI891">
        <v>38</v>
      </c>
      <c r="BJ891" t="s">
        <v>1707</v>
      </c>
      <c r="BK891" t="s">
        <v>101</v>
      </c>
      <c r="BL891" t="s">
        <v>1707</v>
      </c>
      <c r="BM891" t="s">
        <v>16917</v>
      </c>
      <c r="BN891" t="s">
        <v>74</v>
      </c>
      <c r="BO891" t="s">
        <v>245</v>
      </c>
      <c r="BP891" t="s">
        <v>74</v>
      </c>
      <c r="BQ891" t="s">
        <v>74</v>
      </c>
      <c r="BR891" t="s">
        <v>103</v>
      </c>
      <c r="BS891" t="s">
        <v>16918</v>
      </c>
      <c r="BT891" t="str">
        <f>HYPERLINK("https%3A%2F%2Fwww.webofscience.com%2Fwos%2Fwoscc%2Ffull-record%2FWOS:000358322200001","View Full Record in Web of Science")</f>
        <v>View Full Record in Web of Science</v>
      </c>
    </row>
    <row r="892" spans="1:72" x14ac:dyDescent="0.15">
      <c r="A892" t="s">
        <v>72</v>
      </c>
      <c r="B892" t="s">
        <v>16919</v>
      </c>
      <c r="C892" t="s">
        <v>74</v>
      </c>
      <c r="D892" t="s">
        <v>74</v>
      </c>
      <c r="E892" t="s">
        <v>74</v>
      </c>
      <c r="F892" t="s">
        <v>16920</v>
      </c>
      <c r="G892" t="s">
        <v>74</v>
      </c>
      <c r="H892" t="s">
        <v>74</v>
      </c>
      <c r="I892" t="s">
        <v>16921</v>
      </c>
      <c r="J892" t="s">
        <v>16922</v>
      </c>
      <c r="K892" t="s">
        <v>74</v>
      </c>
      <c r="L892" t="s">
        <v>74</v>
      </c>
      <c r="M892" t="s">
        <v>78</v>
      </c>
      <c r="N892" t="s">
        <v>79</v>
      </c>
      <c r="O892" t="s">
        <v>74</v>
      </c>
      <c r="P892" t="s">
        <v>74</v>
      </c>
      <c r="Q892" t="s">
        <v>74</v>
      </c>
      <c r="R892" t="s">
        <v>74</v>
      </c>
      <c r="S892" t="s">
        <v>74</v>
      </c>
      <c r="T892" t="s">
        <v>16923</v>
      </c>
      <c r="U892" t="s">
        <v>16924</v>
      </c>
      <c r="V892" t="s">
        <v>16925</v>
      </c>
      <c r="W892" t="s">
        <v>16926</v>
      </c>
      <c r="X892" t="s">
        <v>16927</v>
      </c>
      <c r="Y892" t="s">
        <v>16928</v>
      </c>
      <c r="Z892" t="s">
        <v>16929</v>
      </c>
      <c r="AA892" t="s">
        <v>16930</v>
      </c>
      <c r="AB892" t="s">
        <v>16931</v>
      </c>
      <c r="AC892" t="s">
        <v>16932</v>
      </c>
      <c r="AD892" t="s">
        <v>16932</v>
      </c>
      <c r="AE892" t="s">
        <v>16933</v>
      </c>
      <c r="AF892" t="s">
        <v>74</v>
      </c>
      <c r="AG892">
        <v>43</v>
      </c>
      <c r="AH892">
        <v>30</v>
      </c>
      <c r="AI892">
        <v>34</v>
      </c>
      <c r="AJ892">
        <v>0</v>
      </c>
      <c r="AK892">
        <v>26</v>
      </c>
      <c r="AL892" t="s">
        <v>16934</v>
      </c>
      <c r="AM892" t="s">
        <v>16935</v>
      </c>
      <c r="AN892" t="s">
        <v>16936</v>
      </c>
      <c r="AO892" t="s">
        <v>16937</v>
      </c>
      <c r="AP892" t="s">
        <v>74</v>
      </c>
      <c r="AQ892" t="s">
        <v>74</v>
      </c>
      <c r="AR892" t="s">
        <v>16938</v>
      </c>
      <c r="AS892" t="s">
        <v>16939</v>
      </c>
      <c r="AT892" t="s">
        <v>16741</v>
      </c>
      <c r="AU892">
        <v>2015</v>
      </c>
      <c r="AV892">
        <v>10</v>
      </c>
      <c r="AW892">
        <v>1</v>
      </c>
      <c r="AX892" t="s">
        <v>74</v>
      </c>
      <c r="AY892" t="s">
        <v>74</v>
      </c>
      <c r="AZ892" t="s">
        <v>74</v>
      </c>
      <c r="BA892" t="s">
        <v>74</v>
      </c>
      <c r="BB892" t="s">
        <v>74</v>
      </c>
      <c r="BC892" t="s">
        <v>74</v>
      </c>
      <c r="BD892">
        <v>5</v>
      </c>
      <c r="BE892" t="s">
        <v>16940</v>
      </c>
      <c r="BF892" t="str">
        <f>HYPERLINK("http://dx.doi.org/10.5751/ACE-00738-100105","http://dx.doi.org/10.5751/ACE-00738-100105")</f>
        <v>http://dx.doi.org/10.5751/ACE-00738-100105</v>
      </c>
      <c r="BG892" t="s">
        <v>74</v>
      </c>
      <c r="BH892" t="s">
        <v>74</v>
      </c>
      <c r="BI892">
        <v>8</v>
      </c>
      <c r="BJ892" t="s">
        <v>16941</v>
      </c>
      <c r="BK892" t="s">
        <v>101</v>
      </c>
      <c r="BL892" t="s">
        <v>16942</v>
      </c>
      <c r="BM892" t="s">
        <v>16943</v>
      </c>
      <c r="BN892" t="s">
        <v>74</v>
      </c>
      <c r="BO892" t="s">
        <v>6717</v>
      </c>
      <c r="BP892" t="s">
        <v>74</v>
      </c>
      <c r="BQ892" t="s">
        <v>74</v>
      </c>
      <c r="BR892" t="s">
        <v>103</v>
      </c>
      <c r="BS892" t="s">
        <v>16944</v>
      </c>
      <c r="BT892" t="str">
        <f>HYPERLINK("https%3A%2F%2Fwww.webofscience.com%2Fwos%2Fwoscc%2Ffull-record%2FWOS:000357622700006","View Full Record in Web of Science")</f>
        <v>View Full Record in Web of Science</v>
      </c>
    </row>
    <row r="893" spans="1:72" x14ac:dyDescent="0.15">
      <c r="A893" t="s">
        <v>72</v>
      </c>
      <c r="B893" t="s">
        <v>16945</v>
      </c>
      <c r="C893" t="s">
        <v>74</v>
      </c>
      <c r="D893" t="s">
        <v>74</v>
      </c>
      <c r="E893" t="s">
        <v>74</v>
      </c>
      <c r="F893" t="s">
        <v>16946</v>
      </c>
      <c r="G893" t="s">
        <v>74</v>
      </c>
      <c r="H893" t="s">
        <v>74</v>
      </c>
      <c r="I893" t="s">
        <v>16947</v>
      </c>
      <c r="J893" t="s">
        <v>4042</v>
      </c>
      <c r="K893" t="s">
        <v>74</v>
      </c>
      <c r="L893" t="s">
        <v>74</v>
      </c>
      <c r="M893" t="s">
        <v>78</v>
      </c>
      <c r="N893" t="s">
        <v>79</v>
      </c>
      <c r="O893" t="s">
        <v>74</v>
      </c>
      <c r="P893" t="s">
        <v>74</v>
      </c>
      <c r="Q893" t="s">
        <v>74</v>
      </c>
      <c r="R893" t="s">
        <v>74</v>
      </c>
      <c r="S893" t="s">
        <v>74</v>
      </c>
      <c r="T893" t="s">
        <v>16948</v>
      </c>
      <c r="U893" t="s">
        <v>16949</v>
      </c>
      <c r="V893" t="s">
        <v>16950</v>
      </c>
      <c r="W893" t="s">
        <v>16951</v>
      </c>
      <c r="X893" t="s">
        <v>16952</v>
      </c>
      <c r="Y893" t="s">
        <v>16953</v>
      </c>
      <c r="Z893" t="s">
        <v>16954</v>
      </c>
      <c r="AA893" t="s">
        <v>74</v>
      </c>
      <c r="AB893" t="s">
        <v>74</v>
      </c>
      <c r="AC893" t="s">
        <v>16955</v>
      </c>
      <c r="AD893" t="s">
        <v>16956</v>
      </c>
      <c r="AE893" t="s">
        <v>16957</v>
      </c>
      <c r="AF893" t="s">
        <v>74</v>
      </c>
      <c r="AG893">
        <v>99</v>
      </c>
      <c r="AH893">
        <v>6</v>
      </c>
      <c r="AI893">
        <v>8</v>
      </c>
      <c r="AJ893">
        <v>2</v>
      </c>
      <c r="AK893">
        <v>72</v>
      </c>
      <c r="AL893" t="s">
        <v>306</v>
      </c>
      <c r="AM893" t="s">
        <v>307</v>
      </c>
      <c r="AN893" t="s">
        <v>308</v>
      </c>
      <c r="AO893" t="s">
        <v>4054</v>
      </c>
      <c r="AP893" t="s">
        <v>4055</v>
      </c>
      <c r="AQ893" t="s">
        <v>74</v>
      </c>
      <c r="AR893" t="s">
        <v>4056</v>
      </c>
      <c r="AS893" t="s">
        <v>4057</v>
      </c>
      <c r="AT893" t="s">
        <v>16741</v>
      </c>
      <c r="AU893">
        <v>2015</v>
      </c>
      <c r="AV893">
        <v>29</v>
      </c>
      <c r="AW893">
        <v>6</v>
      </c>
      <c r="AX893" t="s">
        <v>74</v>
      </c>
      <c r="AY893" t="s">
        <v>74</v>
      </c>
      <c r="AZ893" t="s">
        <v>74</v>
      </c>
      <c r="BA893" t="s">
        <v>74</v>
      </c>
      <c r="BB893">
        <v>760</v>
      </c>
      <c r="BC893">
        <v>774</v>
      </c>
      <c r="BD893" t="s">
        <v>74</v>
      </c>
      <c r="BE893" t="s">
        <v>16958</v>
      </c>
      <c r="BF893" t="str">
        <f>HYPERLINK("http://dx.doi.org/10.1002/2014GB005060","http://dx.doi.org/10.1002/2014GB005060")</f>
        <v>http://dx.doi.org/10.1002/2014GB005060</v>
      </c>
      <c r="BG893" t="s">
        <v>74</v>
      </c>
      <c r="BH893" t="s">
        <v>74</v>
      </c>
      <c r="BI893">
        <v>15</v>
      </c>
      <c r="BJ893" t="s">
        <v>2464</v>
      </c>
      <c r="BK893" t="s">
        <v>101</v>
      </c>
      <c r="BL893" t="s">
        <v>2465</v>
      </c>
      <c r="BM893" t="s">
        <v>16959</v>
      </c>
      <c r="BN893" t="s">
        <v>74</v>
      </c>
      <c r="BO893" t="s">
        <v>74</v>
      </c>
      <c r="BP893" t="s">
        <v>74</v>
      </c>
      <c r="BQ893" t="s">
        <v>74</v>
      </c>
      <c r="BR893" t="s">
        <v>103</v>
      </c>
      <c r="BS893" t="s">
        <v>16960</v>
      </c>
      <c r="BT893" t="str">
        <f>HYPERLINK("https%3A%2F%2Fwww.webofscience.com%2Fwos%2Fwoscc%2Ffull-record%2FWOS:000357957600003","View Full Record in Web of Science")</f>
        <v>View Full Record in Web of Science</v>
      </c>
    </row>
    <row r="894" spans="1:72" x14ac:dyDescent="0.15">
      <c r="A894" t="s">
        <v>72</v>
      </c>
      <c r="B894" t="s">
        <v>16961</v>
      </c>
      <c r="C894" t="s">
        <v>74</v>
      </c>
      <c r="D894" t="s">
        <v>74</v>
      </c>
      <c r="E894" t="s">
        <v>74</v>
      </c>
      <c r="F894" t="s">
        <v>16962</v>
      </c>
      <c r="G894" t="s">
        <v>74</v>
      </c>
      <c r="H894" t="s">
        <v>74</v>
      </c>
      <c r="I894" t="s">
        <v>16963</v>
      </c>
      <c r="J894" t="s">
        <v>16964</v>
      </c>
      <c r="K894" t="s">
        <v>74</v>
      </c>
      <c r="L894" t="s">
        <v>74</v>
      </c>
      <c r="M894" t="s">
        <v>78</v>
      </c>
      <c r="N894" t="s">
        <v>79</v>
      </c>
      <c r="O894" t="s">
        <v>74</v>
      </c>
      <c r="P894" t="s">
        <v>74</v>
      </c>
      <c r="Q894" t="s">
        <v>74</v>
      </c>
      <c r="R894" t="s">
        <v>74</v>
      </c>
      <c r="S894" t="s">
        <v>74</v>
      </c>
      <c r="T894" t="s">
        <v>16965</v>
      </c>
      <c r="U894" t="s">
        <v>16966</v>
      </c>
      <c r="V894" t="s">
        <v>16967</v>
      </c>
      <c r="W894" t="s">
        <v>16968</v>
      </c>
      <c r="X894" t="s">
        <v>16969</v>
      </c>
      <c r="Y894" t="s">
        <v>16970</v>
      </c>
      <c r="Z894" t="s">
        <v>16971</v>
      </c>
      <c r="AA894" t="s">
        <v>16972</v>
      </c>
      <c r="AB894" t="s">
        <v>16973</v>
      </c>
      <c r="AC894" t="s">
        <v>16974</v>
      </c>
      <c r="AD894" t="s">
        <v>16975</v>
      </c>
      <c r="AE894" t="s">
        <v>16976</v>
      </c>
      <c r="AF894" t="s">
        <v>74</v>
      </c>
      <c r="AG894">
        <v>125</v>
      </c>
      <c r="AH894">
        <v>40</v>
      </c>
      <c r="AI894">
        <v>40</v>
      </c>
      <c r="AJ894">
        <v>0</v>
      </c>
      <c r="AK894">
        <v>22</v>
      </c>
      <c r="AL894" t="s">
        <v>306</v>
      </c>
      <c r="AM894" t="s">
        <v>307</v>
      </c>
      <c r="AN894" t="s">
        <v>308</v>
      </c>
      <c r="AO894" t="s">
        <v>16977</v>
      </c>
      <c r="AP894" t="s">
        <v>16978</v>
      </c>
      <c r="AQ894" t="s">
        <v>74</v>
      </c>
      <c r="AR894" t="s">
        <v>16979</v>
      </c>
      <c r="AS894" t="s">
        <v>16980</v>
      </c>
      <c r="AT894" t="s">
        <v>16741</v>
      </c>
      <c r="AU894">
        <v>2015</v>
      </c>
      <c r="AV894">
        <v>120</v>
      </c>
      <c r="AW894">
        <v>6</v>
      </c>
      <c r="AX894" t="s">
        <v>74</v>
      </c>
      <c r="AY894" t="s">
        <v>74</v>
      </c>
      <c r="AZ894" t="s">
        <v>74</v>
      </c>
      <c r="BA894" t="s">
        <v>74</v>
      </c>
      <c r="BB894">
        <v>4237</v>
      </c>
      <c r="BC894">
        <v>4262</v>
      </c>
      <c r="BD894" t="s">
        <v>74</v>
      </c>
      <c r="BE894" t="s">
        <v>16981</v>
      </c>
      <c r="BF894" t="str">
        <f>HYPERLINK("http://dx.doi.org/10.1002/2014JB011591","http://dx.doi.org/10.1002/2014JB011591")</f>
        <v>http://dx.doi.org/10.1002/2014JB011591</v>
      </c>
      <c r="BG894" t="s">
        <v>74</v>
      </c>
      <c r="BH894" t="s">
        <v>74</v>
      </c>
      <c r="BI894">
        <v>26</v>
      </c>
      <c r="BJ894" t="s">
        <v>1707</v>
      </c>
      <c r="BK894" t="s">
        <v>101</v>
      </c>
      <c r="BL894" t="s">
        <v>1707</v>
      </c>
      <c r="BM894" t="s">
        <v>16982</v>
      </c>
      <c r="BN894" t="s">
        <v>74</v>
      </c>
      <c r="BO894" t="s">
        <v>162</v>
      </c>
      <c r="BP894" t="s">
        <v>74</v>
      </c>
      <c r="BQ894" t="s">
        <v>74</v>
      </c>
      <c r="BR894" t="s">
        <v>103</v>
      </c>
      <c r="BS894" t="s">
        <v>16983</v>
      </c>
      <c r="BT894" t="str">
        <f>HYPERLINK("https%3A%2F%2Fwww.webofscience.com%2Fwos%2Fwoscc%2Ffull-record%2FWOS:000357993000014","View Full Record in Web of Science")</f>
        <v>View Full Record in Web of Science</v>
      </c>
    </row>
    <row r="895" spans="1:72" x14ac:dyDescent="0.15">
      <c r="A895" t="s">
        <v>72</v>
      </c>
      <c r="B895" t="s">
        <v>16984</v>
      </c>
      <c r="C895" t="s">
        <v>74</v>
      </c>
      <c r="D895" t="s">
        <v>74</v>
      </c>
      <c r="E895" t="s">
        <v>74</v>
      </c>
      <c r="F895" t="s">
        <v>16985</v>
      </c>
      <c r="G895" t="s">
        <v>74</v>
      </c>
      <c r="H895" t="s">
        <v>74</v>
      </c>
      <c r="I895" t="s">
        <v>16986</v>
      </c>
      <c r="J895" t="s">
        <v>650</v>
      </c>
      <c r="K895" t="s">
        <v>74</v>
      </c>
      <c r="L895" t="s">
        <v>74</v>
      </c>
      <c r="M895" t="s">
        <v>78</v>
      </c>
      <c r="N895" t="s">
        <v>79</v>
      </c>
      <c r="O895" t="s">
        <v>74</v>
      </c>
      <c r="P895" t="s">
        <v>74</v>
      </c>
      <c r="Q895" t="s">
        <v>74</v>
      </c>
      <c r="R895" t="s">
        <v>74</v>
      </c>
      <c r="S895" t="s">
        <v>74</v>
      </c>
      <c r="T895" t="s">
        <v>16987</v>
      </c>
      <c r="U895" t="s">
        <v>16988</v>
      </c>
      <c r="V895" t="s">
        <v>16989</v>
      </c>
      <c r="W895" t="s">
        <v>16990</v>
      </c>
      <c r="X895" t="s">
        <v>16991</v>
      </c>
      <c r="Y895" t="s">
        <v>16992</v>
      </c>
      <c r="Z895" t="s">
        <v>16993</v>
      </c>
      <c r="AA895" t="s">
        <v>16994</v>
      </c>
      <c r="AB895" t="s">
        <v>16995</v>
      </c>
      <c r="AC895" t="s">
        <v>16996</v>
      </c>
      <c r="AD895" t="s">
        <v>16997</v>
      </c>
      <c r="AE895" t="s">
        <v>16998</v>
      </c>
      <c r="AF895" t="s">
        <v>74</v>
      </c>
      <c r="AG895">
        <v>90</v>
      </c>
      <c r="AH895">
        <v>15</v>
      </c>
      <c r="AI895">
        <v>17</v>
      </c>
      <c r="AJ895">
        <v>1</v>
      </c>
      <c r="AK895">
        <v>23</v>
      </c>
      <c r="AL895" t="s">
        <v>306</v>
      </c>
      <c r="AM895" t="s">
        <v>307</v>
      </c>
      <c r="AN895" t="s">
        <v>308</v>
      </c>
      <c r="AO895" t="s">
        <v>661</v>
      </c>
      <c r="AP895" t="s">
        <v>662</v>
      </c>
      <c r="AQ895" t="s">
        <v>74</v>
      </c>
      <c r="AR895" t="s">
        <v>650</v>
      </c>
      <c r="AS895" t="s">
        <v>663</v>
      </c>
      <c r="AT895" t="s">
        <v>16741</v>
      </c>
      <c r="AU895">
        <v>2015</v>
      </c>
      <c r="AV895">
        <v>30</v>
      </c>
      <c r="AW895">
        <v>6</v>
      </c>
      <c r="AX895" t="s">
        <v>74</v>
      </c>
      <c r="AY895" t="s">
        <v>74</v>
      </c>
      <c r="AZ895" t="s">
        <v>74</v>
      </c>
      <c r="BA895" t="s">
        <v>74</v>
      </c>
      <c r="BB895">
        <v>659</v>
      </c>
      <c r="BC895">
        <v>681</v>
      </c>
      <c r="BD895" t="s">
        <v>74</v>
      </c>
      <c r="BE895" t="s">
        <v>16999</v>
      </c>
      <c r="BF895" t="str">
        <f>HYPERLINK("http://dx.doi.org/10.1002/2014PA002734","http://dx.doi.org/10.1002/2014PA002734")</f>
        <v>http://dx.doi.org/10.1002/2014PA002734</v>
      </c>
      <c r="BG895" t="s">
        <v>74</v>
      </c>
      <c r="BH895" t="s">
        <v>74</v>
      </c>
      <c r="BI895">
        <v>23</v>
      </c>
      <c r="BJ895" t="s">
        <v>665</v>
      </c>
      <c r="BK895" t="s">
        <v>101</v>
      </c>
      <c r="BL895" t="s">
        <v>666</v>
      </c>
      <c r="BM895" t="s">
        <v>17000</v>
      </c>
      <c r="BN895" t="s">
        <v>74</v>
      </c>
      <c r="BO895" t="s">
        <v>4189</v>
      </c>
      <c r="BP895" t="s">
        <v>74</v>
      </c>
      <c r="BQ895" t="s">
        <v>74</v>
      </c>
      <c r="BR895" t="s">
        <v>103</v>
      </c>
      <c r="BS895" t="s">
        <v>17001</v>
      </c>
      <c r="BT895" t="str">
        <f>HYPERLINK("https%3A%2F%2Fwww.webofscience.com%2Fwos%2Fwoscc%2Ffull-record%2FWOS:000358041400006","View Full Record in Web of Science")</f>
        <v>View Full Record in Web of Science</v>
      </c>
    </row>
    <row r="896" spans="1:72" x14ac:dyDescent="0.15">
      <c r="A896" t="s">
        <v>72</v>
      </c>
      <c r="B896" t="s">
        <v>17002</v>
      </c>
      <c r="C896" t="s">
        <v>74</v>
      </c>
      <c r="D896" t="s">
        <v>74</v>
      </c>
      <c r="E896" t="s">
        <v>74</v>
      </c>
      <c r="F896" t="s">
        <v>17003</v>
      </c>
      <c r="G896" t="s">
        <v>74</v>
      </c>
      <c r="H896" t="s">
        <v>74</v>
      </c>
      <c r="I896" t="s">
        <v>17004</v>
      </c>
      <c r="J896" t="s">
        <v>650</v>
      </c>
      <c r="K896" t="s">
        <v>74</v>
      </c>
      <c r="L896" t="s">
        <v>74</v>
      </c>
      <c r="M896" t="s">
        <v>78</v>
      </c>
      <c r="N896" t="s">
        <v>79</v>
      </c>
      <c r="O896" t="s">
        <v>74</v>
      </c>
      <c r="P896" t="s">
        <v>74</v>
      </c>
      <c r="Q896" t="s">
        <v>74</v>
      </c>
      <c r="R896" t="s">
        <v>74</v>
      </c>
      <c r="S896" t="s">
        <v>74</v>
      </c>
      <c r="T896" t="s">
        <v>17005</v>
      </c>
      <c r="U896" t="s">
        <v>17006</v>
      </c>
      <c r="V896" t="s">
        <v>17007</v>
      </c>
      <c r="W896" t="s">
        <v>17008</v>
      </c>
      <c r="X896" t="s">
        <v>17009</v>
      </c>
      <c r="Y896" t="s">
        <v>17010</v>
      </c>
      <c r="Z896" t="s">
        <v>17011</v>
      </c>
      <c r="AA896" t="s">
        <v>17012</v>
      </c>
      <c r="AB896" t="s">
        <v>17013</v>
      </c>
      <c r="AC896" t="s">
        <v>17014</v>
      </c>
      <c r="AD896" t="s">
        <v>17015</v>
      </c>
      <c r="AE896" t="s">
        <v>17016</v>
      </c>
      <c r="AF896" t="s">
        <v>74</v>
      </c>
      <c r="AG896">
        <v>69</v>
      </c>
      <c r="AH896">
        <v>10</v>
      </c>
      <c r="AI896">
        <v>13</v>
      </c>
      <c r="AJ896">
        <v>1</v>
      </c>
      <c r="AK896">
        <v>18</v>
      </c>
      <c r="AL896" t="s">
        <v>306</v>
      </c>
      <c r="AM896" t="s">
        <v>307</v>
      </c>
      <c r="AN896" t="s">
        <v>308</v>
      </c>
      <c r="AO896" t="s">
        <v>661</v>
      </c>
      <c r="AP896" t="s">
        <v>662</v>
      </c>
      <c r="AQ896" t="s">
        <v>74</v>
      </c>
      <c r="AR896" t="s">
        <v>650</v>
      </c>
      <c r="AS896" t="s">
        <v>663</v>
      </c>
      <c r="AT896" t="s">
        <v>16741</v>
      </c>
      <c r="AU896">
        <v>2015</v>
      </c>
      <c r="AV896">
        <v>30</v>
      </c>
      <c r="AW896">
        <v>6</v>
      </c>
      <c r="AX896" t="s">
        <v>74</v>
      </c>
      <c r="AY896" t="s">
        <v>74</v>
      </c>
      <c r="AZ896" t="s">
        <v>74</v>
      </c>
      <c r="BA896" t="s">
        <v>74</v>
      </c>
      <c r="BB896">
        <v>789</v>
      </c>
      <c r="BC896">
        <v>801</v>
      </c>
      <c r="BD896" t="s">
        <v>74</v>
      </c>
      <c r="BE896" t="s">
        <v>17017</v>
      </c>
      <c r="BF896" t="str">
        <f>HYPERLINK("http://dx.doi.org/10.1002/2014PA002704","http://dx.doi.org/10.1002/2014PA002704")</f>
        <v>http://dx.doi.org/10.1002/2014PA002704</v>
      </c>
      <c r="BG896" t="s">
        <v>74</v>
      </c>
      <c r="BH896" t="s">
        <v>74</v>
      </c>
      <c r="BI896">
        <v>13</v>
      </c>
      <c r="BJ896" t="s">
        <v>665</v>
      </c>
      <c r="BK896" t="s">
        <v>101</v>
      </c>
      <c r="BL896" t="s">
        <v>666</v>
      </c>
      <c r="BM896" t="s">
        <v>17000</v>
      </c>
      <c r="BN896" t="s">
        <v>74</v>
      </c>
      <c r="BO896" t="s">
        <v>162</v>
      </c>
      <c r="BP896" t="s">
        <v>74</v>
      </c>
      <c r="BQ896" t="s">
        <v>74</v>
      </c>
      <c r="BR896" t="s">
        <v>103</v>
      </c>
      <c r="BS896" t="s">
        <v>17018</v>
      </c>
      <c r="BT896" t="str">
        <f>HYPERLINK("https%3A%2F%2Fwww.webofscience.com%2Fwos%2Fwoscc%2Ffull-record%2FWOS:000358041400013","View Full Record in Web of Science")</f>
        <v>View Full Record in Web of Science</v>
      </c>
    </row>
    <row r="897" spans="1:72" x14ac:dyDescent="0.15">
      <c r="A897" t="s">
        <v>72</v>
      </c>
      <c r="B897" t="s">
        <v>17019</v>
      </c>
      <c r="C897" t="s">
        <v>74</v>
      </c>
      <c r="D897" t="s">
        <v>74</v>
      </c>
      <c r="E897" t="s">
        <v>74</v>
      </c>
      <c r="F897" t="s">
        <v>17020</v>
      </c>
      <c r="G897" t="s">
        <v>74</v>
      </c>
      <c r="H897" t="s">
        <v>74</v>
      </c>
      <c r="I897" t="s">
        <v>17021</v>
      </c>
      <c r="J897" t="s">
        <v>17022</v>
      </c>
      <c r="K897" t="s">
        <v>74</v>
      </c>
      <c r="L897" t="s">
        <v>74</v>
      </c>
      <c r="M897" t="s">
        <v>78</v>
      </c>
      <c r="N897" t="s">
        <v>79</v>
      </c>
      <c r="O897" t="s">
        <v>74</v>
      </c>
      <c r="P897" t="s">
        <v>74</v>
      </c>
      <c r="Q897" t="s">
        <v>74</v>
      </c>
      <c r="R897" t="s">
        <v>74</v>
      </c>
      <c r="S897" t="s">
        <v>74</v>
      </c>
      <c r="T897" t="s">
        <v>17023</v>
      </c>
      <c r="U897" t="s">
        <v>17024</v>
      </c>
      <c r="V897" t="s">
        <v>17025</v>
      </c>
      <c r="W897" t="s">
        <v>17026</v>
      </c>
      <c r="X897" t="s">
        <v>17027</v>
      </c>
      <c r="Y897" t="s">
        <v>17028</v>
      </c>
      <c r="Z897" t="s">
        <v>17029</v>
      </c>
      <c r="AA897" t="s">
        <v>17030</v>
      </c>
      <c r="AB897" t="s">
        <v>17031</v>
      </c>
      <c r="AC897" t="s">
        <v>17032</v>
      </c>
      <c r="AD897" t="s">
        <v>17033</v>
      </c>
      <c r="AE897" t="s">
        <v>17034</v>
      </c>
      <c r="AF897" t="s">
        <v>74</v>
      </c>
      <c r="AG897">
        <v>61</v>
      </c>
      <c r="AH897">
        <v>12</v>
      </c>
      <c r="AI897">
        <v>12</v>
      </c>
      <c r="AJ897">
        <v>0</v>
      </c>
      <c r="AK897">
        <v>2</v>
      </c>
      <c r="AL897" t="s">
        <v>306</v>
      </c>
      <c r="AM897" t="s">
        <v>307</v>
      </c>
      <c r="AN897" t="s">
        <v>308</v>
      </c>
      <c r="AO897" t="s">
        <v>17035</v>
      </c>
      <c r="AP897" t="s">
        <v>17036</v>
      </c>
      <c r="AQ897" t="s">
        <v>74</v>
      </c>
      <c r="AR897" t="s">
        <v>17022</v>
      </c>
      <c r="AS897" t="s">
        <v>17037</v>
      </c>
      <c r="AT897" t="s">
        <v>16741</v>
      </c>
      <c r="AU897">
        <v>2015</v>
      </c>
      <c r="AV897">
        <v>34</v>
      </c>
      <c r="AW897">
        <v>6</v>
      </c>
      <c r="AX897" t="s">
        <v>74</v>
      </c>
      <c r="AY897" t="s">
        <v>74</v>
      </c>
      <c r="AZ897" t="s">
        <v>74</v>
      </c>
      <c r="BA897" t="s">
        <v>74</v>
      </c>
      <c r="BB897">
        <v>1290</v>
      </c>
      <c r="BC897">
        <v>1305</v>
      </c>
      <c r="BD897" t="s">
        <v>74</v>
      </c>
      <c r="BE897" t="s">
        <v>17038</v>
      </c>
      <c r="BF897" t="str">
        <f>HYPERLINK("http://dx.doi.org/10.1002/2014TC003763","http://dx.doi.org/10.1002/2014TC003763")</f>
        <v>http://dx.doi.org/10.1002/2014TC003763</v>
      </c>
      <c r="BG897" t="s">
        <v>74</v>
      </c>
      <c r="BH897" t="s">
        <v>74</v>
      </c>
      <c r="BI897">
        <v>16</v>
      </c>
      <c r="BJ897" t="s">
        <v>1707</v>
      </c>
      <c r="BK897" t="s">
        <v>101</v>
      </c>
      <c r="BL897" t="s">
        <v>1707</v>
      </c>
      <c r="BM897" t="s">
        <v>17039</v>
      </c>
      <c r="BN897" t="s">
        <v>74</v>
      </c>
      <c r="BO897" t="s">
        <v>162</v>
      </c>
      <c r="BP897" t="s">
        <v>74</v>
      </c>
      <c r="BQ897" t="s">
        <v>74</v>
      </c>
      <c r="BR897" t="s">
        <v>103</v>
      </c>
      <c r="BS897" t="s">
        <v>17040</v>
      </c>
      <c r="BT897" t="str">
        <f>HYPERLINK("https%3A%2F%2Fwww.webofscience.com%2Fwos%2Fwoscc%2Ffull-record%2FWOS:000357954300011","View Full Record in Web of Science")</f>
        <v>View Full Record in Web of Science</v>
      </c>
    </row>
    <row r="898" spans="1:72" x14ac:dyDescent="0.15">
      <c r="A898" t="s">
        <v>72</v>
      </c>
      <c r="B898" t="s">
        <v>17041</v>
      </c>
      <c r="C898" t="s">
        <v>74</v>
      </c>
      <c r="D898" t="s">
        <v>74</v>
      </c>
      <c r="E898" t="s">
        <v>74</v>
      </c>
      <c r="F898" t="s">
        <v>17042</v>
      </c>
      <c r="G898" t="s">
        <v>74</v>
      </c>
      <c r="H898" t="s">
        <v>74</v>
      </c>
      <c r="I898" t="s">
        <v>17043</v>
      </c>
      <c r="J898" t="s">
        <v>3888</v>
      </c>
      <c r="K898" t="s">
        <v>74</v>
      </c>
      <c r="L898" t="s">
        <v>74</v>
      </c>
      <c r="M898" t="s">
        <v>78</v>
      </c>
      <c r="N898" t="s">
        <v>79</v>
      </c>
      <c r="O898" t="s">
        <v>74</v>
      </c>
      <c r="P898" t="s">
        <v>74</v>
      </c>
      <c r="Q898" t="s">
        <v>74</v>
      </c>
      <c r="R898" t="s">
        <v>74</v>
      </c>
      <c r="S898" t="s">
        <v>74</v>
      </c>
      <c r="T898" t="s">
        <v>17044</v>
      </c>
      <c r="U898" t="s">
        <v>17045</v>
      </c>
      <c r="V898" t="s">
        <v>17046</v>
      </c>
      <c r="W898" t="s">
        <v>17047</v>
      </c>
      <c r="X898" t="s">
        <v>17048</v>
      </c>
      <c r="Y898" t="s">
        <v>17049</v>
      </c>
      <c r="Z898" t="s">
        <v>17050</v>
      </c>
      <c r="AA898" t="s">
        <v>17051</v>
      </c>
      <c r="AB898" t="s">
        <v>17052</v>
      </c>
      <c r="AC898" t="s">
        <v>17053</v>
      </c>
      <c r="AD898" t="s">
        <v>17054</v>
      </c>
      <c r="AE898" t="s">
        <v>17055</v>
      </c>
      <c r="AF898" t="s">
        <v>74</v>
      </c>
      <c r="AG898">
        <v>47</v>
      </c>
      <c r="AH898">
        <v>11</v>
      </c>
      <c r="AI898">
        <v>12</v>
      </c>
      <c r="AJ898">
        <v>1</v>
      </c>
      <c r="AK898">
        <v>60</v>
      </c>
      <c r="AL898" t="s">
        <v>3901</v>
      </c>
      <c r="AM898" t="s">
        <v>3902</v>
      </c>
      <c r="AN898" t="s">
        <v>3903</v>
      </c>
      <c r="AO898" t="s">
        <v>3904</v>
      </c>
      <c r="AP898" t="s">
        <v>3905</v>
      </c>
      <c r="AQ898" t="s">
        <v>74</v>
      </c>
      <c r="AR898" t="s">
        <v>3906</v>
      </c>
      <c r="AS898" t="s">
        <v>3907</v>
      </c>
      <c r="AT898" t="s">
        <v>16741</v>
      </c>
      <c r="AU898">
        <v>2015</v>
      </c>
      <c r="AV898">
        <v>51</v>
      </c>
      <c r="AW898">
        <v>3</v>
      </c>
      <c r="AX898" t="s">
        <v>74</v>
      </c>
      <c r="AY898" t="s">
        <v>74</v>
      </c>
      <c r="AZ898" t="s">
        <v>74</v>
      </c>
      <c r="BA898" t="s">
        <v>74</v>
      </c>
      <c r="BB898">
        <v>230</v>
      </c>
      <c r="BC898">
        <v>240</v>
      </c>
      <c r="BD898" t="s">
        <v>74</v>
      </c>
      <c r="BE898" t="s">
        <v>17056</v>
      </c>
      <c r="BF898" t="str">
        <f>HYPERLINK("http://dx.doi.org/10.1016/j.ejop.2015.04.001","http://dx.doi.org/10.1016/j.ejop.2015.04.001")</f>
        <v>http://dx.doi.org/10.1016/j.ejop.2015.04.001</v>
      </c>
      <c r="BG898" t="s">
        <v>74</v>
      </c>
      <c r="BH898" t="s">
        <v>74</v>
      </c>
      <c r="BI898">
        <v>11</v>
      </c>
      <c r="BJ898" t="s">
        <v>160</v>
      </c>
      <c r="BK898" t="s">
        <v>101</v>
      </c>
      <c r="BL898" t="s">
        <v>160</v>
      </c>
      <c r="BM898" t="s">
        <v>17057</v>
      </c>
      <c r="BN898">
        <v>25966027</v>
      </c>
      <c r="BO898" t="s">
        <v>74</v>
      </c>
      <c r="BP898" t="s">
        <v>74</v>
      </c>
      <c r="BQ898" t="s">
        <v>74</v>
      </c>
      <c r="BR898" t="s">
        <v>103</v>
      </c>
      <c r="BS898" t="s">
        <v>17058</v>
      </c>
      <c r="BT898" t="str">
        <f>HYPERLINK("https%3A%2F%2Fwww.webofscience.com%2Fwos%2Fwoscc%2Ffull-record%2FWOS:000357242000003","View Full Record in Web of Science")</f>
        <v>View Full Record in Web of Science</v>
      </c>
    </row>
    <row r="899" spans="1:72" x14ac:dyDescent="0.15">
      <c r="A899" t="s">
        <v>72</v>
      </c>
      <c r="B899" t="s">
        <v>17059</v>
      </c>
      <c r="C899" t="s">
        <v>74</v>
      </c>
      <c r="D899" t="s">
        <v>74</v>
      </c>
      <c r="E899" t="s">
        <v>74</v>
      </c>
      <c r="F899" t="s">
        <v>17060</v>
      </c>
      <c r="G899" t="s">
        <v>74</v>
      </c>
      <c r="H899" t="s">
        <v>74</v>
      </c>
      <c r="I899" t="s">
        <v>17061</v>
      </c>
      <c r="J899" t="s">
        <v>13815</v>
      </c>
      <c r="K899" t="s">
        <v>74</v>
      </c>
      <c r="L899" t="s">
        <v>74</v>
      </c>
      <c r="M899" t="s">
        <v>78</v>
      </c>
      <c r="N899" t="s">
        <v>79</v>
      </c>
      <c r="O899" t="s">
        <v>74</v>
      </c>
      <c r="P899" t="s">
        <v>74</v>
      </c>
      <c r="Q899" t="s">
        <v>74</v>
      </c>
      <c r="R899" t="s">
        <v>74</v>
      </c>
      <c r="S899" t="s">
        <v>74</v>
      </c>
      <c r="T899" t="s">
        <v>74</v>
      </c>
      <c r="U899" t="s">
        <v>17062</v>
      </c>
      <c r="V899" t="s">
        <v>17063</v>
      </c>
      <c r="W899" t="s">
        <v>17064</v>
      </c>
      <c r="X899" t="s">
        <v>17065</v>
      </c>
      <c r="Y899" t="s">
        <v>17066</v>
      </c>
      <c r="Z899" t="s">
        <v>17067</v>
      </c>
      <c r="AA899" t="s">
        <v>17068</v>
      </c>
      <c r="AB899" t="s">
        <v>17069</v>
      </c>
      <c r="AC899" t="s">
        <v>17070</v>
      </c>
      <c r="AD899" t="s">
        <v>17071</v>
      </c>
      <c r="AE899" t="s">
        <v>17072</v>
      </c>
      <c r="AF899" t="s">
        <v>74</v>
      </c>
      <c r="AG899">
        <v>17</v>
      </c>
      <c r="AH899">
        <v>34</v>
      </c>
      <c r="AI899">
        <v>35</v>
      </c>
      <c r="AJ899">
        <v>0</v>
      </c>
      <c r="AK899">
        <v>41</v>
      </c>
      <c r="AL899" t="s">
        <v>6922</v>
      </c>
      <c r="AM899" t="s">
        <v>307</v>
      </c>
      <c r="AN899" t="s">
        <v>6923</v>
      </c>
      <c r="AO899" t="s">
        <v>13827</v>
      </c>
      <c r="AP899" t="s">
        <v>13828</v>
      </c>
      <c r="AQ899" t="s">
        <v>74</v>
      </c>
      <c r="AR899" t="s">
        <v>13829</v>
      </c>
      <c r="AS899" t="s">
        <v>13830</v>
      </c>
      <c r="AT899" t="s">
        <v>16741</v>
      </c>
      <c r="AU899">
        <v>2015</v>
      </c>
      <c r="AV899">
        <v>78</v>
      </c>
      <c r="AW899">
        <v>6</v>
      </c>
      <c r="AX899" t="s">
        <v>74</v>
      </c>
      <c r="AY899" t="s">
        <v>74</v>
      </c>
      <c r="AZ899" t="s">
        <v>74</v>
      </c>
      <c r="BA899" t="s">
        <v>74</v>
      </c>
      <c r="BB899">
        <v>1442</v>
      </c>
      <c r="BC899">
        <v>1445</v>
      </c>
      <c r="BD899" t="s">
        <v>74</v>
      </c>
      <c r="BE899" t="s">
        <v>17073</v>
      </c>
      <c r="BF899" t="str">
        <f>HYPERLINK("http://dx.doi.org/10.1021/acs.jnatprod.5b00103","http://dx.doi.org/10.1021/acs.jnatprod.5b00103")</f>
        <v>http://dx.doi.org/10.1021/acs.jnatprod.5b00103</v>
      </c>
      <c r="BG899" t="s">
        <v>74</v>
      </c>
      <c r="BH899" t="s">
        <v>74</v>
      </c>
      <c r="BI899">
        <v>4</v>
      </c>
      <c r="BJ899" t="s">
        <v>13832</v>
      </c>
      <c r="BK899" t="s">
        <v>13833</v>
      </c>
      <c r="BL899" t="s">
        <v>13834</v>
      </c>
      <c r="BM899" t="s">
        <v>17074</v>
      </c>
      <c r="BN899">
        <v>26046820</v>
      </c>
      <c r="BO899" t="s">
        <v>74</v>
      </c>
      <c r="BP899" t="s">
        <v>74</v>
      </c>
      <c r="BQ899" t="s">
        <v>74</v>
      </c>
      <c r="BR899" t="s">
        <v>103</v>
      </c>
      <c r="BS899" t="s">
        <v>17075</v>
      </c>
      <c r="BT899" t="str">
        <f>HYPERLINK("https%3A%2F%2Fwww.webofscience.com%2Fwos%2Fwoscc%2Ffull-record%2FWOS:000357138300034","View Full Record in Web of Science")</f>
        <v>View Full Record in Web of Science</v>
      </c>
    </row>
    <row r="900" spans="1:72" x14ac:dyDescent="0.15">
      <c r="A900" t="s">
        <v>72</v>
      </c>
      <c r="B900" t="s">
        <v>17076</v>
      </c>
      <c r="C900" t="s">
        <v>74</v>
      </c>
      <c r="D900" t="s">
        <v>74</v>
      </c>
      <c r="E900" t="s">
        <v>74</v>
      </c>
      <c r="F900" t="s">
        <v>17077</v>
      </c>
      <c r="G900" t="s">
        <v>74</v>
      </c>
      <c r="H900" t="s">
        <v>74</v>
      </c>
      <c r="I900" t="s">
        <v>17078</v>
      </c>
      <c r="J900" t="s">
        <v>17079</v>
      </c>
      <c r="K900" t="s">
        <v>74</v>
      </c>
      <c r="L900" t="s">
        <v>74</v>
      </c>
      <c r="M900" t="s">
        <v>78</v>
      </c>
      <c r="N900" t="s">
        <v>79</v>
      </c>
      <c r="O900" t="s">
        <v>74</v>
      </c>
      <c r="P900" t="s">
        <v>74</v>
      </c>
      <c r="Q900" t="s">
        <v>74</v>
      </c>
      <c r="R900" t="s">
        <v>74</v>
      </c>
      <c r="S900" t="s">
        <v>74</v>
      </c>
      <c r="T900" t="s">
        <v>17080</v>
      </c>
      <c r="U900" t="s">
        <v>17081</v>
      </c>
      <c r="V900" t="s">
        <v>17082</v>
      </c>
      <c r="W900" t="s">
        <v>17083</v>
      </c>
      <c r="X900" t="s">
        <v>17084</v>
      </c>
      <c r="Y900" t="s">
        <v>17085</v>
      </c>
      <c r="Z900" t="s">
        <v>74</v>
      </c>
      <c r="AA900" t="s">
        <v>17086</v>
      </c>
      <c r="AB900" t="s">
        <v>17087</v>
      </c>
      <c r="AC900" t="s">
        <v>17088</v>
      </c>
      <c r="AD900" t="s">
        <v>17089</v>
      </c>
      <c r="AE900" t="s">
        <v>17090</v>
      </c>
      <c r="AF900" t="s">
        <v>74</v>
      </c>
      <c r="AG900">
        <v>57</v>
      </c>
      <c r="AH900">
        <v>9</v>
      </c>
      <c r="AI900">
        <v>11</v>
      </c>
      <c r="AJ900">
        <v>0</v>
      </c>
      <c r="AK900">
        <v>20</v>
      </c>
      <c r="AL900" t="s">
        <v>496</v>
      </c>
      <c r="AM900" t="s">
        <v>398</v>
      </c>
      <c r="AN900" t="s">
        <v>497</v>
      </c>
      <c r="AO900" t="s">
        <v>17091</v>
      </c>
      <c r="AP900" t="s">
        <v>17092</v>
      </c>
      <c r="AQ900" t="s">
        <v>74</v>
      </c>
      <c r="AR900" t="s">
        <v>17093</v>
      </c>
      <c r="AS900" t="s">
        <v>17094</v>
      </c>
      <c r="AT900" t="s">
        <v>16741</v>
      </c>
      <c r="AU900">
        <v>2015</v>
      </c>
      <c r="AV900">
        <v>17</v>
      </c>
      <c r="AW900" t="s">
        <v>74</v>
      </c>
      <c r="AX900" t="s">
        <v>74</v>
      </c>
      <c r="AY900" t="s">
        <v>74</v>
      </c>
      <c r="AZ900" t="s">
        <v>74</v>
      </c>
      <c r="BA900" t="s">
        <v>74</v>
      </c>
      <c r="BB900">
        <v>61</v>
      </c>
      <c r="BC900">
        <v>66</v>
      </c>
      <c r="BD900" t="s">
        <v>74</v>
      </c>
      <c r="BE900" t="s">
        <v>17095</v>
      </c>
      <c r="BF900" t="str">
        <f>HYPERLINK("http://dx.doi.org/10.1016/j.aeolia.2015.01.003","http://dx.doi.org/10.1016/j.aeolia.2015.01.003")</f>
        <v>http://dx.doi.org/10.1016/j.aeolia.2015.01.003</v>
      </c>
      <c r="BG900" t="s">
        <v>74</v>
      </c>
      <c r="BH900" t="s">
        <v>74</v>
      </c>
      <c r="BI900">
        <v>6</v>
      </c>
      <c r="BJ900" t="s">
        <v>17096</v>
      </c>
      <c r="BK900" t="s">
        <v>101</v>
      </c>
      <c r="BL900" t="s">
        <v>17097</v>
      </c>
      <c r="BM900" t="s">
        <v>17098</v>
      </c>
      <c r="BN900" t="s">
        <v>74</v>
      </c>
      <c r="BO900" t="s">
        <v>74</v>
      </c>
      <c r="BP900" t="s">
        <v>74</v>
      </c>
      <c r="BQ900" t="s">
        <v>74</v>
      </c>
      <c r="BR900" t="s">
        <v>103</v>
      </c>
      <c r="BS900" t="s">
        <v>17099</v>
      </c>
      <c r="BT900" t="str">
        <f>HYPERLINK("https%3A%2F%2Fwww.webofscience.com%2Fwos%2Fwoscc%2Ffull-record%2FWOS:000357146700005","View Full Record in Web of Science")</f>
        <v>View Full Record in Web of Science</v>
      </c>
    </row>
    <row r="901" spans="1:72" x14ac:dyDescent="0.15">
      <c r="A901" t="s">
        <v>72</v>
      </c>
      <c r="B901" t="s">
        <v>17100</v>
      </c>
      <c r="C901" t="s">
        <v>74</v>
      </c>
      <c r="D901" t="s">
        <v>74</v>
      </c>
      <c r="E901" t="s">
        <v>74</v>
      </c>
      <c r="F901" t="s">
        <v>17101</v>
      </c>
      <c r="G901" t="s">
        <v>74</v>
      </c>
      <c r="H901" t="s">
        <v>74</v>
      </c>
      <c r="I901" t="s">
        <v>17102</v>
      </c>
      <c r="J901" t="s">
        <v>6382</v>
      </c>
      <c r="K901" t="s">
        <v>74</v>
      </c>
      <c r="L901" t="s">
        <v>74</v>
      </c>
      <c r="M901" t="s">
        <v>78</v>
      </c>
      <c r="N901" t="s">
        <v>79</v>
      </c>
      <c r="O901" t="s">
        <v>74</v>
      </c>
      <c r="P901" t="s">
        <v>74</v>
      </c>
      <c r="Q901" t="s">
        <v>74</v>
      </c>
      <c r="R901" t="s">
        <v>74</v>
      </c>
      <c r="S901" t="s">
        <v>74</v>
      </c>
      <c r="T901" t="s">
        <v>17103</v>
      </c>
      <c r="U901" t="s">
        <v>17104</v>
      </c>
      <c r="V901" t="s">
        <v>17105</v>
      </c>
      <c r="W901" t="s">
        <v>17106</v>
      </c>
      <c r="X901" t="s">
        <v>17107</v>
      </c>
      <c r="Y901" t="s">
        <v>17108</v>
      </c>
      <c r="Z901" t="s">
        <v>17109</v>
      </c>
      <c r="AA901" t="s">
        <v>74</v>
      </c>
      <c r="AB901" t="s">
        <v>74</v>
      </c>
      <c r="AC901" t="s">
        <v>17110</v>
      </c>
      <c r="AD901" t="s">
        <v>17111</v>
      </c>
      <c r="AE901" t="s">
        <v>17112</v>
      </c>
      <c r="AF901" t="s">
        <v>74</v>
      </c>
      <c r="AG901">
        <v>52</v>
      </c>
      <c r="AH901">
        <v>13</v>
      </c>
      <c r="AI901">
        <v>14</v>
      </c>
      <c r="AJ901">
        <v>2</v>
      </c>
      <c r="AK901">
        <v>43</v>
      </c>
      <c r="AL901" t="s">
        <v>2894</v>
      </c>
      <c r="AM901" t="s">
        <v>2895</v>
      </c>
      <c r="AN901" t="s">
        <v>2896</v>
      </c>
      <c r="AO901" t="s">
        <v>6393</v>
      </c>
      <c r="AP901" t="s">
        <v>74</v>
      </c>
      <c r="AQ901" t="s">
        <v>74</v>
      </c>
      <c r="AR901" t="s">
        <v>6394</v>
      </c>
      <c r="AS901" t="s">
        <v>6395</v>
      </c>
      <c r="AT901" t="s">
        <v>16741</v>
      </c>
      <c r="AU901">
        <v>2015</v>
      </c>
      <c r="AV901">
        <v>10</v>
      </c>
      <c r="AW901">
        <v>6</v>
      </c>
      <c r="AX901" t="s">
        <v>74</v>
      </c>
      <c r="AY901" t="s">
        <v>74</v>
      </c>
      <c r="AZ901" t="s">
        <v>74</v>
      </c>
      <c r="BA901" t="s">
        <v>74</v>
      </c>
      <c r="BB901" t="s">
        <v>74</v>
      </c>
      <c r="BC901" t="s">
        <v>74</v>
      </c>
      <c r="BD901">
        <v>64001</v>
      </c>
      <c r="BE901" t="s">
        <v>17113</v>
      </c>
      <c r="BF901" t="str">
        <f>HYPERLINK("http://dx.doi.org/10.1088/1748-9326/10/6/064001","http://dx.doi.org/10.1088/1748-9326/10/6/064001")</f>
        <v>http://dx.doi.org/10.1088/1748-9326/10/6/064001</v>
      </c>
      <c r="BG901" t="s">
        <v>74</v>
      </c>
      <c r="BH901" t="s">
        <v>74</v>
      </c>
      <c r="BI901">
        <v>12</v>
      </c>
      <c r="BJ901" t="s">
        <v>1837</v>
      </c>
      <c r="BK901" t="s">
        <v>101</v>
      </c>
      <c r="BL901" t="s">
        <v>1838</v>
      </c>
      <c r="BM901" t="s">
        <v>17114</v>
      </c>
      <c r="BN901" t="s">
        <v>74</v>
      </c>
      <c r="BO901" t="s">
        <v>1404</v>
      </c>
      <c r="BP901" t="s">
        <v>74</v>
      </c>
      <c r="BQ901" t="s">
        <v>74</v>
      </c>
      <c r="BR901" t="s">
        <v>103</v>
      </c>
      <c r="BS901" t="s">
        <v>17115</v>
      </c>
      <c r="BT901" t="str">
        <f>HYPERLINK("https%3A%2F%2Fwww.webofscience.com%2Fwos%2Fwoscc%2Ffull-record%2FWOS:000356835600003","View Full Record in Web of Science")</f>
        <v>View Full Record in Web of Science</v>
      </c>
    </row>
    <row r="902" spans="1:72" x14ac:dyDescent="0.15">
      <c r="A902" t="s">
        <v>72</v>
      </c>
      <c r="B902" t="s">
        <v>17116</v>
      </c>
      <c r="C902" t="s">
        <v>74</v>
      </c>
      <c r="D902" t="s">
        <v>74</v>
      </c>
      <c r="E902" t="s">
        <v>74</v>
      </c>
      <c r="F902" t="s">
        <v>17117</v>
      </c>
      <c r="G902" t="s">
        <v>74</v>
      </c>
      <c r="H902" t="s">
        <v>74</v>
      </c>
      <c r="I902" t="s">
        <v>17118</v>
      </c>
      <c r="J902" t="s">
        <v>17119</v>
      </c>
      <c r="K902" t="s">
        <v>74</v>
      </c>
      <c r="L902" t="s">
        <v>74</v>
      </c>
      <c r="M902" t="s">
        <v>78</v>
      </c>
      <c r="N902" t="s">
        <v>79</v>
      </c>
      <c r="O902" t="s">
        <v>74</v>
      </c>
      <c r="P902" t="s">
        <v>74</v>
      </c>
      <c r="Q902" t="s">
        <v>74</v>
      </c>
      <c r="R902" t="s">
        <v>74</v>
      </c>
      <c r="S902" t="s">
        <v>74</v>
      </c>
      <c r="T902" t="s">
        <v>17120</v>
      </c>
      <c r="U902" t="s">
        <v>74</v>
      </c>
      <c r="V902" t="s">
        <v>17121</v>
      </c>
      <c r="W902" t="s">
        <v>17122</v>
      </c>
      <c r="X902" t="s">
        <v>17123</v>
      </c>
      <c r="Y902" t="s">
        <v>17124</v>
      </c>
      <c r="Z902" t="s">
        <v>17125</v>
      </c>
      <c r="AA902" t="s">
        <v>74</v>
      </c>
      <c r="AB902" t="s">
        <v>17126</v>
      </c>
      <c r="AC902" t="s">
        <v>74</v>
      </c>
      <c r="AD902" t="s">
        <v>74</v>
      </c>
      <c r="AE902" t="s">
        <v>74</v>
      </c>
      <c r="AF902" t="s">
        <v>74</v>
      </c>
      <c r="AG902">
        <v>37</v>
      </c>
      <c r="AH902">
        <v>6</v>
      </c>
      <c r="AI902">
        <v>6</v>
      </c>
      <c r="AJ902">
        <v>0</v>
      </c>
      <c r="AK902">
        <v>12</v>
      </c>
      <c r="AL902" t="s">
        <v>92</v>
      </c>
      <c r="AM902" t="s">
        <v>550</v>
      </c>
      <c r="AN902" t="s">
        <v>4772</v>
      </c>
      <c r="AO902" t="s">
        <v>17127</v>
      </c>
      <c r="AP902" t="s">
        <v>17128</v>
      </c>
      <c r="AQ902" t="s">
        <v>74</v>
      </c>
      <c r="AR902" t="s">
        <v>17129</v>
      </c>
      <c r="AS902" t="s">
        <v>17130</v>
      </c>
      <c r="AT902" t="s">
        <v>16741</v>
      </c>
      <c r="AU902">
        <v>2015</v>
      </c>
      <c r="AV902">
        <v>19</v>
      </c>
      <c r="AW902">
        <v>3</v>
      </c>
      <c r="AX902" t="s">
        <v>74</v>
      </c>
      <c r="AY902" t="s">
        <v>74</v>
      </c>
      <c r="AZ902" t="s">
        <v>74</v>
      </c>
      <c r="BA902" t="s">
        <v>74</v>
      </c>
      <c r="BB902">
        <v>257</v>
      </c>
      <c r="BC902">
        <v>267</v>
      </c>
      <c r="BD902" t="s">
        <v>74</v>
      </c>
      <c r="BE902" t="s">
        <v>17131</v>
      </c>
      <c r="BF902" t="str">
        <f>HYPERLINK("http://dx.doi.org/10.1007/s11852-015-0385-9","http://dx.doi.org/10.1007/s11852-015-0385-9")</f>
        <v>http://dx.doi.org/10.1007/s11852-015-0385-9</v>
      </c>
      <c r="BG902" t="s">
        <v>74</v>
      </c>
      <c r="BH902" t="s">
        <v>74</v>
      </c>
      <c r="BI902">
        <v>11</v>
      </c>
      <c r="BJ902" t="s">
        <v>17132</v>
      </c>
      <c r="BK902" t="s">
        <v>101</v>
      </c>
      <c r="BL902" t="s">
        <v>17133</v>
      </c>
      <c r="BM902" t="s">
        <v>17134</v>
      </c>
      <c r="BN902" t="s">
        <v>74</v>
      </c>
      <c r="BO902" t="s">
        <v>74</v>
      </c>
      <c r="BP902" t="s">
        <v>74</v>
      </c>
      <c r="BQ902" t="s">
        <v>74</v>
      </c>
      <c r="BR902" t="s">
        <v>103</v>
      </c>
      <c r="BS902" t="s">
        <v>17135</v>
      </c>
      <c r="BT902" t="str">
        <f>HYPERLINK("https%3A%2F%2Fwww.webofscience.com%2Fwos%2Fwoscc%2Ffull-record%2FWOS:000357040100001","View Full Record in Web of Science")</f>
        <v>View Full Record in Web of Science</v>
      </c>
    </row>
    <row r="903" spans="1:72" x14ac:dyDescent="0.15">
      <c r="A903" t="s">
        <v>72</v>
      </c>
      <c r="B903" t="s">
        <v>17136</v>
      </c>
      <c r="C903" t="s">
        <v>74</v>
      </c>
      <c r="D903" t="s">
        <v>74</v>
      </c>
      <c r="E903" t="s">
        <v>74</v>
      </c>
      <c r="F903" t="s">
        <v>17137</v>
      </c>
      <c r="G903" t="s">
        <v>74</v>
      </c>
      <c r="H903" t="s">
        <v>74</v>
      </c>
      <c r="I903" t="s">
        <v>17138</v>
      </c>
      <c r="J903" t="s">
        <v>511</v>
      </c>
      <c r="K903" t="s">
        <v>74</v>
      </c>
      <c r="L903" t="s">
        <v>74</v>
      </c>
      <c r="M903" t="s">
        <v>78</v>
      </c>
      <c r="N903" t="s">
        <v>79</v>
      </c>
      <c r="O903" t="s">
        <v>74</v>
      </c>
      <c r="P903" t="s">
        <v>74</v>
      </c>
      <c r="Q903" t="s">
        <v>74</v>
      </c>
      <c r="R903" t="s">
        <v>74</v>
      </c>
      <c r="S903" t="s">
        <v>74</v>
      </c>
      <c r="T903" t="s">
        <v>74</v>
      </c>
      <c r="U903" t="s">
        <v>17139</v>
      </c>
      <c r="V903" t="s">
        <v>17140</v>
      </c>
      <c r="W903" t="s">
        <v>17141</v>
      </c>
      <c r="X903" t="s">
        <v>17142</v>
      </c>
      <c r="Y903" t="s">
        <v>17143</v>
      </c>
      <c r="Z903" t="s">
        <v>17144</v>
      </c>
      <c r="AA903" t="s">
        <v>17145</v>
      </c>
      <c r="AB903" t="s">
        <v>17146</v>
      </c>
      <c r="AC903" t="s">
        <v>17147</v>
      </c>
      <c r="AD903" t="s">
        <v>17148</v>
      </c>
      <c r="AE903" t="s">
        <v>17149</v>
      </c>
      <c r="AF903" t="s">
        <v>74</v>
      </c>
      <c r="AG903">
        <v>59</v>
      </c>
      <c r="AH903">
        <v>24</v>
      </c>
      <c r="AI903">
        <v>24</v>
      </c>
      <c r="AJ903">
        <v>1</v>
      </c>
      <c r="AK903">
        <v>22</v>
      </c>
      <c r="AL903" t="s">
        <v>179</v>
      </c>
      <c r="AM903" t="s">
        <v>180</v>
      </c>
      <c r="AN903" t="s">
        <v>181</v>
      </c>
      <c r="AO903" t="s">
        <v>526</v>
      </c>
      <c r="AP903" t="s">
        <v>74</v>
      </c>
      <c r="AQ903" t="s">
        <v>74</v>
      </c>
      <c r="AR903" t="s">
        <v>527</v>
      </c>
      <c r="AS903" t="s">
        <v>528</v>
      </c>
      <c r="AT903" t="s">
        <v>16741</v>
      </c>
      <c r="AU903">
        <v>2015</v>
      </c>
      <c r="AV903">
        <v>6</v>
      </c>
      <c r="AW903" t="s">
        <v>74</v>
      </c>
      <c r="AX903" t="s">
        <v>74</v>
      </c>
      <c r="AY903" t="s">
        <v>74</v>
      </c>
      <c r="AZ903" t="s">
        <v>74</v>
      </c>
      <c r="BA903" t="s">
        <v>74</v>
      </c>
      <c r="BB903" t="s">
        <v>74</v>
      </c>
      <c r="BC903" t="s">
        <v>74</v>
      </c>
      <c r="BD903">
        <v>7579</v>
      </c>
      <c r="BE903" t="s">
        <v>17150</v>
      </c>
      <c r="BF903" t="str">
        <f>HYPERLINK("http://dx.doi.org/10.1038/ncomms8579","http://dx.doi.org/10.1038/ncomms8579")</f>
        <v>http://dx.doi.org/10.1038/ncomms8579</v>
      </c>
      <c r="BG903" t="s">
        <v>74</v>
      </c>
      <c r="BH903" t="s">
        <v>74</v>
      </c>
      <c r="BI903">
        <v>7</v>
      </c>
      <c r="BJ903" t="s">
        <v>530</v>
      </c>
      <c r="BK903" t="s">
        <v>101</v>
      </c>
      <c r="BL903" t="s">
        <v>531</v>
      </c>
      <c r="BM903" t="s">
        <v>17151</v>
      </c>
      <c r="BN903">
        <v>26119082</v>
      </c>
      <c r="BO903" t="s">
        <v>1304</v>
      </c>
      <c r="BP903" t="s">
        <v>74</v>
      </c>
      <c r="BQ903" t="s">
        <v>74</v>
      </c>
      <c r="BR903" t="s">
        <v>103</v>
      </c>
      <c r="BS903" t="s">
        <v>17152</v>
      </c>
      <c r="BT903" t="str">
        <f>HYPERLINK("https%3A%2F%2Fwww.webofscience.com%2Fwos%2Fwoscc%2Ffull-record%2FWOS:000357181300001","View Full Record in Web of Science")</f>
        <v>View Full Record in Web of Science</v>
      </c>
    </row>
    <row r="904" spans="1:72" x14ac:dyDescent="0.15">
      <c r="A904" t="s">
        <v>72</v>
      </c>
      <c r="B904" t="s">
        <v>17153</v>
      </c>
      <c r="C904" t="s">
        <v>74</v>
      </c>
      <c r="D904" t="s">
        <v>74</v>
      </c>
      <c r="E904" t="s">
        <v>74</v>
      </c>
      <c r="F904" t="s">
        <v>17154</v>
      </c>
      <c r="G904" t="s">
        <v>74</v>
      </c>
      <c r="H904" t="s">
        <v>74</v>
      </c>
      <c r="I904" t="s">
        <v>17155</v>
      </c>
      <c r="J904" t="s">
        <v>6448</v>
      </c>
      <c r="K904" t="s">
        <v>74</v>
      </c>
      <c r="L904" t="s">
        <v>74</v>
      </c>
      <c r="M904" t="s">
        <v>78</v>
      </c>
      <c r="N904" t="s">
        <v>79</v>
      </c>
      <c r="O904" t="s">
        <v>74</v>
      </c>
      <c r="P904" t="s">
        <v>74</v>
      </c>
      <c r="Q904" t="s">
        <v>74</v>
      </c>
      <c r="R904" t="s">
        <v>74</v>
      </c>
      <c r="S904" t="s">
        <v>74</v>
      </c>
      <c r="T904" t="s">
        <v>74</v>
      </c>
      <c r="U904" t="s">
        <v>17156</v>
      </c>
      <c r="V904" t="s">
        <v>17157</v>
      </c>
      <c r="W904" t="s">
        <v>17158</v>
      </c>
      <c r="X904" t="s">
        <v>17159</v>
      </c>
      <c r="Y904" t="s">
        <v>17160</v>
      </c>
      <c r="Z904" t="s">
        <v>17161</v>
      </c>
      <c r="AA904" t="s">
        <v>17162</v>
      </c>
      <c r="AB904" t="s">
        <v>17163</v>
      </c>
      <c r="AC904" t="s">
        <v>17164</v>
      </c>
      <c r="AD904" t="s">
        <v>17165</v>
      </c>
      <c r="AE904" t="s">
        <v>17166</v>
      </c>
      <c r="AF904" t="s">
        <v>74</v>
      </c>
      <c r="AG904">
        <v>38</v>
      </c>
      <c r="AH904">
        <v>7</v>
      </c>
      <c r="AI904">
        <v>7</v>
      </c>
      <c r="AJ904">
        <v>0</v>
      </c>
      <c r="AK904">
        <v>18</v>
      </c>
      <c r="AL904" t="s">
        <v>6460</v>
      </c>
      <c r="AM904" t="s">
        <v>3041</v>
      </c>
      <c r="AN904" t="s">
        <v>6461</v>
      </c>
      <c r="AO904" t="s">
        <v>6462</v>
      </c>
      <c r="AP904" t="s">
        <v>74</v>
      </c>
      <c r="AQ904" t="s">
        <v>74</v>
      </c>
      <c r="AR904" t="s">
        <v>6463</v>
      </c>
      <c r="AS904" t="s">
        <v>6464</v>
      </c>
      <c r="AT904" t="s">
        <v>16741</v>
      </c>
      <c r="AU904">
        <v>2015</v>
      </c>
      <c r="AV904">
        <v>7</v>
      </c>
      <c r="AW904">
        <v>6</v>
      </c>
      <c r="AX904" t="s">
        <v>74</v>
      </c>
      <c r="AY904" t="s">
        <v>74</v>
      </c>
      <c r="AZ904" t="s">
        <v>74</v>
      </c>
      <c r="BA904" t="s">
        <v>74</v>
      </c>
      <c r="BB904">
        <v>7157</v>
      </c>
      <c r="BC904">
        <v>7180</v>
      </c>
      <c r="BD904" t="s">
        <v>74</v>
      </c>
      <c r="BE904" t="s">
        <v>17167</v>
      </c>
      <c r="BF904" t="str">
        <f>HYPERLINK("http://dx.doi.org/10.3390/rs70607157","http://dx.doi.org/10.3390/rs70607157")</f>
        <v>http://dx.doi.org/10.3390/rs70607157</v>
      </c>
      <c r="BG904" t="s">
        <v>74</v>
      </c>
      <c r="BH904" t="s">
        <v>74</v>
      </c>
      <c r="BI904">
        <v>24</v>
      </c>
      <c r="BJ904" t="s">
        <v>6466</v>
      </c>
      <c r="BK904" t="s">
        <v>101</v>
      </c>
      <c r="BL904" t="s">
        <v>6467</v>
      </c>
      <c r="BM904" t="s">
        <v>17168</v>
      </c>
      <c r="BN904" t="s">
        <v>74</v>
      </c>
      <c r="BO904" t="s">
        <v>1097</v>
      </c>
      <c r="BP904" t="s">
        <v>74</v>
      </c>
      <c r="BQ904" t="s">
        <v>74</v>
      </c>
      <c r="BR904" t="s">
        <v>103</v>
      </c>
      <c r="BS904" t="s">
        <v>17169</v>
      </c>
      <c r="BT904" t="str">
        <f>HYPERLINK("https%3A%2F%2Fwww.webofscience.com%2Fwos%2Fwoscc%2Ffull-record%2FWOS:000357589800028","View Full Record in Web of Science")</f>
        <v>View Full Record in Web of Science</v>
      </c>
    </row>
    <row r="905" spans="1:72" x14ac:dyDescent="0.15">
      <c r="A905" t="s">
        <v>72</v>
      </c>
      <c r="B905" t="s">
        <v>17170</v>
      </c>
      <c r="C905" t="s">
        <v>74</v>
      </c>
      <c r="D905" t="s">
        <v>74</v>
      </c>
      <c r="E905" t="s">
        <v>74</v>
      </c>
      <c r="F905" t="s">
        <v>17171</v>
      </c>
      <c r="G905" t="s">
        <v>74</v>
      </c>
      <c r="H905" t="s">
        <v>74</v>
      </c>
      <c r="I905" t="s">
        <v>17172</v>
      </c>
      <c r="J905" t="s">
        <v>17173</v>
      </c>
      <c r="K905" t="s">
        <v>74</v>
      </c>
      <c r="L905" t="s">
        <v>74</v>
      </c>
      <c r="M905" t="s">
        <v>78</v>
      </c>
      <c r="N905" t="s">
        <v>79</v>
      </c>
      <c r="O905" t="s">
        <v>74</v>
      </c>
      <c r="P905" t="s">
        <v>74</v>
      </c>
      <c r="Q905" t="s">
        <v>74</v>
      </c>
      <c r="R905" t="s">
        <v>74</v>
      </c>
      <c r="S905" t="s">
        <v>74</v>
      </c>
      <c r="T905" t="s">
        <v>17174</v>
      </c>
      <c r="U905" t="s">
        <v>17175</v>
      </c>
      <c r="V905" t="s">
        <v>17176</v>
      </c>
      <c r="W905" t="s">
        <v>17177</v>
      </c>
      <c r="X905" t="s">
        <v>17178</v>
      </c>
      <c r="Y905" t="s">
        <v>17179</v>
      </c>
      <c r="Z905" t="s">
        <v>17180</v>
      </c>
      <c r="AA905" t="s">
        <v>74</v>
      </c>
      <c r="AB905" t="s">
        <v>74</v>
      </c>
      <c r="AC905" t="s">
        <v>74</v>
      </c>
      <c r="AD905" t="s">
        <v>74</v>
      </c>
      <c r="AE905" t="s">
        <v>74</v>
      </c>
      <c r="AF905" t="s">
        <v>74</v>
      </c>
      <c r="AG905">
        <v>13</v>
      </c>
      <c r="AH905">
        <v>0</v>
      </c>
      <c r="AI905">
        <v>0</v>
      </c>
      <c r="AJ905">
        <v>0</v>
      </c>
      <c r="AK905">
        <v>1</v>
      </c>
      <c r="AL905" t="s">
        <v>17181</v>
      </c>
      <c r="AM905" t="s">
        <v>17182</v>
      </c>
      <c r="AN905" t="s">
        <v>17183</v>
      </c>
      <c r="AO905" t="s">
        <v>17184</v>
      </c>
      <c r="AP905" t="s">
        <v>74</v>
      </c>
      <c r="AQ905" t="s">
        <v>74</v>
      </c>
      <c r="AR905" t="s">
        <v>17185</v>
      </c>
      <c r="AS905" t="s">
        <v>17186</v>
      </c>
      <c r="AT905" t="s">
        <v>16741</v>
      </c>
      <c r="AU905">
        <v>2015</v>
      </c>
      <c r="AV905">
        <v>45</v>
      </c>
      <c r="AW905">
        <v>2</v>
      </c>
      <c r="AX905" t="s">
        <v>74</v>
      </c>
      <c r="AY905" t="s">
        <v>74</v>
      </c>
      <c r="AZ905" t="s">
        <v>74</v>
      </c>
      <c r="BA905" t="s">
        <v>74</v>
      </c>
      <c r="BB905">
        <v>121</v>
      </c>
      <c r="BC905">
        <v>123</v>
      </c>
      <c r="BD905" t="s">
        <v>74</v>
      </c>
      <c r="BE905" t="s">
        <v>74</v>
      </c>
      <c r="BF905" t="s">
        <v>74</v>
      </c>
      <c r="BG905" t="s">
        <v>74</v>
      </c>
      <c r="BH905" t="s">
        <v>74</v>
      </c>
      <c r="BI905">
        <v>3</v>
      </c>
      <c r="BJ905" t="s">
        <v>13327</v>
      </c>
      <c r="BK905" t="s">
        <v>101</v>
      </c>
      <c r="BL905" t="s">
        <v>13327</v>
      </c>
      <c r="BM905" t="s">
        <v>17187</v>
      </c>
      <c r="BN905">
        <v>26165535</v>
      </c>
      <c r="BO905" t="s">
        <v>74</v>
      </c>
      <c r="BP905" t="s">
        <v>74</v>
      </c>
      <c r="BQ905" t="s">
        <v>74</v>
      </c>
      <c r="BR905" t="s">
        <v>103</v>
      </c>
      <c r="BS905" t="s">
        <v>17188</v>
      </c>
      <c r="BT905" t="str">
        <f>HYPERLINK("https%3A%2F%2Fwww.webofscience.com%2Fwos%2Fwoscc%2Ffull-record%2FWOS:000356940200011","View Full Record in Web of Science")</f>
        <v>View Full Record in Web of Science</v>
      </c>
    </row>
    <row r="906" spans="1:72" x14ac:dyDescent="0.15">
      <c r="A906" t="s">
        <v>72</v>
      </c>
      <c r="B906" t="s">
        <v>17189</v>
      </c>
      <c r="C906" t="s">
        <v>74</v>
      </c>
      <c r="D906" t="s">
        <v>74</v>
      </c>
      <c r="E906" t="s">
        <v>74</v>
      </c>
      <c r="F906" t="s">
        <v>17190</v>
      </c>
      <c r="G906" t="s">
        <v>74</v>
      </c>
      <c r="H906" t="s">
        <v>74</v>
      </c>
      <c r="I906" t="s">
        <v>17191</v>
      </c>
      <c r="J906" t="s">
        <v>2951</v>
      </c>
      <c r="K906" t="s">
        <v>74</v>
      </c>
      <c r="L906" t="s">
        <v>74</v>
      </c>
      <c r="M906" t="s">
        <v>78</v>
      </c>
      <c r="N906" t="s">
        <v>79</v>
      </c>
      <c r="O906" t="s">
        <v>74</v>
      </c>
      <c r="P906" t="s">
        <v>74</v>
      </c>
      <c r="Q906" t="s">
        <v>74</v>
      </c>
      <c r="R906" t="s">
        <v>74</v>
      </c>
      <c r="S906" t="s">
        <v>74</v>
      </c>
      <c r="T906" t="s">
        <v>17192</v>
      </c>
      <c r="U906" t="s">
        <v>17193</v>
      </c>
      <c r="V906" t="s">
        <v>17194</v>
      </c>
      <c r="W906" t="s">
        <v>17195</v>
      </c>
      <c r="X906" t="s">
        <v>17196</v>
      </c>
      <c r="Y906" t="s">
        <v>17197</v>
      </c>
      <c r="Z906" t="s">
        <v>17198</v>
      </c>
      <c r="AA906" t="s">
        <v>17199</v>
      </c>
      <c r="AB906" t="s">
        <v>12088</v>
      </c>
      <c r="AC906" t="s">
        <v>17200</v>
      </c>
      <c r="AD906" t="s">
        <v>17201</v>
      </c>
      <c r="AE906" t="s">
        <v>17202</v>
      </c>
      <c r="AF906" t="s">
        <v>74</v>
      </c>
      <c r="AG906">
        <v>86</v>
      </c>
      <c r="AH906">
        <v>12</v>
      </c>
      <c r="AI906">
        <v>12</v>
      </c>
      <c r="AJ906">
        <v>0</v>
      </c>
      <c r="AK906">
        <v>22</v>
      </c>
      <c r="AL906" t="s">
        <v>208</v>
      </c>
      <c r="AM906" t="s">
        <v>209</v>
      </c>
      <c r="AN906" t="s">
        <v>210</v>
      </c>
      <c r="AO906" t="s">
        <v>2961</v>
      </c>
      <c r="AP906" t="s">
        <v>2962</v>
      </c>
      <c r="AQ906" t="s">
        <v>74</v>
      </c>
      <c r="AR906" t="s">
        <v>2963</v>
      </c>
      <c r="AS906" t="s">
        <v>2964</v>
      </c>
      <c r="AT906" t="s">
        <v>16741</v>
      </c>
      <c r="AU906">
        <v>2015</v>
      </c>
      <c r="AV906">
        <v>51</v>
      </c>
      <c r="AW906">
        <v>3</v>
      </c>
      <c r="AX906" t="s">
        <v>74</v>
      </c>
      <c r="AY906" t="s">
        <v>74</v>
      </c>
      <c r="AZ906" t="s">
        <v>74</v>
      </c>
      <c r="BA906" t="s">
        <v>74</v>
      </c>
      <c r="BB906">
        <v>431</v>
      </c>
      <c r="BC906">
        <v>441</v>
      </c>
      <c r="BD906" t="s">
        <v>74</v>
      </c>
      <c r="BE906" t="s">
        <v>17203</v>
      </c>
      <c r="BF906" t="str">
        <f>HYPERLINK("http://dx.doi.org/10.1111/jpy.12302","http://dx.doi.org/10.1111/jpy.12302")</f>
        <v>http://dx.doi.org/10.1111/jpy.12302</v>
      </c>
      <c r="BG906" t="s">
        <v>74</v>
      </c>
      <c r="BH906" t="s">
        <v>74</v>
      </c>
      <c r="BI906">
        <v>11</v>
      </c>
      <c r="BJ906" t="s">
        <v>2966</v>
      </c>
      <c r="BK906" t="s">
        <v>101</v>
      </c>
      <c r="BL906" t="s">
        <v>2966</v>
      </c>
      <c r="BM906" t="s">
        <v>17204</v>
      </c>
      <c r="BN906">
        <v>26986660</v>
      </c>
      <c r="BO906" t="s">
        <v>74</v>
      </c>
      <c r="BP906" t="s">
        <v>74</v>
      </c>
      <c r="BQ906" t="s">
        <v>74</v>
      </c>
      <c r="BR906" t="s">
        <v>103</v>
      </c>
      <c r="BS906" t="s">
        <v>17205</v>
      </c>
      <c r="BT906" t="str">
        <f>HYPERLINK("https%3A%2F%2Fwww.webofscience.com%2Fwos%2Fwoscc%2Ffull-record%2FWOS:000356627000004","View Full Record in Web of Science")</f>
        <v>View Full Record in Web of Science</v>
      </c>
    </row>
    <row r="907" spans="1:72" x14ac:dyDescent="0.15">
      <c r="A907" t="s">
        <v>72</v>
      </c>
      <c r="B907" t="s">
        <v>17206</v>
      </c>
      <c r="C907" t="s">
        <v>74</v>
      </c>
      <c r="D907" t="s">
        <v>74</v>
      </c>
      <c r="E907" t="s">
        <v>74</v>
      </c>
      <c r="F907" t="s">
        <v>17207</v>
      </c>
      <c r="G907" t="s">
        <v>74</v>
      </c>
      <c r="H907" t="s">
        <v>74</v>
      </c>
      <c r="I907" t="s">
        <v>17208</v>
      </c>
      <c r="J907" t="s">
        <v>17209</v>
      </c>
      <c r="K907" t="s">
        <v>74</v>
      </c>
      <c r="L907" t="s">
        <v>74</v>
      </c>
      <c r="M907" t="s">
        <v>78</v>
      </c>
      <c r="N907" t="s">
        <v>79</v>
      </c>
      <c r="O907" t="s">
        <v>74</v>
      </c>
      <c r="P907" t="s">
        <v>74</v>
      </c>
      <c r="Q907" t="s">
        <v>74</v>
      </c>
      <c r="R907" t="s">
        <v>74</v>
      </c>
      <c r="S907" t="s">
        <v>74</v>
      </c>
      <c r="T907" t="s">
        <v>17210</v>
      </c>
      <c r="U907" t="s">
        <v>17211</v>
      </c>
      <c r="V907" t="s">
        <v>17212</v>
      </c>
      <c r="W907" t="s">
        <v>17213</v>
      </c>
      <c r="X907" t="s">
        <v>14226</v>
      </c>
      <c r="Y907" t="s">
        <v>17214</v>
      </c>
      <c r="Z907" t="s">
        <v>17215</v>
      </c>
      <c r="AA907" t="s">
        <v>74</v>
      </c>
      <c r="AB907" t="s">
        <v>17216</v>
      </c>
      <c r="AC907" t="s">
        <v>2757</v>
      </c>
      <c r="AD907" t="s">
        <v>2757</v>
      </c>
      <c r="AE907" t="s">
        <v>17217</v>
      </c>
      <c r="AF907" t="s">
        <v>74</v>
      </c>
      <c r="AG907">
        <v>47</v>
      </c>
      <c r="AH907">
        <v>10</v>
      </c>
      <c r="AI907">
        <v>10</v>
      </c>
      <c r="AJ907">
        <v>0</v>
      </c>
      <c r="AK907">
        <v>18</v>
      </c>
      <c r="AL907" t="s">
        <v>17218</v>
      </c>
      <c r="AM907" t="s">
        <v>307</v>
      </c>
      <c r="AN907" t="s">
        <v>17219</v>
      </c>
      <c r="AO907" t="s">
        <v>17220</v>
      </c>
      <c r="AP907" t="s">
        <v>17221</v>
      </c>
      <c r="AQ907" t="s">
        <v>74</v>
      </c>
      <c r="AR907" t="s">
        <v>17209</v>
      </c>
      <c r="AS907" t="s">
        <v>17222</v>
      </c>
      <c r="AT907" t="s">
        <v>16741</v>
      </c>
      <c r="AU907">
        <v>2015</v>
      </c>
      <c r="AV907">
        <v>38</v>
      </c>
      <c r="AW907">
        <v>2</v>
      </c>
      <c r="AX907" t="s">
        <v>74</v>
      </c>
      <c r="AY907" t="s">
        <v>74</v>
      </c>
      <c r="AZ907" t="s">
        <v>74</v>
      </c>
      <c r="BA907" t="s">
        <v>74</v>
      </c>
      <c r="BB907">
        <v>153</v>
      </c>
      <c r="BC907">
        <v>161</v>
      </c>
      <c r="BD907" t="s">
        <v>74</v>
      </c>
      <c r="BE907" t="s">
        <v>17223</v>
      </c>
      <c r="BF907" t="str">
        <f>HYPERLINK("http://dx.doi.org/10.1675/063.038.0204","http://dx.doi.org/10.1675/063.038.0204")</f>
        <v>http://dx.doi.org/10.1675/063.038.0204</v>
      </c>
      <c r="BG907" t="s">
        <v>74</v>
      </c>
      <c r="BH907" t="s">
        <v>74</v>
      </c>
      <c r="BI907">
        <v>9</v>
      </c>
      <c r="BJ907" t="s">
        <v>242</v>
      </c>
      <c r="BK907" t="s">
        <v>101</v>
      </c>
      <c r="BL907" t="s">
        <v>243</v>
      </c>
      <c r="BM907" t="s">
        <v>17224</v>
      </c>
      <c r="BN907" t="s">
        <v>74</v>
      </c>
      <c r="BO907" t="s">
        <v>4189</v>
      </c>
      <c r="BP907" t="s">
        <v>74</v>
      </c>
      <c r="BQ907" t="s">
        <v>74</v>
      </c>
      <c r="BR907" t="s">
        <v>103</v>
      </c>
      <c r="BS907" t="s">
        <v>17225</v>
      </c>
      <c r="BT907" t="str">
        <f>HYPERLINK("https%3A%2F%2Fwww.webofscience.com%2Fwos%2Fwoscc%2Ffull-record%2FWOS:000356642700004","View Full Record in Web of Science")</f>
        <v>View Full Record in Web of Science</v>
      </c>
    </row>
    <row r="908" spans="1:72" x14ac:dyDescent="0.15">
      <c r="A908" t="s">
        <v>72</v>
      </c>
      <c r="B908" t="s">
        <v>17226</v>
      </c>
      <c r="C908" t="s">
        <v>74</v>
      </c>
      <c r="D908" t="s">
        <v>74</v>
      </c>
      <c r="E908" t="s">
        <v>74</v>
      </c>
      <c r="F908" t="s">
        <v>17227</v>
      </c>
      <c r="G908" t="s">
        <v>74</v>
      </c>
      <c r="H908" t="s">
        <v>74</v>
      </c>
      <c r="I908" t="s">
        <v>17228</v>
      </c>
      <c r="J908" t="s">
        <v>2691</v>
      </c>
      <c r="K908" t="s">
        <v>74</v>
      </c>
      <c r="L908" t="s">
        <v>74</v>
      </c>
      <c r="M908" t="s">
        <v>78</v>
      </c>
      <c r="N908" t="s">
        <v>79</v>
      </c>
      <c r="O908" t="s">
        <v>74</v>
      </c>
      <c r="P908" t="s">
        <v>74</v>
      </c>
      <c r="Q908" t="s">
        <v>74</v>
      </c>
      <c r="R908" t="s">
        <v>74</v>
      </c>
      <c r="S908" t="s">
        <v>74</v>
      </c>
      <c r="T908" t="s">
        <v>17229</v>
      </c>
      <c r="U908" t="s">
        <v>17230</v>
      </c>
      <c r="V908" t="s">
        <v>17231</v>
      </c>
      <c r="W908" t="s">
        <v>17232</v>
      </c>
      <c r="X908" t="s">
        <v>17233</v>
      </c>
      <c r="Y908" t="s">
        <v>17234</v>
      </c>
      <c r="Z908" t="s">
        <v>17235</v>
      </c>
      <c r="AA908" t="s">
        <v>17236</v>
      </c>
      <c r="AB908" t="s">
        <v>17237</v>
      </c>
      <c r="AC908" t="s">
        <v>17238</v>
      </c>
      <c r="AD908" t="s">
        <v>17239</v>
      </c>
      <c r="AE908" t="s">
        <v>17240</v>
      </c>
      <c r="AF908" t="s">
        <v>74</v>
      </c>
      <c r="AG908">
        <v>40</v>
      </c>
      <c r="AH908">
        <v>10</v>
      </c>
      <c r="AI908">
        <v>10</v>
      </c>
      <c r="AJ908">
        <v>0</v>
      </c>
      <c r="AK908">
        <v>22</v>
      </c>
      <c r="AL908" t="s">
        <v>741</v>
      </c>
      <c r="AM908" t="s">
        <v>550</v>
      </c>
      <c r="AN908" t="s">
        <v>742</v>
      </c>
      <c r="AO908" t="s">
        <v>2704</v>
      </c>
      <c r="AP908" t="s">
        <v>2705</v>
      </c>
      <c r="AQ908" t="s">
        <v>74</v>
      </c>
      <c r="AR908" t="s">
        <v>2706</v>
      </c>
      <c r="AS908" t="s">
        <v>2707</v>
      </c>
      <c r="AT908" t="s">
        <v>16741</v>
      </c>
      <c r="AU908">
        <v>2015</v>
      </c>
      <c r="AV908">
        <v>27</v>
      </c>
      <c r="AW908">
        <v>3</v>
      </c>
      <c r="AX908" t="s">
        <v>74</v>
      </c>
      <c r="AY908" t="s">
        <v>74</v>
      </c>
      <c r="AZ908" t="s">
        <v>74</v>
      </c>
      <c r="BA908" t="s">
        <v>74</v>
      </c>
      <c r="BB908">
        <v>224</v>
      </c>
      <c r="BC908">
        <v>238</v>
      </c>
      <c r="BD908" t="s">
        <v>74</v>
      </c>
      <c r="BE908" t="s">
        <v>17241</v>
      </c>
      <c r="BF908" t="str">
        <f>HYPERLINK("http://dx.doi.org/10.1017/S0954102014000571","http://dx.doi.org/10.1017/S0954102014000571")</f>
        <v>http://dx.doi.org/10.1017/S0954102014000571</v>
      </c>
      <c r="BG908" t="s">
        <v>74</v>
      </c>
      <c r="BH908" t="s">
        <v>74</v>
      </c>
      <c r="BI908">
        <v>15</v>
      </c>
      <c r="BJ908" t="s">
        <v>2709</v>
      </c>
      <c r="BK908" t="s">
        <v>101</v>
      </c>
      <c r="BL908" t="s">
        <v>2710</v>
      </c>
      <c r="BM908" t="s">
        <v>17242</v>
      </c>
      <c r="BN908" t="s">
        <v>74</v>
      </c>
      <c r="BO908" t="s">
        <v>74</v>
      </c>
      <c r="BP908" t="s">
        <v>74</v>
      </c>
      <c r="BQ908" t="s">
        <v>74</v>
      </c>
      <c r="BR908" t="s">
        <v>103</v>
      </c>
      <c r="BS908" t="s">
        <v>17243</v>
      </c>
      <c r="BT908" t="str">
        <f>HYPERLINK("https%3A%2F%2Fwww.webofscience.com%2Fwos%2Fwoscc%2Ffull-record%2FWOS:000356492300002","View Full Record in Web of Science")</f>
        <v>View Full Record in Web of Science</v>
      </c>
    </row>
    <row r="909" spans="1:72" x14ac:dyDescent="0.15">
      <c r="A909" t="s">
        <v>72</v>
      </c>
      <c r="B909" t="s">
        <v>17244</v>
      </c>
      <c r="C909" t="s">
        <v>74</v>
      </c>
      <c r="D909" t="s">
        <v>74</v>
      </c>
      <c r="E909" t="s">
        <v>74</v>
      </c>
      <c r="F909" t="s">
        <v>17245</v>
      </c>
      <c r="G909" t="s">
        <v>74</v>
      </c>
      <c r="H909" t="s">
        <v>74</v>
      </c>
      <c r="I909" t="s">
        <v>17246</v>
      </c>
      <c r="J909" t="s">
        <v>2691</v>
      </c>
      <c r="K909" t="s">
        <v>74</v>
      </c>
      <c r="L909" t="s">
        <v>74</v>
      </c>
      <c r="M909" t="s">
        <v>78</v>
      </c>
      <c r="N909" t="s">
        <v>79</v>
      </c>
      <c r="O909" t="s">
        <v>74</v>
      </c>
      <c r="P909" t="s">
        <v>74</v>
      </c>
      <c r="Q909" t="s">
        <v>74</v>
      </c>
      <c r="R909" t="s">
        <v>74</v>
      </c>
      <c r="S909" t="s">
        <v>74</v>
      </c>
      <c r="T909" t="s">
        <v>17247</v>
      </c>
      <c r="U909" t="s">
        <v>17248</v>
      </c>
      <c r="V909" t="s">
        <v>17249</v>
      </c>
      <c r="W909" t="s">
        <v>17250</v>
      </c>
      <c r="X909" t="s">
        <v>17251</v>
      </c>
      <c r="Y909" t="s">
        <v>17252</v>
      </c>
      <c r="Z909" t="s">
        <v>17253</v>
      </c>
      <c r="AA909" t="s">
        <v>17254</v>
      </c>
      <c r="AB909" t="s">
        <v>17255</v>
      </c>
      <c r="AC909" t="s">
        <v>17256</v>
      </c>
      <c r="AD909" t="s">
        <v>17257</v>
      </c>
      <c r="AE909" t="s">
        <v>17258</v>
      </c>
      <c r="AF909" t="s">
        <v>74</v>
      </c>
      <c r="AG909">
        <v>39</v>
      </c>
      <c r="AH909">
        <v>18</v>
      </c>
      <c r="AI909">
        <v>18</v>
      </c>
      <c r="AJ909">
        <v>2</v>
      </c>
      <c r="AK909">
        <v>12</v>
      </c>
      <c r="AL909" t="s">
        <v>741</v>
      </c>
      <c r="AM909" t="s">
        <v>550</v>
      </c>
      <c r="AN909" t="s">
        <v>742</v>
      </c>
      <c r="AO909" t="s">
        <v>2704</v>
      </c>
      <c r="AP909" t="s">
        <v>2705</v>
      </c>
      <c r="AQ909" t="s">
        <v>74</v>
      </c>
      <c r="AR909" t="s">
        <v>2706</v>
      </c>
      <c r="AS909" t="s">
        <v>2707</v>
      </c>
      <c r="AT909" t="s">
        <v>16741</v>
      </c>
      <c r="AU909">
        <v>2015</v>
      </c>
      <c r="AV909">
        <v>27</v>
      </c>
      <c r="AW909">
        <v>3</v>
      </c>
      <c r="AX909" t="s">
        <v>74</v>
      </c>
      <c r="AY909" t="s">
        <v>74</v>
      </c>
      <c r="AZ909" t="s">
        <v>74</v>
      </c>
      <c r="BA909" t="s">
        <v>74</v>
      </c>
      <c r="BB909">
        <v>239</v>
      </c>
      <c r="BC909">
        <v>250</v>
      </c>
      <c r="BD909" t="s">
        <v>74</v>
      </c>
      <c r="BE909" t="s">
        <v>17259</v>
      </c>
      <c r="BF909" t="str">
        <f>HYPERLINK("http://dx.doi.org/10.1017/S0954102014000583","http://dx.doi.org/10.1017/S0954102014000583")</f>
        <v>http://dx.doi.org/10.1017/S0954102014000583</v>
      </c>
      <c r="BG909" t="s">
        <v>74</v>
      </c>
      <c r="BH909" t="s">
        <v>74</v>
      </c>
      <c r="BI909">
        <v>12</v>
      </c>
      <c r="BJ909" t="s">
        <v>2709</v>
      </c>
      <c r="BK909" t="s">
        <v>101</v>
      </c>
      <c r="BL909" t="s">
        <v>2710</v>
      </c>
      <c r="BM909" t="s">
        <v>17242</v>
      </c>
      <c r="BN909" t="s">
        <v>74</v>
      </c>
      <c r="BO909" t="s">
        <v>74</v>
      </c>
      <c r="BP909" t="s">
        <v>74</v>
      </c>
      <c r="BQ909" t="s">
        <v>74</v>
      </c>
      <c r="BR909" t="s">
        <v>103</v>
      </c>
      <c r="BS909" t="s">
        <v>17260</v>
      </c>
      <c r="BT909" t="str">
        <f>HYPERLINK("https%3A%2F%2Fwww.webofscience.com%2Fwos%2Fwoscc%2Ffull-record%2FWOS:000356492300003","View Full Record in Web of Science")</f>
        <v>View Full Record in Web of Science</v>
      </c>
    </row>
    <row r="910" spans="1:72" x14ac:dyDescent="0.15">
      <c r="A910" t="s">
        <v>72</v>
      </c>
      <c r="B910" t="s">
        <v>17261</v>
      </c>
      <c r="C910" t="s">
        <v>74</v>
      </c>
      <c r="D910" t="s">
        <v>74</v>
      </c>
      <c r="E910" t="s">
        <v>74</v>
      </c>
      <c r="F910" t="s">
        <v>17262</v>
      </c>
      <c r="G910" t="s">
        <v>74</v>
      </c>
      <c r="H910" t="s">
        <v>74</v>
      </c>
      <c r="I910" t="s">
        <v>17263</v>
      </c>
      <c r="J910" t="s">
        <v>2691</v>
      </c>
      <c r="K910" t="s">
        <v>74</v>
      </c>
      <c r="L910" t="s">
        <v>74</v>
      </c>
      <c r="M910" t="s">
        <v>78</v>
      </c>
      <c r="N910" t="s">
        <v>79</v>
      </c>
      <c r="O910" t="s">
        <v>74</v>
      </c>
      <c r="P910" t="s">
        <v>74</v>
      </c>
      <c r="Q910" t="s">
        <v>74</v>
      </c>
      <c r="R910" t="s">
        <v>74</v>
      </c>
      <c r="S910" t="s">
        <v>74</v>
      </c>
      <c r="T910" t="s">
        <v>17264</v>
      </c>
      <c r="U910" t="s">
        <v>17265</v>
      </c>
      <c r="V910" t="s">
        <v>17266</v>
      </c>
      <c r="W910" t="s">
        <v>17267</v>
      </c>
      <c r="X910" t="s">
        <v>17268</v>
      </c>
      <c r="Y910" t="s">
        <v>17269</v>
      </c>
      <c r="Z910" t="s">
        <v>17270</v>
      </c>
      <c r="AA910" t="s">
        <v>17271</v>
      </c>
      <c r="AB910" t="s">
        <v>17272</v>
      </c>
      <c r="AC910" t="s">
        <v>17273</v>
      </c>
      <c r="AD910" t="s">
        <v>17274</v>
      </c>
      <c r="AE910" t="s">
        <v>17275</v>
      </c>
      <c r="AF910" t="s">
        <v>74</v>
      </c>
      <c r="AG910">
        <v>38</v>
      </c>
      <c r="AH910">
        <v>3</v>
      </c>
      <c r="AI910">
        <v>3</v>
      </c>
      <c r="AJ910">
        <v>0</v>
      </c>
      <c r="AK910">
        <v>10</v>
      </c>
      <c r="AL910" t="s">
        <v>741</v>
      </c>
      <c r="AM910" t="s">
        <v>550</v>
      </c>
      <c r="AN910" t="s">
        <v>742</v>
      </c>
      <c r="AO910" t="s">
        <v>2704</v>
      </c>
      <c r="AP910" t="s">
        <v>2705</v>
      </c>
      <c r="AQ910" t="s">
        <v>74</v>
      </c>
      <c r="AR910" t="s">
        <v>2706</v>
      </c>
      <c r="AS910" t="s">
        <v>2707</v>
      </c>
      <c r="AT910" t="s">
        <v>16741</v>
      </c>
      <c r="AU910">
        <v>2015</v>
      </c>
      <c r="AV910">
        <v>27</v>
      </c>
      <c r="AW910">
        <v>3</v>
      </c>
      <c r="AX910" t="s">
        <v>74</v>
      </c>
      <c r="AY910" t="s">
        <v>74</v>
      </c>
      <c r="AZ910" t="s">
        <v>74</v>
      </c>
      <c r="BA910" t="s">
        <v>74</v>
      </c>
      <c r="BB910">
        <v>251</v>
      </c>
      <c r="BC910">
        <v>261</v>
      </c>
      <c r="BD910" t="s">
        <v>74</v>
      </c>
      <c r="BE910" t="s">
        <v>17276</v>
      </c>
      <c r="BF910" t="str">
        <f>HYPERLINK("http://dx.doi.org/10.1017/S0954102014000716","http://dx.doi.org/10.1017/S0954102014000716")</f>
        <v>http://dx.doi.org/10.1017/S0954102014000716</v>
      </c>
      <c r="BG910" t="s">
        <v>74</v>
      </c>
      <c r="BH910" t="s">
        <v>74</v>
      </c>
      <c r="BI910">
        <v>11</v>
      </c>
      <c r="BJ910" t="s">
        <v>2709</v>
      </c>
      <c r="BK910" t="s">
        <v>101</v>
      </c>
      <c r="BL910" t="s">
        <v>2710</v>
      </c>
      <c r="BM910" t="s">
        <v>17242</v>
      </c>
      <c r="BN910" t="s">
        <v>74</v>
      </c>
      <c r="BO910" t="s">
        <v>559</v>
      </c>
      <c r="BP910" t="s">
        <v>74</v>
      </c>
      <c r="BQ910" t="s">
        <v>74</v>
      </c>
      <c r="BR910" t="s">
        <v>103</v>
      </c>
      <c r="BS910" t="s">
        <v>17277</v>
      </c>
      <c r="BT910" t="str">
        <f>HYPERLINK("https%3A%2F%2Fwww.webofscience.com%2Fwos%2Fwoscc%2Ffull-record%2FWOS:000356492300004","View Full Record in Web of Science")</f>
        <v>View Full Record in Web of Science</v>
      </c>
    </row>
    <row r="911" spans="1:72" x14ac:dyDescent="0.15">
      <c r="A911" t="s">
        <v>72</v>
      </c>
      <c r="B911" t="s">
        <v>17278</v>
      </c>
      <c r="C911" t="s">
        <v>74</v>
      </c>
      <c r="D911" t="s">
        <v>74</v>
      </c>
      <c r="E911" t="s">
        <v>74</v>
      </c>
      <c r="F911" t="s">
        <v>17279</v>
      </c>
      <c r="G911" t="s">
        <v>74</v>
      </c>
      <c r="H911" t="s">
        <v>74</v>
      </c>
      <c r="I911" t="s">
        <v>17280</v>
      </c>
      <c r="J911" t="s">
        <v>2691</v>
      </c>
      <c r="K911" t="s">
        <v>74</v>
      </c>
      <c r="L911" t="s">
        <v>74</v>
      </c>
      <c r="M911" t="s">
        <v>78</v>
      </c>
      <c r="N911" t="s">
        <v>79</v>
      </c>
      <c r="O911" t="s">
        <v>74</v>
      </c>
      <c r="P911" t="s">
        <v>74</v>
      </c>
      <c r="Q911" t="s">
        <v>74</v>
      </c>
      <c r="R911" t="s">
        <v>74</v>
      </c>
      <c r="S911" t="s">
        <v>74</v>
      </c>
      <c r="T911" t="s">
        <v>17281</v>
      </c>
      <c r="U911" t="s">
        <v>17282</v>
      </c>
      <c r="V911" t="s">
        <v>17283</v>
      </c>
      <c r="W911" t="s">
        <v>17284</v>
      </c>
      <c r="X911" t="s">
        <v>17285</v>
      </c>
      <c r="Y911" t="s">
        <v>17286</v>
      </c>
      <c r="Z911" t="s">
        <v>17287</v>
      </c>
      <c r="AA911" t="s">
        <v>17288</v>
      </c>
      <c r="AB911" t="s">
        <v>17289</v>
      </c>
      <c r="AC911" t="s">
        <v>17290</v>
      </c>
      <c r="AD911" t="s">
        <v>17291</v>
      </c>
      <c r="AE911" t="s">
        <v>17292</v>
      </c>
      <c r="AF911" t="s">
        <v>74</v>
      </c>
      <c r="AG911">
        <v>40</v>
      </c>
      <c r="AH911">
        <v>27</v>
      </c>
      <c r="AI911">
        <v>28</v>
      </c>
      <c r="AJ911">
        <v>0</v>
      </c>
      <c r="AK911">
        <v>22</v>
      </c>
      <c r="AL911" t="s">
        <v>741</v>
      </c>
      <c r="AM911" t="s">
        <v>550</v>
      </c>
      <c r="AN911" t="s">
        <v>742</v>
      </c>
      <c r="AO911" t="s">
        <v>2704</v>
      </c>
      <c r="AP911" t="s">
        <v>2705</v>
      </c>
      <c r="AQ911" t="s">
        <v>74</v>
      </c>
      <c r="AR911" t="s">
        <v>2706</v>
      </c>
      <c r="AS911" t="s">
        <v>2707</v>
      </c>
      <c r="AT911" t="s">
        <v>16741</v>
      </c>
      <c r="AU911">
        <v>2015</v>
      </c>
      <c r="AV911">
        <v>27</v>
      </c>
      <c r="AW911">
        <v>3</v>
      </c>
      <c r="AX911" t="s">
        <v>74</v>
      </c>
      <c r="AY911" t="s">
        <v>74</v>
      </c>
      <c r="AZ911" t="s">
        <v>74</v>
      </c>
      <c r="BA911" t="s">
        <v>74</v>
      </c>
      <c r="BB911">
        <v>262</v>
      </c>
      <c r="BC911">
        <v>272</v>
      </c>
      <c r="BD911" t="s">
        <v>74</v>
      </c>
      <c r="BE911" t="s">
        <v>17293</v>
      </c>
      <c r="BF911" t="str">
        <f>HYPERLINK("http://dx.doi.org/10.1017/S0954102014000728","http://dx.doi.org/10.1017/S0954102014000728")</f>
        <v>http://dx.doi.org/10.1017/S0954102014000728</v>
      </c>
      <c r="BG911" t="s">
        <v>74</v>
      </c>
      <c r="BH911" t="s">
        <v>74</v>
      </c>
      <c r="BI911">
        <v>11</v>
      </c>
      <c r="BJ911" t="s">
        <v>2709</v>
      </c>
      <c r="BK911" t="s">
        <v>101</v>
      </c>
      <c r="BL911" t="s">
        <v>2710</v>
      </c>
      <c r="BM911" t="s">
        <v>17242</v>
      </c>
      <c r="BN911" t="s">
        <v>74</v>
      </c>
      <c r="BO911" t="s">
        <v>1213</v>
      </c>
      <c r="BP911" t="s">
        <v>74</v>
      </c>
      <c r="BQ911" t="s">
        <v>74</v>
      </c>
      <c r="BR911" t="s">
        <v>103</v>
      </c>
      <c r="BS911" t="s">
        <v>17294</v>
      </c>
      <c r="BT911" t="str">
        <f>HYPERLINK("https%3A%2F%2Fwww.webofscience.com%2Fwos%2Fwoscc%2Ffull-record%2FWOS:000356492300005","View Full Record in Web of Science")</f>
        <v>View Full Record in Web of Science</v>
      </c>
    </row>
    <row r="912" spans="1:72" x14ac:dyDescent="0.15">
      <c r="A912" t="s">
        <v>72</v>
      </c>
      <c r="B912" t="s">
        <v>17295</v>
      </c>
      <c r="C912" t="s">
        <v>74</v>
      </c>
      <c r="D912" t="s">
        <v>74</v>
      </c>
      <c r="E912" t="s">
        <v>74</v>
      </c>
      <c r="F912" t="s">
        <v>17296</v>
      </c>
      <c r="G912" t="s">
        <v>74</v>
      </c>
      <c r="H912" t="s">
        <v>74</v>
      </c>
      <c r="I912" t="s">
        <v>17297</v>
      </c>
      <c r="J912" t="s">
        <v>2691</v>
      </c>
      <c r="K912" t="s">
        <v>74</v>
      </c>
      <c r="L912" t="s">
        <v>74</v>
      </c>
      <c r="M912" t="s">
        <v>78</v>
      </c>
      <c r="N912" t="s">
        <v>79</v>
      </c>
      <c r="O912" t="s">
        <v>74</v>
      </c>
      <c r="P912" t="s">
        <v>74</v>
      </c>
      <c r="Q912" t="s">
        <v>74</v>
      </c>
      <c r="R912" t="s">
        <v>74</v>
      </c>
      <c r="S912" t="s">
        <v>74</v>
      </c>
      <c r="T912" t="s">
        <v>17298</v>
      </c>
      <c r="U912" t="s">
        <v>17299</v>
      </c>
      <c r="V912" t="s">
        <v>17300</v>
      </c>
      <c r="W912" t="s">
        <v>17301</v>
      </c>
      <c r="X912" t="s">
        <v>17302</v>
      </c>
      <c r="Y912" t="s">
        <v>17303</v>
      </c>
      <c r="Z912" t="s">
        <v>17304</v>
      </c>
      <c r="AA912" t="s">
        <v>74</v>
      </c>
      <c r="AB912" t="s">
        <v>17305</v>
      </c>
      <c r="AC912" t="s">
        <v>17306</v>
      </c>
      <c r="AD912" t="s">
        <v>17307</v>
      </c>
      <c r="AE912" t="s">
        <v>17308</v>
      </c>
      <c r="AF912" t="s">
        <v>74</v>
      </c>
      <c r="AG912">
        <v>37</v>
      </c>
      <c r="AH912">
        <v>3</v>
      </c>
      <c r="AI912">
        <v>3</v>
      </c>
      <c r="AJ912">
        <v>1</v>
      </c>
      <c r="AK912">
        <v>20</v>
      </c>
      <c r="AL912" t="s">
        <v>741</v>
      </c>
      <c r="AM912" t="s">
        <v>550</v>
      </c>
      <c r="AN912" t="s">
        <v>742</v>
      </c>
      <c r="AO912" t="s">
        <v>2704</v>
      </c>
      <c r="AP912" t="s">
        <v>2705</v>
      </c>
      <c r="AQ912" t="s">
        <v>74</v>
      </c>
      <c r="AR912" t="s">
        <v>2706</v>
      </c>
      <c r="AS912" t="s">
        <v>2707</v>
      </c>
      <c r="AT912" t="s">
        <v>16741</v>
      </c>
      <c r="AU912">
        <v>2015</v>
      </c>
      <c r="AV912">
        <v>27</v>
      </c>
      <c r="AW912">
        <v>3</v>
      </c>
      <c r="AX912" t="s">
        <v>74</v>
      </c>
      <c r="AY912" t="s">
        <v>74</v>
      </c>
      <c r="AZ912" t="s">
        <v>74</v>
      </c>
      <c r="BA912" t="s">
        <v>74</v>
      </c>
      <c r="BB912">
        <v>273</v>
      </c>
      <c r="BC912">
        <v>279</v>
      </c>
      <c r="BD912" t="s">
        <v>74</v>
      </c>
      <c r="BE912" t="s">
        <v>17309</v>
      </c>
      <c r="BF912" t="str">
        <f>HYPERLINK("http://dx.doi.org/10.1017/S0954102014000741","http://dx.doi.org/10.1017/S0954102014000741")</f>
        <v>http://dx.doi.org/10.1017/S0954102014000741</v>
      </c>
      <c r="BG912" t="s">
        <v>74</v>
      </c>
      <c r="BH912" t="s">
        <v>74</v>
      </c>
      <c r="BI912">
        <v>7</v>
      </c>
      <c r="BJ912" t="s">
        <v>2709</v>
      </c>
      <c r="BK912" t="s">
        <v>101</v>
      </c>
      <c r="BL912" t="s">
        <v>2710</v>
      </c>
      <c r="BM912" t="s">
        <v>17242</v>
      </c>
      <c r="BN912" t="s">
        <v>74</v>
      </c>
      <c r="BO912" t="s">
        <v>1213</v>
      </c>
      <c r="BP912" t="s">
        <v>74</v>
      </c>
      <c r="BQ912" t="s">
        <v>74</v>
      </c>
      <c r="BR912" t="s">
        <v>103</v>
      </c>
      <c r="BS912" t="s">
        <v>17310</v>
      </c>
      <c r="BT912" t="str">
        <f>HYPERLINK("https%3A%2F%2Fwww.webofscience.com%2Fwos%2Fwoscc%2Ffull-record%2FWOS:000356492300006","View Full Record in Web of Science")</f>
        <v>View Full Record in Web of Science</v>
      </c>
    </row>
    <row r="913" spans="1:72" x14ac:dyDescent="0.15">
      <c r="A913" t="s">
        <v>72</v>
      </c>
      <c r="B913" t="s">
        <v>17311</v>
      </c>
      <c r="C913" t="s">
        <v>74</v>
      </c>
      <c r="D913" t="s">
        <v>74</v>
      </c>
      <c r="E913" t="s">
        <v>74</v>
      </c>
      <c r="F913" t="s">
        <v>17312</v>
      </c>
      <c r="G913" t="s">
        <v>74</v>
      </c>
      <c r="H913" t="s">
        <v>74</v>
      </c>
      <c r="I913" t="s">
        <v>17313</v>
      </c>
      <c r="J913" t="s">
        <v>2691</v>
      </c>
      <c r="K913" t="s">
        <v>74</v>
      </c>
      <c r="L913" t="s">
        <v>74</v>
      </c>
      <c r="M913" t="s">
        <v>78</v>
      </c>
      <c r="N913" t="s">
        <v>79</v>
      </c>
      <c r="O913" t="s">
        <v>74</v>
      </c>
      <c r="P913" t="s">
        <v>74</v>
      </c>
      <c r="Q913" t="s">
        <v>74</v>
      </c>
      <c r="R913" t="s">
        <v>74</v>
      </c>
      <c r="S913" t="s">
        <v>74</v>
      </c>
      <c r="T913" t="s">
        <v>17314</v>
      </c>
      <c r="U913" t="s">
        <v>17315</v>
      </c>
      <c r="V913" t="s">
        <v>17316</v>
      </c>
      <c r="W913" t="s">
        <v>17317</v>
      </c>
      <c r="X913" t="s">
        <v>17318</v>
      </c>
      <c r="Y913" t="s">
        <v>17319</v>
      </c>
      <c r="Z913" t="s">
        <v>17320</v>
      </c>
      <c r="AA913" t="s">
        <v>17321</v>
      </c>
      <c r="AB913" t="s">
        <v>17322</v>
      </c>
      <c r="AC913" t="s">
        <v>17323</v>
      </c>
      <c r="AD913" t="s">
        <v>17324</v>
      </c>
      <c r="AE913" t="s">
        <v>17325</v>
      </c>
      <c r="AF913" t="s">
        <v>74</v>
      </c>
      <c r="AG913">
        <v>28</v>
      </c>
      <c r="AH913">
        <v>11</v>
      </c>
      <c r="AI913">
        <v>11</v>
      </c>
      <c r="AJ913">
        <v>1</v>
      </c>
      <c r="AK913">
        <v>23</v>
      </c>
      <c r="AL913" t="s">
        <v>741</v>
      </c>
      <c r="AM913" t="s">
        <v>550</v>
      </c>
      <c r="AN913" t="s">
        <v>742</v>
      </c>
      <c r="AO913" t="s">
        <v>2704</v>
      </c>
      <c r="AP913" t="s">
        <v>2705</v>
      </c>
      <c r="AQ913" t="s">
        <v>74</v>
      </c>
      <c r="AR913" t="s">
        <v>2706</v>
      </c>
      <c r="AS913" t="s">
        <v>2707</v>
      </c>
      <c r="AT913" t="s">
        <v>16741</v>
      </c>
      <c r="AU913">
        <v>2015</v>
      </c>
      <c r="AV913">
        <v>27</v>
      </c>
      <c r="AW913">
        <v>3</v>
      </c>
      <c r="AX913" t="s">
        <v>74</v>
      </c>
      <c r="AY913" t="s">
        <v>74</v>
      </c>
      <c r="AZ913" t="s">
        <v>74</v>
      </c>
      <c r="BA913" t="s">
        <v>74</v>
      </c>
      <c r="BB913">
        <v>280</v>
      </c>
      <c r="BC913">
        <v>289</v>
      </c>
      <c r="BD913" t="s">
        <v>74</v>
      </c>
      <c r="BE913" t="s">
        <v>17326</v>
      </c>
      <c r="BF913" t="str">
        <f>HYPERLINK("http://dx.doi.org/10.1017/S0954102014000819","http://dx.doi.org/10.1017/S0954102014000819")</f>
        <v>http://dx.doi.org/10.1017/S0954102014000819</v>
      </c>
      <c r="BG913" t="s">
        <v>74</v>
      </c>
      <c r="BH913" t="s">
        <v>74</v>
      </c>
      <c r="BI913">
        <v>10</v>
      </c>
      <c r="BJ913" t="s">
        <v>2709</v>
      </c>
      <c r="BK913" t="s">
        <v>101</v>
      </c>
      <c r="BL913" t="s">
        <v>2710</v>
      </c>
      <c r="BM913" t="s">
        <v>17242</v>
      </c>
      <c r="BN913" t="s">
        <v>74</v>
      </c>
      <c r="BO913" t="s">
        <v>74</v>
      </c>
      <c r="BP913" t="s">
        <v>74</v>
      </c>
      <c r="BQ913" t="s">
        <v>74</v>
      </c>
      <c r="BR913" t="s">
        <v>103</v>
      </c>
      <c r="BS913" t="s">
        <v>17327</v>
      </c>
      <c r="BT913" t="str">
        <f>HYPERLINK("https%3A%2F%2Fwww.webofscience.com%2Fwos%2Fwoscc%2Ffull-record%2FWOS:000356492300007","View Full Record in Web of Science")</f>
        <v>View Full Record in Web of Science</v>
      </c>
    </row>
    <row r="914" spans="1:72" x14ac:dyDescent="0.15">
      <c r="A914" t="s">
        <v>72</v>
      </c>
      <c r="B914" t="s">
        <v>17328</v>
      </c>
      <c r="C914" t="s">
        <v>74</v>
      </c>
      <c r="D914" t="s">
        <v>74</v>
      </c>
      <c r="E914" t="s">
        <v>74</v>
      </c>
      <c r="F914" t="s">
        <v>17329</v>
      </c>
      <c r="G914" t="s">
        <v>74</v>
      </c>
      <c r="H914" t="s">
        <v>74</v>
      </c>
      <c r="I914" t="s">
        <v>17330</v>
      </c>
      <c r="J914" t="s">
        <v>2691</v>
      </c>
      <c r="K914" t="s">
        <v>74</v>
      </c>
      <c r="L914" t="s">
        <v>74</v>
      </c>
      <c r="M914" t="s">
        <v>78</v>
      </c>
      <c r="N914" t="s">
        <v>79</v>
      </c>
      <c r="O914" t="s">
        <v>74</v>
      </c>
      <c r="P914" t="s">
        <v>74</v>
      </c>
      <c r="Q914" t="s">
        <v>74</v>
      </c>
      <c r="R914" t="s">
        <v>74</v>
      </c>
      <c r="S914" t="s">
        <v>74</v>
      </c>
      <c r="T914" t="s">
        <v>17331</v>
      </c>
      <c r="U914" t="s">
        <v>17332</v>
      </c>
      <c r="V914" t="s">
        <v>17333</v>
      </c>
      <c r="W914" t="s">
        <v>17334</v>
      </c>
      <c r="X914" t="s">
        <v>17335</v>
      </c>
      <c r="Y914" t="s">
        <v>17336</v>
      </c>
      <c r="Z914" t="s">
        <v>17337</v>
      </c>
      <c r="AA914" t="s">
        <v>17338</v>
      </c>
      <c r="AB914" t="s">
        <v>74</v>
      </c>
      <c r="AC914" t="s">
        <v>17339</v>
      </c>
      <c r="AD914" t="s">
        <v>17340</v>
      </c>
      <c r="AE914" t="s">
        <v>17341</v>
      </c>
      <c r="AF914" t="s">
        <v>74</v>
      </c>
      <c r="AG914">
        <v>39</v>
      </c>
      <c r="AH914">
        <v>1</v>
      </c>
      <c r="AI914">
        <v>1</v>
      </c>
      <c r="AJ914">
        <v>0</v>
      </c>
      <c r="AK914">
        <v>12</v>
      </c>
      <c r="AL914" t="s">
        <v>741</v>
      </c>
      <c r="AM914" t="s">
        <v>550</v>
      </c>
      <c r="AN914" t="s">
        <v>742</v>
      </c>
      <c r="AO914" t="s">
        <v>2704</v>
      </c>
      <c r="AP914" t="s">
        <v>2705</v>
      </c>
      <c r="AQ914" t="s">
        <v>74</v>
      </c>
      <c r="AR914" t="s">
        <v>2706</v>
      </c>
      <c r="AS914" t="s">
        <v>2707</v>
      </c>
      <c r="AT914" t="s">
        <v>16741</v>
      </c>
      <c r="AU914">
        <v>2015</v>
      </c>
      <c r="AV914">
        <v>27</v>
      </c>
      <c r="AW914">
        <v>3</v>
      </c>
      <c r="AX914" t="s">
        <v>74</v>
      </c>
      <c r="AY914" t="s">
        <v>74</v>
      </c>
      <c r="AZ914" t="s">
        <v>74</v>
      </c>
      <c r="BA914" t="s">
        <v>74</v>
      </c>
      <c r="BB914">
        <v>290</v>
      </c>
      <c r="BC914">
        <v>304</v>
      </c>
      <c r="BD914" t="s">
        <v>74</v>
      </c>
      <c r="BE914" t="s">
        <v>17342</v>
      </c>
      <c r="BF914" t="str">
        <f>HYPERLINK("http://dx.doi.org/10.1017/S0954102014000789","http://dx.doi.org/10.1017/S0954102014000789")</f>
        <v>http://dx.doi.org/10.1017/S0954102014000789</v>
      </c>
      <c r="BG914" t="s">
        <v>74</v>
      </c>
      <c r="BH914" t="s">
        <v>74</v>
      </c>
      <c r="BI914">
        <v>15</v>
      </c>
      <c r="BJ914" t="s">
        <v>2709</v>
      </c>
      <c r="BK914" t="s">
        <v>101</v>
      </c>
      <c r="BL914" t="s">
        <v>2710</v>
      </c>
      <c r="BM914" t="s">
        <v>17242</v>
      </c>
      <c r="BN914" t="s">
        <v>74</v>
      </c>
      <c r="BO914" t="s">
        <v>74</v>
      </c>
      <c r="BP914" t="s">
        <v>74</v>
      </c>
      <c r="BQ914" t="s">
        <v>74</v>
      </c>
      <c r="BR914" t="s">
        <v>103</v>
      </c>
      <c r="BS914" t="s">
        <v>17343</v>
      </c>
      <c r="BT914" t="str">
        <f>HYPERLINK("https%3A%2F%2Fwww.webofscience.com%2Fwos%2Fwoscc%2Ffull-record%2FWOS:000356492300008","View Full Record in Web of Science")</f>
        <v>View Full Record in Web of Science</v>
      </c>
    </row>
    <row r="915" spans="1:72" x14ac:dyDescent="0.15">
      <c r="A915" t="s">
        <v>72</v>
      </c>
      <c r="B915" t="s">
        <v>17344</v>
      </c>
      <c r="C915" t="s">
        <v>74</v>
      </c>
      <c r="D915" t="s">
        <v>74</v>
      </c>
      <c r="E915" t="s">
        <v>74</v>
      </c>
      <c r="F915" t="s">
        <v>17345</v>
      </c>
      <c r="G915" t="s">
        <v>74</v>
      </c>
      <c r="H915" t="s">
        <v>74</v>
      </c>
      <c r="I915" t="s">
        <v>17346</v>
      </c>
      <c r="J915" t="s">
        <v>2691</v>
      </c>
      <c r="K915" t="s">
        <v>74</v>
      </c>
      <c r="L915" t="s">
        <v>74</v>
      </c>
      <c r="M915" t="s">
        <v>78</v>
      </c>
      <c r="N915" t="s">
        <v>79</v>
      </c>
      <c r="O915" t="s">
        <v>74</v>
      </c>
      <c r="P915" t="s">
        <v>74</v>
      </c>
      <c r="Q915" t="s">
        <v>74</v>
      </c>
      <c r="R915" t="s">
        <v>74</v>
      </c>
      <c r="S915" t="s">
        <v>74</v>
      </c>
      <c r="T915" t="s">
        <v>17347</v>
      </c>
      <c r="U915" t="s">
        <v>17348</v>
      </c>
      <c r="V915" t="s">
        <v>17349</v>
      </c>
      <c r="W915" t="s">
        <v>17350</v>
      </c>
      <c r="X915" t="s">
        <v>17351</v>
      </c>
      <c r="Y915" t="s">
        <v>17352</v>
      </c>
      <c r="Z915" t="s">
        <v>17353</v>
      </c>
      <c r="AA915" t="s">
        <v>17354</v>
      </c>
      <c r="AB915" t="s">
        <v>17355</v>
      </c>
      <c r="AC915" t="s">
        <v>17356</v>
      </c>
      <c r="AD915" t="s">
        <v>17356</v>
      </c>
      <c r="AE915" t="s">
        <v>17357</v>
      </c>
      <c r="AF915" t="s">
        <v>74</v>
      </c>
      <c r="AG915">
        <v>38</v>
      </c>
      <c r="AH915">
        <v>3</v>
      </c>
      <c r="AI915">
        <v>3</v>
      </c>
      <c r="AJ915">
        <v>1</v>
      </c>
      <c r="AK915">
        <v>7</v>
      </c>
      <c r="AL915" t="s">
        <v>741</v>
      </c>
      <c r="AM915" t="s">
        <v>550</v>
      </c>
      <c r="AN915" t="s">
        <v>742</v>
      </c>
      <c r="AO915" t="s">
        <v>2704</v>
      </c>
      <c r="AP915" t="s">
        <v>2705</v>
      </c>
      <c r="AQ915" t="s">
        <v>74</v>
      </c>
      <c r="AR915" t="s">
        <v>2706</v>
      </c>
      <c r="AS915" t="s">
        <v>2707</v>
      </c>
      <c r="AT915" t="s">
        <v>16741</v>
      </c>
      <c r="AU915">
        <v>2015</v>
      </c>
      <c r="AV915">
        <v>27</v>
      </c>
      <c r="AW915">
        <v>3</v>
      </c>
      <c r="AX915" t="s">
        <v>74</v>
      </c>
      <c r="AY915" t="s">
        <v>74</v>
      </c>
      <c r="AZ915" t="s">
        <v>74</v>
      </c>
      <c r="BA915" t="s">
        <v>74</v>
      </c>
      <c r="BB915">
        <v>305</v>
      </c>
      <c r="BC915">
        <v>314</v>
      </c>
      <c r="BD915" t="s">
        <v>74</v>
      </c>
      <c r="BE915" t="s">
        <v>17358</v>
      </c>
      <c r="BF915" t="str">
        <f>HYPERLINK("http://dx.doi.org/10.1017/S0954102014000790","http://dx.doi.org/10.1017/S0954102014000790")</f>
        <v>http://dx.doi.org/10.1017/S0954102014000790</v>
      </c>
      <c r="BG915" t="s">
        <v>74</v>
      </c>
      <c r="BH915" t="s">
        <v>74</v>
      </c>
      <c r="BI915">
        <v>10</v>
      </c>
      <c r="BJ915" t="s">
        <v>2709</v>
      </c>
      <c r="BK915" t="s">
        <v>101</v>
      </c>
      <c r="BL915" t="s">
        <v>2710</v>
      </c>
      <c r="BM915" t="s">
        <v>17242</v>
      </c>
      <c r="BN915" t="s">
        <v>74</v>
      </c>
      <c r="BO915" t="s">
        <v>559</v>
      </c>
      <c r="BP915" t="s">
        <v>74</v>
      </c>
      <c r="BQ915" t="s">
        <v>74</v>
      </c>
      <c r="BR915" t="s">
        <v>103</v>
      </c>
      <c r="BS915" t="s">
        <v>17359</v>
      </c>
      <c r="BT915" t="str">
        <f>HYPERLINK("https%3A%2F%2Fwww.webofscience.com%2Fwos%2Fwoscc%2Ffull-record%2FWOS:000356492300009","View Full Record in Web of Science")</f>
        <v>View Full Record in Web of Science</v>
      </c>
    </row>
    <row r="916" spans="1:72" x14ac:dyDescent="0.15">
      <c r="A916" t="s">
        <v>72</v>
      </c>
      <c r="B916" t="s">
        <v>17360</v>
      </c>
      <c r="C916" t="s">
        <v>74</v>
      </c>
      <c r="D916" t="s">
        <v>74</v>
      </c>
      <c r="E916" t="s">
        <v>74</v>
      </c>
      <c r="F916" t="s">
        <v>17361</v>
      </c>
      <c r="G916" t="s">
        <v>74</v>
      </c>
      <c r="H916" t="s">
        <v>74</v>
      </c>
      <c r="I916" t="s">
        <v>17362</v>
      </c>
      <c r="J916" t="s">
        <v>4365</v>
      </c>
      <c r="K916" t="s">
        <v>74</v>
      </c>
      <c r="L916" t="s">
        <v>74</v>
      </c>
      <c r="M916" t="s">
        <v>78</v>
      </c>
      <c r="N916" t="s">
        <v>79</v>
      </c>
      <c r="O916" t="s">
        <v>74</v>
      </c>
      <c r="P916" t="s">
        <v>74</v>
      </c>
      <c r="Q916" t="s">
        <v>74</v>
      </c>
      <c r="R916" t="s">
        <v>74</v>
      </c>
      <c r="S916" t="s">
        <v>74</v>
      </c>
      <c r="T916" t="s">
        <v>17363</v>
      </c>
      <c r="U916" t="s">
        <v>17364</v>
      </c>
      <c r="V916" t="s">
        <v>17365</v>
      </c>
      <c r="W916" t="s">
        <v>17366</v>
      </c>
      <c r="X916" t="s">
        <v>17367</v>
      </c>
      <c r="Y916" t="s">
        <v>17368</v>
      </c>
      <c r="Z916" t="s">
        <v>17369</v>
      </c>
      <c r="AA916" t="s">
        <v>17370</v>
      </c>
      <c r="AB916" t="s">
        <v>17371</v>
      </c>
      <c r="AC916" t="s">
        <v>17372</v>
      </c>
      <c r="AD916" t="s">
        <v>17373</v>
      </c>
      <c r="AE916" t="s">
        <v>17374</v>
      </c>
      <c r="AF916" t="s">
        <v>74</v>
      </c>
      <c r="AG916">
        <v>33</v>
      </c>
      <c r="AH916">
        <v>20</v>
      </c>
      <c r="AI916">
        <v>22</v>
      </c>
      <c r="AJ916">
        <v>0</v>
      </c>
      <c r="AK916">
        <v>10</v>
      </c>
      <c r="AL916" t="s">
        <v>263</v>
      </c>
      <c r="AM916" t="s">
        <v>264</v>
      </c>
      <c r="AN916" t="s">
        <v>265</v>
      </c>
      <c r="AO916" t="s">
        <v>4378</v>
      </c>
      <c r="AP916" t="s">
        <v>4379</v>
      </c>
      <c r="AQ916" t="s">
        <v>74</v>
      </c>
      <c r="AR916" t="s">
        <v>4380</v>
      </c>
      <c r="AS916" t="s">
        <v>4381</v>
      </c>
      <c r="AT916" t="s">
        <v>16741</v>
      </c>
      <c r="AU916">
        <v>2015</v>
      </c>
      <c r="AV916">
        <v>45</v>
      </c>
      <c r="AW916">
        <v>6</v>
      </c>
      <c r="AX916" t="s">
        <v>74</v>
      </c>
      <c r="AY916" t="s">
        <v>74</v>
      </c>
      <c r="AZ916" t="s">
        <v>74</v>
      </c>
      <c r="BA916" t="s">
        <v>74</v>
      </c>
      <c r="BB916">
        <v>1491</v>
      </c>
      <c r="BC916">
        <v>1509</v>
      </c>
      <c r="BD916" t="s">
        <v>74</v>
      </c>
      <c r="BE916" t="s">
        <v>17375</v>
      </c>
      <c r="BF916" t="str">
        <f>HYPERLINK("http://dx.doi.org/10.1175/JPO-D-14-0173.1","http://dx.doi.org/10.1175/JPO-D-14-0173.1")</f>
        <v>http://dx.doi.org/10.1175/JPO-D-14-0173.1</v>
      </c>
      <c r="BG916" t="s">
        <v>74</v>
      </c>
      <c r="BH916" t="s">
        <v>74</v>
      </c>
      <c r="BI916">
        <v>19</v>
      </c>
      <c r="BJ916" t="s">
        <v>339</v>
      </c>
      <c r="BK916" t="s">
        <v>101</v>
      </c>
      <c r="BL916" t="s">
        <v>339</v>
      </c>
      <c r="BM916" t="s">
        <v>17376</v>
      </c>
      <c r="BN916" t="s">
        <v>74</v>
      </c>
      <c r="BO916" t="s">
        <v>4189</v>
      </c>
      <c r="BP916" t="s">
        <v>74</v>
      </c>
      <c r="BQ916" t="s">
        <v>74</v>
      </c>
      <c r="BR916" t="s">
        <v>103</v>
      </c>
      <c r="BS916" t="s">
        <v>17377</v>
      </c>
      <c r="BT916" t="str">
        <f>HYPERLINK("https%3A%2F%2Fwww.webofscience.com%2Fwos%2Fwoscc%2Ffull-record%2FWOS:000356227700003","View Full Record in Web of Science")</f>
        <v>View Full Record in Web of Science</v>
      </c>
    </row>
    <row r="917" spans="1:72" x14ac:dyDescent="0.15">
      <c r="A917" t="s">
        <v>72</v>
      </c>
      <c r="B917" t="s">
        <v>17378</v>
      </c>
      <c r="C917" t="s">
        <v>74</v>
      </c>
      <c r="D917" t="s">
        <v>74</v>
      </c>
      <c r="E917" t="s">
        <v>74</v>
      </c>
      <c r="F917" t="s">
        <v>17379</v>
      </c>
      <c r="G917" t="s">
        <v>74</v>
      </c>
      <c r="H917" t="s">
        <v>74</v>
      </c>
      <c r="I917" t="s">
        <v>17380</v>
      </c>
      <c r="J917" t="s">
        <v>4800</v>
      </c>
      <c r="K917" t="s">
        <v>74</v>
      </c>
      <c r="L917" t="s">
        <v>74</v>
      </c>
      <c r="M917" t="s">
        <v>78</v>
      </c>
      <c r="N917" t="s">
        <v>79</v>
      </c>
      <c r="O917" t="s">
        <v>74</v>
      </c>
      <c r="P917" t="s">
        <v>74</v>
      </c>
      <c r="Q917" t="s">
        <v>74</v>
      </c>
      <c r="R917" t="s">
        <v>74</v>
      </c>
      <c r="S917" t="s">
        <v>74</v>
      </c>
      <c r="T917" t="s">
        <v>17381</v>
      </c>
      <c r="U917" t="s">
        <v>17382</v>
      </c>
      <c r="V917" t="s">
        <v>17383</v>
      </c>
      <c r="W917" t="s">
        <v>17384</v>
      </c>
      <c r="X917" t="s">
        <v>17385</v>
      </c>
      <c r="Y917" t="s">
        <v>17386</v>
      </c>
      <c r="Z917" t="s">
        <v>17387</v>
      </c>
      <c r="AA917" t="s">
        <v>74</v>
      </c>
      <c r="AB917" t="s">
        <v>17388</v>
      </c>
      <c r="AC917" t="s">
        <v>17389</v>
      </c>
      <c r="AD917" t="s">
        <v>17390</v>
      </c>
      <c r="AE917" t="s">
        <v>17391</v>
      </c>
      <c r="AF917" t="s">
        <v>74</v>
      </c>
      <c r="AG917">
        <v>45</v>
      </c>
      <c r="AH917">
        <v>10</v>
      </c>
      <c r="AI917">
        <v>13</v>
      </c>
      <c r="AJ917">
        <v>2</v>
      </c>
      <c r="AK917">
        <v>25</v>
      </c>
      <c r="AL917" t="s">
        <v>496</v>
      </c>
      <c r="AM917" t="s">
        <v>398</v>
      </c>
      <c r="AN917" t="s">
        <v>497</v>
      </c>
      <c r="AO917" t="s">
        <v>4812</v>
      </c>
      <c r="AP917" t="s">
        <v>4813</v>
      </c>
      <c r="AQ917" t="s">
        <v>74</v>
      </c>
      <c r="AR917" t="s">
        <v>4814</v>
      </c>
      <c r="AS917" t="s">
        <v>4815</v>
      </c>
      <c r="AT917" t="s">
        <v>16741</v>
      </c>
      <c r="AU917">
        <v>2015</v>
      </c>
      <c r="AV917">
        <v>28</v>
      </c>
      <c r="AW917" t="s">
        <v>74</v>
      </c>
      <c r="AX917" t="s">
        <v>74</v>
      </c>
      <c r="AY917" t="s">
        <v>74</v>
      </c>
      <c r="AZ917" t="s">
        <v>74</v>
      </c>
      <c r="BA917" t="s">
        <v>74</v>
      </c>
      <c r="BB917">
        <v>29</v>
      </c>
      <c r="BC917">
        <v>39</v>
      </c>
      <c r="BD917" t="s">
        <v>74</v>
      </c>
      <c r="BE917" t="s">
        <v>17392</v>
      </c>
      <c r="BF917" t="str">
        <f>HYPERLINK("http://dx.doi.org/10.1016/j.quageo.2015.03.008","http://dx.doi.org/10.1016/j.quageo.2015.03.008")</f>
        <v>http://dx.doi.org/10.1016/j.quageo.2015.03.008</v>
      </c>
      <c r="BG917" t="s">
        <v>74</v>
      </c>
      <c r="BH917" t="s">
        <v>74</v>
      </c>
      <c r="BI917">
        <v>11</v>
      </c>
      <c r="BJ917" t="s">
        <v>1778</v>
      </c>
      <c r="BK917" t="s">
        <v>101</v>
      </c>
      <c r="BL917" t="s">
        <v>1779</v>
      </c>
      <c r="BM917" t="s">
        <v>17393</v>
      </c>
      <c r="BN917" t="s">
        <v>74</v>
      </c>
      <c r="BO917" t="s">
        <v>74</v>
      </c>
      <c r="BP917" t="s">
        <v>74</v>
      </c>
      <c r="BQ917" t="s">
        <v>74</v>
      </c>
      <c r="BR917" t="s">
        <v>103</v>
      </c>
      <c r="BS917" t="s">
        <v>17394</v>
      </c>
      <c r="BT917" t="str">
        <f>HYPERLINK("https%3A%2F%2Fwww.webofscience.com%2Fwos%2Fwoscc%2Ffull-record%2FWOS:000356556100003","View Full Record in Web of Science")</f>
        <v>View Full Record in Web of Science</v>
      </c>
    </row>
    <row r="918" spans="1:72" x14ac:dyDescent="0.15">
      <c r="A918" t="s">
        <v>72</v>
      </c>
      <c r="B918" t="s">
        <v>17395</v>
      </c>
      <c r="C918" t="s">
        <v>74</v>
      </c>
      <c r="D918" t="s">
        <v>74</v>
      </c>
      <c r="E918" t="s">
        <v>74</v>
      </c>
      <c r="F918" t="s">
        <v>17396</v>
      </c>
      <c r="G918" t="s">
        <v>74</v>
      </c>
      <c r="H918" t="s">
        <v>74</v>
      </c>
      <c r="I918" t="s">
        <v>17397</v>
      </c>
      <c r="J918" t="s">
        <v>17398</v>
      </c>
      <c r="K918" t="s">
        <v>74</v>
      </c>
      <c r="L918" t="s">
        <v>74</v>
      </c>
      <c r="M918" t="s">
        <v>78</v>
      </c>
      <c r="N918" t="s">
        <v>79</v>
      </c>
      <c r="O918" t="s">
        <v>74</v>
      </c>
      <c r="P918" t="s">
        <v>74</v>
      </c>
      <c r="Q918" t="s">
        <v>74</v>
      </c>
      <c r="R918" t="s">
        <v>74</v>
      </c>
      <c r="S918" t="s">
        <v>74</v>
      </c>
      <c r="T918" t="s">
        <v>17399</v>
      </c>
      <c r="U918" t="s">
        <v>17400</v>
      </c>
      <c r="V918" t="s">
        <v>17401</v>
      </c>
      <c r="W918" t="s">
        <v>17402</v>
      </c>
      <c r="X918" t="s">
        <v>17403</v>
      </c>
      <c r="Y918" t="s">
        <v>17404</v>
      </c>
      <c r="Z918" t="s">
        <v>17405</v>
      </c>
      <c r="AA918" t="s">
        <v>17406</v>
      </c>
      <c r="AB918" t="s">
        <v>74</v>
      </c>
      <c r="AC918" t="s">
        <v>17407</v>
      </c>
      <c r="AD918" t="s">
        <v>17408</v>
      </c>
      <c r="AE918" t="s">
        <v>17409</v>
      </c>
      <c r="AF918" t="s">
        <v>74</v>
      </c>
      <c r="AG918">
        <v>23</v>
      </c>
      <c r="AH918">
        <v>12</v>
      </c>
      <c r="AI918">
        <v>13</v>
      </c>
      <c r="AJ918">
        <v>0</v>
      </c>
      <c r="AK918">
        <v>28</v>
      </c>
      <c r="AL918" t="s">
        <v>3901</v>
      </c>
      <c r="AM918" t="s">
        <v>3902</v>
      </c>
      <c r="AN918" t="s">
        <v>3903</v>
      </c>
      <c r="AO918" t="s">
        <v>17410</v>
      </c>
      <c r="AP918" t="s">
        <v>74</v>
      </c>
      <c r="AQ918" t="s">
        <v>74</v>
      </c>
      <c r="AR918" t="s">
        <v>17398</v>
      </c>
      <c r="AS918" t="s">
        <v>243</v>
      </c>
      <c r="AT918" t="s">
        <v>16741</v>
      </c>
      <c r="AU918">
        <v>2015</v>
      </c>
      <c r="AV918">
        <v>118</v>
      </c>
      <c r="AW918">
        <v>3</v>
      </c>
      <c r="AX918" t="s">
        <v>74</v>
      </c>
      <c r="AY918" t="s">
        <v>74</v>
      </c>
      <c r="AZ918" t="s">
        <v>74</v>
      </c>
      <c r="BA918" t="s">
        <v>74</v>
      </c>
      <c r="BB918">
        <v>141</v>
      </c>
      <c r="BC918">
        <v>146</v>
      </c>
      <c r="BD918" t="s">
        <v>74</v>
      </c>
      <c r="BE918" t="s">
        <v>17411</v>
      </c>
      <c r="BF918" t="str">
        <f>HYPERLINK("http://dx.doi.org/10.1016/j.zool.2014.11.001","http://dx.doi.org/10.1016/j.zool.2014.11.001")</f>
        <v>http://dx.doi.org/10.1016/j.zool.2014.11.001</v>
      </c>
      <c r="BG918" t="s">
        <v>74</v>
      </c>
      <c r="BH918" t="s">
        <v>74</v>
      </c>
      <c r="BI918">
        <v>6</v>
      </c>
      <c r="BJ918" t="s">
        <v>243</v>
      </c>
      <c r="BK918" t="s">
        <v>101</v>
      </c>
      <c r="BL918" t="s">
        <v>243</v>
      </c>
      <c r="BM918" t="s">
        <v>17412</v>
      </c>
      <c r="BN918">
        <v>25622509</v>
      </c>
      <c r="BO918" t="s">
        <v>74</v>
      </c>
      <c r="BP918" t="s">
        <v>74</v>
      </c>
      <c r="BQ918" t="s">
        <v>74</v>
      </c>
      <c r="BR918" t="s">
        <v>103</v>
      </c>
      <c r="BS918" t="s">
        <v>17413</v>
      </c>
      <c r="BT918" t="str">
        <f>HYPERLINK("https%3A%2F%2Fwww.webofscience.com%2Fwos%2Fwoscc%2Ffull-record%2FWOS:000356755600001","View Full Record in Web of Science")</f>
        <v>View Full Record in Web of Science</v>
      </c>
    </row>
    <row r="919" spans="1:72" x14ac:dyDescent="0.15">
      <c r="A919" t="s">
        <v>72</v>
      </c>
      <c r="B919" t="s">
        <v>17414</v>
      </c>
      <c r="C919" t="s">
        <v>74</v>
      </c>
      <c r="D919" t="s">
        <v>74</v>
      </c>
      <c r="E919" t="s">
        <v>74</v>
      </c>
      <c r="F919" t="s">
        <v>17415</v>
      </c>
      <c r="G919" t="s">
        <v>74</v>
      </c>
      <c r="H919" t="s">
        <v>74</v>
      </c>
      <c r="I919" t="s">
        <v>17416</v>
      </c>
      <c r="J919" t="s">
        <v>17417</v>
      </c>
      <c r="K919" t="s">
        <v>74</v>
      </c>
      <c r="L919" t="s">
        <v>74</v>
      </c>
      <c r="M919" t="s">
        <v>78</v>
      </c>
      <c r="N919" t="s">
        <v>79</v>
      </c>
      <c r="O919" t="s">
        <v>74</v>
      </c>
      <c r="P919" t="s">
        <v>74</v>
      </c>
      <c r="Q919" t="s">
        <v>74</v>
      </c>
      <c r="R919" t="s">
        <v>74</v>
      </c>
      <c r="S919" t="s">
        <v>74</v>
      </c>
      <c r="T919" t="s">
        <v>17418</v>
      </c>
      <c r="U919" t="s">
        <v>17419</v>
      </c>
      <c r="V919" t="s">
        <v>17420</v>
      </c>
      <c r="W919" t="s">
        <v>17421</v>
      </c>
      <c r="X919" t="s">
        <v>17422</v>
      </c>
      <c r="Y919" t="s">
        <v>17423</v>
      </c>
      <c r="Z919" t="s">
        <v>17424</v>
      </c>
      <c r="AA919" t="s">
        <v>74</v>
      </c>
      <c r="AB919" t="s">
        <v>74</v>
      </c>
      <c r="AC919" t="s">
        <v>17425</v>
      </c>
      <c r="AD919" t="s">
        <v>17426</v>
      </c>
      <c r="AE919" t="s">
        <v>17427</v>
      </c>
      <c r="AF919" t="s">
        <v>74</v>
      </c>
      <c r="AG919">
        <v>34</v>
      </c>
      <c r="AH919">
        <v>4</v>
      </c>
      <c r="AI919">
        <v>6</v>
      </c>
      <c r="AJ919">
        <v>0</v>
      </c>
      <c r="AK919">
        <v>45</v>
      </c>
      <c r="AL919" t="s">
        <v>17428</v>
      </c>
      <c r="AM919" t="s">
        <v>17429</v>
      </c>
      <c r="AN919" t="s">
        <v>17430</v>
      </c>
      <c r="AO919" t="s">
        <v>17431</v>
      </c>
      <c r="AP919" t="s">
        <v>17432</v>
      </c>
      <c r="AQ919" t="s">
        <v>74</v>
      </c>
      <c r="AR919" t="s">
        <v>17433</v>
      </c>
      <c r="AS919" t="s">
        <v>17434</v>
      </c>
      <c r="AT919" t="s">
        <v>16741</v>
      </c>
      <c r="AU919">
        <v>2015</v>
      </c>
      <c r="AV919">
        <v>36</v>
      </c>
      <c r="AW919">
        <v>6</v>
      </c>
      <c r="AX919" t="s">
        <v>74</v>
      </c>
      <c r="AY919" t="s">
        <v>74</v>
      </c>
      <c r="AZ919" t="s">
        <v>74</v>
      </c>
      <c r="BA919" t="s">
        <v>74</v>
      </c>
      <c r="BB919">
        <v>1557</v>
      </c>
      <c r="BC919">
        <v>1562</v>
      </c>
      <c r="BD919" t="s">
        <v>74</v>
      </c>
      <c r="BE919" t="s">
        <v>17435</v>
      </c>
      <c r="BF919" t="str">
        <f>HYPERLINK("http://dx.doi.org/10.1002/bkcs.10295","http://dx.doi.org/10.1002/bkcs.10295")</f>
        <v>http://dx.doi.org/10.1002/bkcs.10295</v>
      </c>
      <c r="BG919" t="s">
        <v>74</v>
      </c>
      <c r="BH919" t="s">
        <v>74</v>
      </c>
      <c r="BI919">
        <v>6</v>
      </c>
      <c r="BJ919" t="s">
        <v>6904</v>
      </c>
      <c r="BK919" t="s">
        <v>101</v>
      </c>
      <c r="BL919" t="s">
        <v>2442</v>
      </c>
      <c r="BM919" t="s">
        <v>17436</v>
      </c>
      <c r="BN919" t="s">
        <v>74</v>
      </c>
      <c r="BO919" t="s">
        <v>74</v>
      </c>
      <c r="BP919" t="s">
        <v>74</v>
      </c>
      <c r="BQ919" t="s">
        <v>74</v>
      </c>
      <c r="BR919" t="s">
        <v>103</v>
      </c>
      <c r="BS919" t="s">
        <v>17437</v>
      </c>
      <c r="BT919" t="str">
        <f>HYPERLINK("https%3A%2F%2Fwww.webofscience.com%2Fwos%2Fwoscc%2Ffull-record%2FWOS:000355986100002","View Full Record in Web of Science")</f>
        <v>View Full Record in Web of Science</v>
      </c>
    </row>
    <row r="920" spans="1:72" x14ac:dyDescent="0.15">
      <c r="A920" t="s">
        <v>72</v>
      </c>
      <c r="B920" t="s">
        <v>17438</v>
      </c>
      <c r="C920" t="s">
        <v>74</v>
      </c>
      <c r="D920" t="s">
        <v>74</v>
      </c>
      <c r="E920" t="s">
        <v>74</v>
      </c>
      <c r="F920" t="s">
        <v>17439</v>
      </c>
      <c r="G920" t="s">
        <v>74</v>
      </c>
      <c r="H920" t="s">
        <v>74</v>
      </c>
      <c r="I920" t="s">
        <v>17440</v>
      </c>
      <c r="J920" t="s">
        <v>3747</v>
      </c>
      <c r="K920" t="s">
        <v>74</v>
      </c>
      <c r="L920" t="s">
        <v>74</v>
      </c>
      <c r="M920" t="s">
        <v>78</v>
      </c>
      <c r="N920" t="s">
        <v>79</v>
      </c>
      <c r="O920" t="s">
        <v>74</v>
      </c>
      <c r="P920" t="s">
        <v>74</v>
      </c>
      <c r="Q920" t="s">
        <v>74</v>
      </c>
      <c r="R920" t="s">
        <v>74</v>
      </c>
      <c r="S920" t="s">
        <v>74</v>
      </c>
      <c r="T920" t="s">
        <v>17441</v>
      </c>
      <c r="U920" t="s">
        <v>17442</v>
      </c>
      <c r="V920" t="s">
        <v>17443</v>
      </c>
      <c r="W920" t="s">
        <v>17444</v>
      </c>
      <c r="X920" t="s">
        <v>17445</v>
      </c>
      <c r="Y920" t="s">
        <v>17446</v>
      </c>
      <c r="Z920" t="s">
        <v>17447</v>
      </c>
      <c r="AA920" t="s">
        <v>74</v>
      </c>
      <c r="AB920" t="s">
        <v>74</v>
      </c>
      <c r="AC920" t="s">
        <v>17448</v>
      </c>
      <c r="AD920" t="s">
        <v>17449</v>
      </c>
      <c r="AE920" t="s">
        <v>17450</v>
      </c>
      <c r="AF920" t="s">
        <v>74</v>
      </c>
      <c r="AG920">
        <v>50</v>
      </c>
      <c r="AH920">
        <v>24</v>
      </c>
      <c r="AI920">
        <v>25</v>
      </c>
      <c r="AJ920">
        <v>2</v>
      </c>
      <c r="AK920">
        <v>21</v>
      </c>
      <c r="AL920" t="s">
        <v>397</v>
      </c>
      <c r="AM920" t="s">
        <v>398</v>
      </c>
      <c r="AN920" t="s">
        <v>399</v>
      </c>
      <c r="AO920" t="s">
        <v>3759</v>
      </c>
      <c r="AP920" t="s">
        <v>3760</v>
      </c>
      <c r="AQ920" t="s">
        <v>74</v>
      </c>
      <c r="AR920" t="s">
        <v>3761</v>
      </c>
      <c r="AS920" t="s">
        <v>3762</v>
      </c>
      <c r="AT920" t="s">
        <v>16741</v>
      </c>
      <c r="AU920">
        <v>2015</v>
      </c>
      <c r="AV920">
        <v>116</v>
      </c>
      <c r="AW920" t="s">
        <v>74</v>
      </c>
      <c r="AX920" t="s">
        <v>74</v>
      </c>
      <c r="AY920" t="s">
        <v>74</v>
      </c>
      <c r="AZ920" t="s">
        <v>931</v>
      </c>
      <c r="BA920" t="s">
        <v>74</v>
      </c>
      <c r="BB920">
        <v>79</v>
      </c>
      <c r="BC920">
        <v>88</v>
      </c>
      <c r="BD920" t="s">
        <v>74</v>
      </c>
      <c r="BE920" t="s">
        <v>17451</v>
      </c>
      <c r="BF920" t="str">
        <f>HYPERLINK("http://dx.doi.org/10.1016/j.dsr2.2014.11.015","http://dx.doi.org/10.1016/j.dsr2.2014.11.015")</f>
        <v>http://dx.doi.org/10.1016/j.dsr2.2014.11.015</v>
      </c>
      <c r="BG920" t="s">
        <v>74</v>
      </c>
      <c r="BH920" t="s">
        <v>74</v>
      </c>
      <c r="BI920">
        <v>10</v>
      </c>
      <c r="BJ920" t="s">
        <v>339</v>
      </c>
      <c r="BK920" t="s">
        <v>101</v>
      </c>
      <c r="BL920" t="s">
        <v>339</v>
      </c>
      <c r="BM920" t="s">
        <v>17452</v>
      </c>
      <c r="BN920" t="s">
        <v>74</v>
      </c>
      <c r="BO920" t="s">
        <v>1235</v>
      </c>
      <c r="BP920" t="s">
        <v>74</v>
      </c>
      <c r="BQ920" t="s">
        <v>74</v>
      </c>
      <c r="BR920" t="s">
        <v>103</v>
      </c>
      <c r="BS920" t="s">
        <v>17453</v>
      </c>
      <c r="BT920" t="str">
        <f>HYPERLINK("https%3A%2F%2Fwww.webofscience.com%2Fwos%2Fwoscc%2Ffull-record%2FWOS:000356116700007","View Full Record in Web of Science")</f>
        <v>View Full Record in Web of Science</v>
      </c>
    </row>
    <row r="921" spans="1:72" x14ac:dyDescent="0.15">
      <c r="A921" t="s">
        <v>72</v>
      </c>
      <c r="B921" t="s">
        <v>17454</v>
      </c>
      <c r="C921" t="s">
        <v>74</v>
      </c>
      <c r="D921" t="s">
        <v>74</v>
      </c>
      <c r="E921" t="s">
        <v>74</v>
      </c>
      <c r="F921" t="s">
        <v>17455</v>
      </c>
      <c r="G921" t="s">
        <v>74</v>
      </c>
      <c r="H921" t="s">
        <v>74</v>
      </c>
      <c r="I921" t="s">
        <v>17456</v>
      </c>
      <c r="J921" t="s">
        <v>3747</v>
      </c>
      <c r="K921" t="s">
        <v>74</v>
      </c>
      <c r="L921" t="s">
        <v>74</v>
      </c>
      <c r="M921" t="s">
        <v>78</v>
      </c>
      <c r="N921" t="s">
        <v>79</v>
      </c>
      <c r="O921" t="s">
        <v>74</v>
      </c>
      <c r="P921" t="s">
        <v>74</v>
      </c>
      <c r="Q921" t="s">
        <v>74</v>
      </c>
      <c r="R921" t="s">
        <v>74</v>
      </c>
      <c r="S921" t="s">
        <v>74</v>
      </c>
      <c r="T921" t="s">
        <v>17457</v>
      </c>
      <c r="U921" t="s">
        <v>17458</v>
      </c>
      <c r="V921" t="s">
        <v>17459</v>
      </c>
      <c r="W921" t="s">
        <v>17460</v>
      </c>
      <c r="X921" t="s">
        <v>17461</v>
      </c>
      <c r="Y921" t="s">
        <v>17462</v>
      </c>
      <c r="Z921" t="s">
        <v>74</v>
      </c>
      <c r="AA921" t="s">
        <v>17463</v>
      </c>
      <c r="AB921" t="s">
        <v>17464</v>
      </c>
      <c r="AC921" t="s">
        <v>17465</v>
      </c>
      <c r="AD921" t="s">
        <v>17466</v>
      </c>
      <c r="AE921" t="s">
        <v>17467</v>
      </c>
      <c r="AF921" t="s">
        <v>74</v>
      </c>
      <c r="AG921">
        <v>59</v>
      </c>
      <c r="AH921">
        <v>33</v>
      </c>
      <c r="AI921">
        <v>36</v>
      </c>
      <c r="AJ921">
        <v>0</v>
      </c>
      <c r="AK921">
        <v>17</v>
      </c>
      <c r="AL921" t="s">
        <v>397</v>
      </c>
      <c r="AM921" t="s">
        <v>398</v>
      </c>
      <c r="AN921" t="s">
        <v>399</v>
      </c>
      <c r="AO921" t="s">
        <v>3759</v>
      </c>
      <c r="AP921" t="s">
        <v>3760</v>
      </c>
      <c r="AQ921" t="s">
        <v>74</v>
      </c>
      <c r="AR921" t="s">
        <v>3761</v>
      </c>
      <c r="AS921" t="s">
        <v>3762</v>
      </c>
      <c r="AT921" t="s">
        <v>16741</v>
      </c>
      <c r="AU921">
        <v>2015</v>
      </c>
      <c r="AV921">
        <v>116</v>
      </c>
      <c r="AW921" t="s">
        <v>74</v>
      </c>
      <c r="AX921" t="s">
        <v>74</v>
      </c>
      <c r="AY921" t="s">
        <v>74</v>
      </c>
      <c r="AZ921" t="s">
        <v>931</v>
      </c>
      <c r="BA921" t="s">
        <v>74</v>
      </c>
      <c r="BB921">
        <v>166</v>
      </c>
      <c r="BC921">
        <v>175</v>
      </c>
      <c r="BD921" t="s">
        <v>74</v>
      </c>
      <c r="BE921" t="s">
        <v>17468</v>
      </c>
      <c r="BF921" t="str">
        <f>HYPERLINK("http://dx.doi.org/10.1016/j.dsr2.2014.11.004","http://dx.doi.org/10.1016/j.dsr2.2014.11.004")</f>
        <v>http://dx.doi.org/10.1016/j.dsr2.2014.11.004</v>
      </c>
      <c r="BG921" t="s">
        <v>74</v>
      </c>
      <c r="BH921" t="s">
        <v>74</v>
      </c>
      <c r="BI921">
        <v>10</v>
      </c>
      <c r="BJ921" t="s">
        <v>339</v>
      </c>
      <c r="BK921" t="s">
        <v>101</v>
      </c>
      <c r="BL921" t="s">
        <v>339</v>
      </c>
      <c r="BM921" t="s">
        <v>17452</v>
      </c>
      <c r="BN921" t="s">
        <v>74</v>
      </c>
      <c r="BO921" t="s">
        <v>74</v>
      </c>
      <c r="BP921" t="s">
        <v>74</v>
      </c>
      <c r="BQ921" t="s">
        <v>74</v>
      </c>
      <c r="BR921" t="s">
        <v>103</v>
      </c>
      <c r="BS921" t="s">
        <v>17469</v>
      </c>
      <c r="BT921" t="str">
        <f>HYPERLINK("https%3A%2F%2Fwww.webofscience.com%2Fwos%2Fwoscc%2Ffull-record%2FWOS:000356116700013","View Full Record in Web of Science")</f>
        <v>View Full Record in Web of Science</v>
      </c>
    </row>
    <row r="922" spans="1:72" x14ac:dyDescent="0.15">
      <c r="A922" t="s">
        <v>72</v>
      </c>
      <c r="B922" t="s">
        <v>17470</v>
      </c>
      <c r="C922" t="s">
        <v>74</v>
      </c>
      <c r="D922" t="s">
        <v>74</v>
      </c>
      <c r="E922" t="s">
        <v>74</v>
      </c>
      <c r="F922" t="s">
        <v>17471</v>
      </c>
      <c r="G922" t="s">
        <v>74</v>
      </c>
      <c r="H922" t="s">
        <v>74</v>
      </c>
      <c r="I922" t="s">
        <v>17472</v>
      </c>
      <c r="J922" t="s">
        <v>3747</v>
      </c>
      <c r="K922" t="s">
        <v>74</v>
      </c>
      <c r="L922" t="s">
        <v>74</v>
      </c>
      <c r="M922" t="s">
        <v>78</v>
      </c>
      <c r="N922" t="s">
        <v>79</v>
      </c>
      <c r="O922" t="s">
        <v>74</v>
      </c>
      <c r="P922" t="s">
        <v>74</v>
      </c>
      <c r="Q922" t="s">
        <v>74</v>
      </c>
      <c r="R922" t="s">
        <v>74</v>
      </c>
      <c r="S922" t="s">
        <v>74</v>
      </c>
      <c r="T922" t="s">
        <v>17473</v>
      </c>
      <c r="U922" t="s">
        <v>17474</v>
      </c>
      <c r="V922" t="s">
        <v>17475</v>
      </c>
      <c r="W922" t="s">
        <v>17476</v>
      </c>
      <c r="X922" t="s">
        <v>17477</v>
      </c>
      <c r="Y922" t="s">
        <v>17478</v>
      </c>
      <c r="Z922" t="s">
        <v>74</v>
      </c>
      <c r="AA922" t="s">
        <v>17479</v>
      </c>
      <c r="AB922" t="s">
        <v>17480</v>
      </c>
      <c r="AC922" t="s">
        <v>17481</v>
      </c>
      <c r="AD922" t="s">
        <v>13262</v>
      </c>
      <c r="AE922" t="s">
        <v>17482</v>
      </c>
      <c r="AF922" t="s">
        <v>74</v>
      </c>
      <c r="AG922">
        <v>58</v>
      </c>
      <c r="AH922">
        <v>50</v>
      </c>
      <c r="AI922">
        <v>53</v>
      </c>
      <c r="AJ922">
        <v>1</v>
      </c>
      <c r="AK922">
        <v>36</v>
      </c>
      <c r="AL922" t="s">
        <v>397</v>
      </c>
      <c r="AM922" t="s">
        <v>398</v>
      </c>
      <c r="AN922" t="s">
        <v>399</v>
      </c>
      <c r="AO922" t="s">
        <v>3759</v>
      </c>
      <c r="AP922" t="s">
        <v>3760</v>
      </c>
      <c r="AQ922" t="s">
        <v>74</v>
      </c>
      <c r="AR922" t="s">
        <v>3761</v>
      </c>
      <c r="AS922" t="s">
        <v>3762</v>
      </c>
      <c r="AT922" t="s">
        <v>16741</v>
      </c>
      <c r="AU922">
        <v>2015</v>
      </c>
      <c r="AV922">
        <v>116</v>
      </c>
      <c r="AW922" t="s">
        <v>74</v>
      </c>
      <c r="AX922" t="s">
        <v>74</v>
      </c>
      <c r="AY922" t="s">
        <v>74</v>
      </c>
      <c r="AZ922" t="s">
        <v>931</v>
      </c>
      <c r="BA922" t="s">
        <v>74</v>
      </c>
      <c r="BB922">
        <v>176</v>
      </c>
      <c r="BC922">
        <v>186</v>
      </c>
      <c r="BD922" t="s">
        <v>74</v>
      </c>
      <c r="BE922" t="s">
        <v>17483</v>
      </c>
      <c r="BF922" t="str">
        <f>HYPERLINK("http://dx.doi.org/10.1016/j.dsr2.2014.07.006","http://dx.doi.org/10.1016/j.dsr2.2014.07.006")</f>
        <v>http://dx.doi.org/10.1016/j.dsr2.2014.07.006</v>
      </c>
      <c r="BG922" t="s">
        <v>74</v>
      </c>
      <c r="BH922" t="s">
        <v>74</v>
      </c>
      <c r="BI922">
        <v>11</v>
      </c>
      <c r="BJ922" t="s">
        <v>339</v>
      </c>
      <c r="BK922" t="s">
        <v>101</v>
      </c>
      <c r="BL922" t="s">
        <v>339</v>
      </c>
      <c r="BM922" t="s">
        <v>17452</v>
      </c>
      <c r="BN922" t="s">
        <v>74</v>
      </c>
      <c r="BO922" t="s">
        <v>17484</v>
      </c>
      <c r="BP922" t="s">
        <v>74</v>
      </c>
      <c r="BQ922" t="s">
        <v>74</v>
      </c>
      <c r="BR922" t="s">
        <v>103</v>
      </c>
      <c r="BS922" t="s">
        <v>17485</v>
      </c>
      <c r="BT922" t="str">
        <f>HYPERLINK("https%3A%2F%2Fwww.webofscience.com%2Fwos%2Fwoscc%2Ffull-record%2FWOS:000356116700014","View Full Record in Web of Science")</f>
        <v>View Full Record in Web of Science</v>
      </c>
    </row>
    <row r="923" spans="1:72" x14ac:dyDescent="0.15">
      <c r="A923" t="s">
        <v>72</v>
      </c>
      <c r="B923" t="s">
        <v>17486</v>
      </c>
      <c r="C923" t="s">
        <v>74</v>
      </c>
      <c r="D923" t="s">
        <v>74</v>
      </c>
      <c r="E923" t="s">
        <v>74</v>
      </c>
      <c r="F923" t="s">
        <v>17487</v>
      </c>
      <c r="G923" t="s">
        <v>74</v>
      </c>
      <c r="H923" t="s">
        <v>74</v>
      </c>
      <c r="I923" t="s">
        <v>17488</v>
      </c>
      <c r="J923" t="s">
        <v>17489</v>
      </c>
      <c r="K923" t="s">
        <v>74</v>
      </c>
      <c r="L923" t="s">
        <v>74</v>
      </c>
      <c r="M923" t="s">
        <v>78</v>
      </c>
      <c r="N923" t="s">
        <v>79</v>
      </c>
      <c r="O923" t="s">
        <v>74</v>
      </c>
      <c r="P923" t="s">
        <v>74</v>
      </c>
      <c r="Q923" t="s">
        <v>74</v>
      </c>
      <c r="R923" t="s">
        <v>74</v>
      </c>
      <c r="S923" t="s">
        <v>74</v>
      </c>
      <c r="T923" t="s">
        <v>74</v>
      </c>
      <c r="U923" t="s">
        <v>17490</v>
      </c>
      <c r="V923" t="s">
        <v>17491</v>
      </c>
      <c r="W923" t="s">
        <v>17492</v>
      </c>
      <c r="X923" t="s">
        <v>17493</v>
      </c>
      <c r="Y923" t="s">
        <v>17494</v>
      </c>
      <c r="Z923" t="s">
        <v>17495</v>
      </c>
      <c r="AA923" t="s">
        <v>17496</v>
      </c>
      <c r="AB923" t="s">
        <v>17497</v>
      </c>
      <c r="AC923" t="s">
        <v>74</v>
      </c>
      <c r="AD923" t="s">
        <v>74</v>
      </c>
      <c r="AE923" t="s">
        <v>74</v>
      </c>
      <c r="AF923" t="s">
        <v>74</v>
      </c>
      <c r="AG923">
        <v>37</v>
      </c>
      <c r="AH923">
        <v>2</v>
      </c>
      <c r="AI923">
        <v>2</v>
      </c>
      <c r="AJ923">
        <v>0</v>
      </c>
      <c r="AK923">
        <v>19</v>
      </c>
      <c r="AL923" t="s">
        <v>17498</v>
      </c>
      <c r="AM923" t="s">
        <v>17499</v>
      </c>
      <c r="AN923" t="s">
        <v>17500</v>
      </c>
      <c r="AO923" t="s">
        <v>17501</v>
      </c>
      <c r="AP923" t="s">
        <v>17502</v>
      </c>
      <c r="AQ923" t="s">
        <v>74</v>
      </c>
      <c r="AR923" t="s">
        <v>17489</v>
      </c>
      <c r="AS923" t="s">
        <v>2351</v>
      </c>
      <c r="AT923" t="s">
        <v>16759</v>
      </c>
      <c r="AU923">
        <v>2015</v>
      </c>
      <c r="AV923">
        <v>100</v>
      </c>
      <c r="AW923" t="s">
        <v>74</v>
      </c>
      <c r="AX923">
        <v>2</v>
      </c>
      <c r="AY923" t="s">
        <v>74</v>
      </c>
      <c r="AZ923" t="s">
        <v>74</v>
      </c>
      <c r="BA923" t="s">
        <v>74</v>
      </c>
      <c r="BB923">
        <v>84</v>
      </c>
      <c r="BC923">
        <v>93</v>
      </c>
      <c r="BD923" t="s">
        <v>74</v>
      </c>
      <c r="BE923" t="s">
        <v>74</v>
      </c>
      <c r="BF923" t="s">
        <v>74</v>
      </c>
      <c r="BG923" t="s">
        <v>74</v>
      </c>
      <c r="BH923" t="s">
        <v>74</v>
      </c>
      <c r="BI923">
        <v>10</v>
      </c>
      <c r="BJ923" t="s">
        <v>2351</v>
      </c>
      <c r="BK923" t="s">
        <v>504</v>
      </c>
      <c r="BL923" t="s">
        <v>2351</v>
      </c>
      <c r="BM923" t="s">
        <v>17503</v>
      </c>
      <c r="BN923" t="s">
        <v>74</v>
      </c>
      <c r="BO923" t="s">
        <v>74</v>
      </c>
      <c r="BP923" t="s">
        <v>74</v>
      </c>
      <c r="BQ923" t="s">
        <v>74</v>
      </c>
      <c r="BR923" t="s">
        <v>103</v>
      </c>
      <c r="BS923" t="s">
        <v>17504</v>
      </c>
      <c r="BT923" t="str">
        <f>HYPERLINK("https%3A%2F%2Fwww.webofscience.com%2Fwos%2Fwoscc%2Ffull-record%2FWOS:000355777400004","View Full Record in Web of Science")</f>
        <v>View Full Record in Web of Science</v>
      </c>
    </row>
    <row r="924" spans="1:72" x14ac:dyDescent="0.15">
      <c r="A924" t="s">
        <v>72</v>
      </c>
      <c r="B924" t="s">
        <v>17505</v>
      </c>
      <c r="C924" t="s">
        <v>74</v>
      </c>
      <c r="D924" t="s">
        <v>74</v>
      </c>
      <c r="E924" t="s">
        <v>74</v>
      </c>
      <c r="F924" t="s">
        <v>17506</v>
      </c>
      <c r="G924" t="s">
        <v>74</v>
      </c>
      <c r="H924" t="s">
        <v>74</v>
      </c>
      <c r="I924" t="s">
        <v>17507</v>
      </c>
      <c r="J924" t="s">
        <v>17508</v>
      </c>
      <c r="K924" t="s">
        <v>74</v>
      </c>
      <c r="L924" t="s">
        <v>74</v>
      </c>
      <c r="M924" t="s">
        <v>78</v>
      </c>
      <c r="N924" t="s">
        <v>79</v>
      </c>
      <c r="O924" t="s">
        <v>74</v>
      </c>
      <c r="P924" t="s">
        <v>74</v>
      </c>
      <c r="Q924" t="s">
        <v>74</v>
      </c>
      <c r="R924" t="s">
        <v>74</v>
      </c>
      <c r="S924" t="s">
        <v>74</v>
      </c>
      <c r="T924" t="s">
        <v>17509</v>
      </c>
      <c r="U924" t="s">
        <v>17510</v>
      </c>
      <c r="V924" t="s">
        <v>17511</v>
      </c>
      <c r="W924" t="s">
        <v>17512</v>
      </c>
      <c r="X924" t="s">
        <v>17513</v>
      </c>
      <c r="Y924" t="s">
        <v>17514</v>
      </c>
      <c r="Z924" t="s">
        <v>17515</v>
      </c>
      <c r="AA924" t="s">
        <v>17516</v>
      </c>
      <c r="AB924" t="s">
        <v>17517</v>
      </c>
      <c r="AC924" t="s">
        <v>17518</v>
      </c>
      <c r="AD924" t="s">
        <v>17518</v>
      </c>
      <c r="AE924" t="s">
        <v>17519</v>
      </c>
      <c r="AF924" t="s">
        <v>74</v>
      </c>
      <c r="AG924">
        <v>33</v>
      </c>
      <c r="AH924">
        <v>23</v>
      </c>
      <c r="AI924">
        <v>27</v>
      </c>
      <c r="AJ924">
        <v>0</v>
      </c>
      <c r="AK924">
        <v>39</v>
      </c>
      <c r="AL924" t="s">
        <v>4142</v>
      </c>
      <c r="AM924" t="s">
        <v>4143</v>
      </c>
      <c r="AN924" t="s">
        <v>4144</v>
      </c>
      <c r="AO924" t="s">
        <v>17520</v>
      </c>
      <c r="AP924" t="s">
        <v>17521</v>
      </c>
      <c r="AQ924" t="s">
        <v>74</v>
      </c>
      <c r="AR924" t="s">
        <v>17522</v>
      </c>
      <c r="AS924" t="s">
        <v>17523</v>
      </c>
      <c r="AT924" t="s">
        <v>16741</v>
      </c>
      <c r="AU924">
        <v>2015</v>
      </c>
      <c r="AV924">
        <v>96</v>
      </c>
      <c r="AW924">
        <v>3</v>
      </c>
      <c r="AX924" t="s">
        <v>74</v>
      </c>
      <c r="AY924" t="s">
        <v>74</v>
      </c>
      <c r="AZ924" t="s">
        <v>74</v>
      </c>
      <c r="BA924" t="s">
        <v>74</v>
      </c>
      <c r="BB924">
        <v>603</v>
      </c>
      <c r="BC924">
        <v>610</v>
      </c>
      <c r="BD924" t="s">
        <v>74</v>
      </c>
      <c r="BE924" t="s">
        <v>17524</v>
      </c>
      <c r="BF924" t="str">
        <f>HYPERLINK("http://dx.doi.org/10.1093/jmammal/gyv065","http://dx.doi.org/10.1093/jmammal/gyv065")</f>
        <v>http://dx.doi.org/10.1093/jmammal/gyv065</v>
      </c>
      <c r="BG924" t="s">
        <v>74</v>
      </c>
      <c r="BH924" t="s">
        <v>74</v>
      </c>
      <c r="BI924">
        <v>8</v>
      </c>
      <c r="BJ924" t="s">
        <v>243</v>
      </c>
      <c r="BK924" t="s">
        <v>101</v>
      </c>
      <c r="BL924" t="s">
        <v>243</v>
      </c>
      <c r="BM924" t="s">
        <v>17525</v>
      </c>
      <c r="BN924">
        <v>26937046</v>
      </c>
      <c r="BO924" t="s">
        <v>1509</v>
      </c>
      <c r="BP924" t="s">
        <v>74</v>
      </c>
      <c r="BQ924" t="s">
        <v>74</v>
      </c>
      <c r="BR924" t="s">
        <v>103</v>
      </c>
      <c r="BS924" t="s">
        <v>17526</v>
      </c>
      <c r="BT924" t="str">
        <f>HYPERLINK("https%3A%2F%2Fwww.webofscience.com%2Fwos%2Fwoscc%2Ffull-record%2FWOS:000356146800014","View Full Record in Web of Science")</f>
        <v>View Full Record in Web of Science</v>
      </c>
    </row>
    <row r="925" spans="1:72" x14ac:dyDescent="0.15">
      <c r="A925" t="s">
        <v>72</v>
      </c>
      <c r="B925" t="s">
        <v>17527</v>
      </c>
      <c r="C925" t="s">
        <v>74</v>
      </c>
      <c r="D925" t="s">
        <v>74</v>
      </c>
      <c r="E925" t="s">
        <v>74</v>
      </c>
      <c r="F925" t="s">
        <v>17528</v>
      </c>
      <c r="G925" t="s">
        <v>74</v>
      </c>
      <c r="H925" t="s">
        <v>74</v>
      </c>
      <c r="I925" t="s">
        <v>17529</v>
      </c>
      <c r="J925" t="s">
        <v>17530</v>
      </c>
      <c r="K925" t="s">
        <v>74</v>
      </c>
      <c r="L925" t="s">
        <v>74</v>
      </c>
      <c r="M925" t="s">
        <v>78</v>
      </c>
      <c r="N925" t="s">
        <v>79</v>
      </c>
      <c r="O925" t="s">
        <v>74</v>
      </c>
      <c r="P925" t="s">
        <v>74</v>
      </c>
      <c r="Q925" t="s">
        <v>74</v>
      </c>
      <c r="R925" t="s">
        <v>74</v>
      </c>
      <c r="S925" t="s">
        <v>74</v>
      </c>
      <c r="T925" t="s">
        <v>17531</v>
      </c>
      <c r="U925" t="s">
        <v>17532</v>
      </c>
      <c r="V925" t="s">
        <v>17533</v>
      </c>
      <c r="W925" t="s">
        <v>17534</v>
      </c>
      <c r="X925" t="s">
        <v>17535</v>
      </c>
      <c r="Y925" t="s">
        <v>17536</v>
      </c>
      <c r="Z925" t="s">
        <v>17537</v>
      </c>
      <c r="AA925" t="s">
        <v>17538</v>
      </c>
      <c r="AB925" t="s">
        <v>17539</v>
      </c>
      <c r="AC925" t="s">
        <v>17540</v>
      </c>
      <c r="AD925" t="s">
        <v>17540</v>
      </c>
      <c r="AE925" t="s">
        <v>17541</v>
      </c>
      <c r="AF925" t="s">
        <v>74</v>
      </c>
      <c r="AG925">
        <v>40</v>
      </c>
      <c r="AH925">
        <v>8</v>
      </c>
      <c r="AI925">
        <v>12</v>
      </c>
      <c r="AJ925">
        <v>0</v>
      </c>
      <c r="AK925">
        <v>22</v>
      </c>
      <c r="AL925" t="s">
        <v>397</v>
      </c>
      <c r="AM925" t="s">
        <v>398</v>
      </c>
      <c r="AN925" t="s">
        <v>399</v>
      </c>
      <c r="AO925" t="s">
        <v>17542</v>
      </c>
      <c r="AP925" t="s">
        <v>17543</v>
      </c>
      <c r="AQ925" t="s">
        <v>74</v>
      </c>
      <c r="AR925" t="s">
        <v>17544</v>
      </c>
      <c r="AS925" t="s">
        <v>17545</v>
      </c>
      <c r="AT925" t="s">
        <v>16741</v>
      </c>
      <c r="AU925">
        <v>2015</v>
      </c>
      <c r="AV925">
        <v>111</v>
      </c>
      <c r="AW925" t="s">
        <v>74</v>
      </c>
      <c r="AX925" t="s">
        <v>4816</v>
      </c>
      <c r="AY925" t="s">
        <v>74</v>
      </c>
      <c r="AZ925" t="s">
        <v>74</v>
      </c>
      <c r="BA925" t="s">
        <v>74</v>
      </c>
      <c r="BB925">
        <v>13</v>
      </c>
      <c r="BC925">
        <v>21</v>
      </c>
      <c r="BD925" t="s">
        <v>74</v>
      </c>
      <c r="BE925" t="s">
        <v>17546</v>
      </c>
      <c r="BF925" t="str">
        <f>HYPERLINK("http://dx.doi.org/10.1016/j.visres.2015.03.017","http://dx.doi.org/10.1016/j.visres.2015.03.017")</f>
        <v>http://dx.doi.org/10.1016/j.visres.2015.03.017</v>
      </c>
      <c r="BG925" t="s">
        <v>74</v>
      </c>
      <c r="BH925" t="s">
        <v>74</v>
      </c>
      <c r="BI925">
        <v>9</v>
      </c>
      <c r="BJ925" t="s">
        <v>17547</v>
      </c>
      <c r="BK925" t="s">
        <v>101</v>
      </c>
      <c r="BL925" t="s">
        <v>17548</v>
      </c>
      <c r="BM925" t="s">
        <v>17549</v>
      </c>
      <c r="BN925">
        <v>25872175</v>
      </c>
      <c r="BO925" t="s">
        <v>17484</v>
      </c>
      <c r="BP925" t="s">
        <v>74</v>
      </c>
      <c r="BQ925" t="s">
        <v>74</v>
      </c>
      <c r="BR925" t="s">
        <v>103</v>
      </c>
      <c r="BS925" t="s">
        <v>17550</v>
      </c>
      <c r="BT925" t="str">
        <f>HYPERLINK("https%3A%2F%2Fwww.webofscience.com%2Fwos%2Fwoscc%2Ffull-record%2FWOS:000356027200002","View Full Record in Web of Science")</f>
        <v>View Full Record in Web of Science</v>
      </c>
    </row>
    <row r="926" spans="1:72" x14ac:dyDescent="0.15">
      <c r="A926" t="s">
        <v>72</v>
      </c>
      <c r="B926" t="s">
        <v>17551</v>
      </c>
      <c r="C926" t="s">
        <v>74</v>
      </c>
      <c r="D926" t="s">
        <v>74</v>
      </c>
      <c r="E926" t="s">
        <v>74</v>
      </c>
      <c r="F926" t="s">
        <v>17552</v>
      </c>
      <c r="G926" t="s">
        <v>74</v>
      </c>
      <c r="H926" t="s">
        <v>74</v>
      </c>
      <c r="I926" t="s">
        <v>17553</v>
      </c>
      <c r="J926" t="s">
        <v>17554</v>
      </c>
      <c r="K926" t="s">
        <v>74</v>
      </c>
      <c r="L926" t="s">
        <v>74</v>
      </c>
      <c r="M926" t="s">
        <v>78</v>
      </c>
      <c r="N926" t="s">
        <v>79</v>
      </c>
      <c r="O926" t="s">
        <v>74</v>
      </c>
      <c r="P926" t="s">
        <v>74</v>
      </c>
      <c r="Q926" t="s">
        <v>74</v>
      </c>
      <c r="R926" t="s">
        <v>74</v>
      </c>
      <c r="S926" t="s">
        <v>74</v>
      </c>
      <c r="T926" t="s">
        <v>17555</v>
      </c>
      <c r="U926" t="s">
        <v>17556</v>
      </c>
      <c r="V926" t="s">
        <v>17557</v>
      </c>
      <c r="W926" t="s">
        <v>17558</v>
      </c>
      <c r="X926" t="s">
        <v>5091</v>
      </c>
      <c r="Y926" t="s">
        <v>17559</v>
      </c>
      <c r="Z926" t="s">
        <v>5093</v>
      </c>
      <c r="AA926" t="s">
        <v>17560</v>
      </c>
      <c r="AB926" t="s">
        <v>17561</v>
      </c>
      <c r="AC926" t="s">
        <v>5046</v>
      </c>
      <c r="AD926" t="s">
        <v>5047</v>
      </c>
      <c r="AE926" t="s">
        <v>17562</v>
      </c>
      <c r="AF926" t="s">
        <v>74</v>
      </c>
      <c r="AG926">
        <v>64</v>
      </c>
      <c r="AH926">
        <v>10</v>
      </c>
      <c r="AI926">
        <v>10</v>
      </c>
      <c r="AJ926">
        <v>0</v>
      </c>
      <c r="AK926">
        <v>45</v>
      </c>
      <c r="AL926" t="s">
        <v>3146</v>
      </c>
      <c r="AM926" t="s">
        <v>3147</v>
      </c>
      <c r="AN926" t="s">
        <v>3148</v>
      </c>
      <c r="AO926" t="s">
        <v>17563</v>
      </c>
      <c r="AP926" t="s">
        <v>17564</v>
      </c>
      <c r="AQ926" t="s">
        <v>74</v>
      </c>
      <c r="AR926" t="s">
        <v>17565</v>
      </c>
      <c r="AS926" t="s">
        <v>17566</v>
      </c>
      <c r="AT926" t="s">
        <v>16741</v>
      </c>
      <c r="AU926">
        <v>2015</v>
      </c>
      <c r="AV926">
        <v>37</v>
      </c>
      <c r="AW926">
        <v>6</v>
      </c>
      <c r="AX926" t="s">
        <v>74</v>
      </c>
      <c r="AY926" t="s">
        <v>74</v>
      </c>
      <c r="AZ926" t="s">
        <v>74</v>
      </c>
      <c r="BA926" t="s">
        <v>74</v>
      </c>
      <c r="BB926" t="s">
        <v>74</v>
      </c>
      <c r="BC926" t="s">
        <v>74</v>
      </c>
      <c r="BD926">
        <v>118</v>
      </c>
      <c r="BE926" t="s">
        <v>17567</v>
      </c>
      <c r="BF926" t="str">
        <f>HYPERLINK("http://dx.doi.org/10.1007/s11738-015-1866-z","http://dx.doi.org/10.1007/s11738-015-1866-z")</f>
        <v>http://dx.doi.org/10.1007/s11738-015-1866-z</v>
      </c>
      <c r="BG926" t="s">
        <v>74</v>
      </c>
      <c r="BH926" t="s">
        <v>74</v>
      </c>
      <c r="BI926">
        <v>13</v>
      </c>
      <c r="BJ926" t="s">
        <v>429</v>
      </c>
      <c r="BK926" t="s">
        <v>101</v>
      </c>
      <c r="BL926" t="s">
        <v>429</v>
      </c>
      <c r="BM926" t="s">
        <v>17568</v>
      </c>
      <c r="BN926" t="s">
        <v>74</v>
      </c>
      <c r="BO926" t="s">
        <v>1235</v>
      </c>
      <c r="BP926" t="s">
        <v>74</v>
      </c>
      <c r="BQ926" t="s">
        <v>74</v>
      </c>
      <c r="BR926" t="s">
        <v>103</v>
      </c>
      <c r="BS926" t="s">
        <v>17569</v>
      </c>
      <c r="BT926" t="str">
        <f>HYPERLINK("https%3A%2F%2Fwww.webofscience.com%2Fwos%2Fwoscc%2Ffull-record%2FWOS:000355703800014","View Full Record in Web of Science")</f>
        <v>View Full Record in Web of Science</v>
      </c>
    </row>
    <row r="927" spans="1:72" x14ac:dyDescent="0.15">
      <c r="A927" t="s">
        <v>72</v>
      </c>
      <c r="B927" t="s">
        <v>17570</v>
      </c>
      <c r="C927" t="s">
        <v>74</v>
      </c>
      <c r="D927" t="s">
        <v>74</v>
      </c>
      <c r="E927" t="s">
        <v>74</v>
      </c>
      <c r="F927" t="s">
        <v>17571</v>
      </c>
      <c r="G927" t="s">
        <v>74</v>
      </c>
      <c r="H927" t="s">
        <v>74</v>
      </c>
      <c r="I927" t="s">
        <v>17572</v>
      </c>
      <c r="J927" t="s">
        <v>4257</v>
      </c>
      <c r="K927" t="s">
        <v>74</v>
      </c>
      <c r="L927" t="s">
        <v>74</v>
      </c>
      <c r="M927" t="s">
        <v>78</v>
      </c>
      <c r="N927" t="s">
        <v>79</v>
      </c>
      <c r="O927" t="s">
        <v>74</v>
      </c>
      <c r="P927" t="s">
        <v>74</v>
      </c>
      <c r="Q927" t="s">
        <v>74</v>
      </c>
      <c r="R927" t="s">
        <v>74</v>
      </c>
      <c r="S927" t="s">
        <v>74</v>
      </c>
      <c r="T927" t="s">
        <v>17573</v>
      </c>
      <c r="U927" t="s">
        <v>17574</v>
      </c>
      <c r="V927" t="s">
        <v>17575</v>
      </c>
      <c r="W927" t="s">
        <v>17576</v>
      </c>
      <c r="X927" t="s">
        <v>17577</v>
      </c>
      <c r="Y927" t="s">
        <v>12085</v>
      </c>
      <c r="Z927" t="s">
        <v>12086</v>
      </c>
      <c r="AA927" t="s">
        <v>17578</v>
      </c>
      <c r="AB927" t="s">
        <v>17579</v>
      </c>
      <c r="AC927" t="s">
        <v>17580</v>
      </c>
      <c r="AD927" t="s">
        <v>2787</v>
      </c>
      <c r="AE927" t="s">
        <v>17581</v>
      </c>
      <c r="AF927" t="s">
        <v>74</v>
      </c>
      <c r="AG927">
        <v>20</v>
      </c>
      <c r="AH927">
        <v>15</v>
      </c>
      <c r="AI927">
        <v>16</v>
      </c>
      <c r="AJ927">
        <v>0</v>
      </c>
      <c r="AK927">
        <v>10</v>
      </c>
      <c r="AL927" t="s">
        <v>208</v>
      </c>
      <c r="AM927" t="s">
        <v>209</v>
      </c>
      <c r="AN927" t="s">
        <v>210</v>
      </c>
      <c r="AO927" t="s">
        <v>4268</v>
      </c>
      <c r="AP927" t="s">
        <v>4269</v>
      </c>
      <c r="AQ927" t="s">
        <v>74</v>
      </c>
      <c r="AR927" t="s">
        <v>4270</v>
      </c>
      <c r="AS927" t="s">
        <v>4271</v>
      </c>
      <c r="AT927" t="s">
        <v>16741</v>
      </c>
      <c r="AU927">
        <v>2015</v>
      </c>
      <c r="AV927">
        <v>86</v>
      </c>
      <c r="AW927">
        <v>6</v>
      </c>
      <c r="AX927" t="s">
        <v>74</v>
      </c>
      <c r="AY927" t="s">
        <v>74</v>
      </c>
      <c r="AZ927" t="s">
        <v>74</v>
      </c>
      <c r="BA927" t="s">
        <v>74</v>
      </c>
      <c r="BB927">
        <v>1867</v>
      </c>
      <c r="BC927">
        <v>1872</v>
      </c>
      <c r="BD927" t="s">
        <v>74</v>
      </c>
      <c r="BE927" t="s">
        <v>17582</v>
      </c>
      <c r="BF927" t="str">
        <f>HYPERLINK("http://dx.doi.org/10.1111/jfb.12679","http://dx.doi.org/10.1111/jfb.12679")</f>
        <v>http://dx.doi.org/10.1111/jfb.12679</v>
      </c>
      <c r="BG927" t="s">
        <v>74</v>
      </c>
      <c r="BH927" t="s">
        <v>74</v>
      </c>
      <c r="BI927">
        <v>6</v>
      </c>
      <c r="BJ927" t="s">
        <v>4273</v>
      </c>
      <c r="BK927" t="s">
        <v>101</v>
      </c>
      <c r="BL927" t="s">
        <v>4273</v>
      </c>
      <c r="BM927" t="s">
        <v>17583</v>
      </c>
      <c r="BN927">
        <v>25898908</v>
      </c>
      <c r="BO927" t="s">
        <v>74</v>
      </c>
      <c r="BP927" t="s">
        <v>74</v>
      </c>
      <c r="BQ927" t="s">
        <v>74</v>
      </c>
      <c r="BR927" t="s">
        <v>103</v>
      </c>
      <c r="BS927" t="s">
        <v>17584</v>
      </c>
      <c r="BT927" t="str">
        <f>HYPERLINK("https%3A%2F%2Fwww.webofscience.com%2Fwos%2Fwoscc%2Ffull-record%2FWOS:000355628700015","View Full Record in Web of Science")</f>
        <v>View Full Record in Web of Science</v>
      </c>
    </row>
    <row r="928" spans="1:72" x14ac:dyDescent="0.15">
      <c r="A928" t="s">
        <v>72</v>
      </c>
      <c r="B928" t="s">
        <v>17585</v>
      </c>
      <c r="C928" t="s">
        <v>74</v>
      </c>
      <c r="D928" t="s">
        <v>74</v>
      </c>
      <c r="E928" t="s">
        <v>74</v>
      </c>
      <c r="F928" t="s">
        <v>17586</v>
      </c>
      <c r="G928" t="s">
        <v>74</v>
      </c>
      <c r="H928" t="s">
        <v>74</v>
      </c>
      <c r="I928" t="s">
        <v>17587</v>
      </c>
      <c r="J928" t="s">
        <v>384</v>
      </c>
      <c r="K928" t="s">
        <v>74</v>
      </c>
      <c r="L928" t="s">
        <v>74</v>
      </c>
      <c r="M928" t="s">
        <v>78</v>
      </c>
      <c r="N928" t="s">
        <v>79</v>
      </c>
      <c r="O928" t="s">
        <v>74</v>
      </c>
      <c r="P928" t="s">
        <v>74</v>
      </c>
      <c r="Q928" t="s">
        <v>74</v>
      </c>
      <c r="R928" t="s">
        <v>74</v>
      </c>
      <c r="S928" t="s">
        <v>74</v>
      </c>
      <c r="T928" t="s">
        <v>17588</v>
      </c>
      <c r="U928" t="s">
        <v>17589</v>
      </c>
      <c r="V928" t="s">
        <v>17590</v>
      </c>
      <c r="W928" t="s">
        <v>17591</v>
      </c>
      <c r="X928" t="s">
        <v>4417</v>
      </c>
      <c r="Y928" t="s">
        <v>4418</v>
      </c>
      <c r="Z928" t="s">
        <v>4419</v>
      </c>
      <c r="AA928" t="s">
        <v>17592</v>
      </c>
      <c r="AB928" t="s">
        <v>17593</v>
      </c>
      <c r="AC928" t="s">
        <v>17594</v>
      </c>
      <c r="AD928" t="s">
        <v>17595</v>
      </c>
      <c r="AE928" t="s">
        <v>17596</v>
      </c>
      <c r="AF928" t="s">
        <v>74</v>
      </c>
      <c r="AG928">
        <v>56</v>
      </c>
      <c r="AH928">
        <v>41</v>
      </c>
      <c r="AI928">
        <v>47</v>
      </c>
      <c r="AJ928">
        <v>1</v>
      </c>
      <c r="AK928">
        <v>38</v>
      </c>
      <c r="AL928" t="s">
        <v>397</v>
      </c>
      <c r="AM928" t="s">
        <v>398</v>
      </c>
      <c r="AN928" t="s">
        <v>399</v>
      </c>
      <c r="AO928" t="s">
        <v>400</v>
      </c>
      <c r="AP928" t="s">
        <v>401</v>
      </c>
      <c r="AQ928" t="s">
        <v>74</v>
      </c>
      <c r="AR928" t="s">
        <v>402</v>
      </c>
      <c r="AS928" t="s">
        <v>403</v>
      </c>
      <c r="AT928" t="s">
        <v>16741</v>
      </c>
      <c r="AU928">
        <v>2015</v>
      </c>
      <c r="AV928">
        <v>77</v>
      </c>
      <c r="AW928" t="s">
        <v>74</v>
      </c>
      <c r="AX928" t="s">
        <v>74</v>
      </c>
      <c r="AY928" t="s">
        <v>74</v>
      </c>
      <c r="AZ928" t="s">
        <v>74</v>
      </c>
      <c r="BA928" t="s">
        <v>74</v>
      </c>
      <c r="BB928">
        <v>15</v>
      </c>
      <c r="BC928">
        <v>25</v>
      </c>
      <c r="BD928" t="s">
        <v>74</v>
      </c>
      <c r="BE928" t="s">
        <v>17597</v>
      </c>
      <c r="BF928" t="str">
        <f>HYPERLINK("http://dx.doi.org/10.1016/j.jinsphys.2015.03.015","http://dx.doi.org/10.1016/j.jinsphys.2015.03.015")</f>
        <v>http://dx.doi.org/10.1016/j.jinsphys.2015.03.015</v>
      </c>
      <c r="BG928" t="s">
        <v>74</v>
      </c>
      <c r="BH928" t="s">
        <v>74</v>
      </c>
      <c r="BI928">
        <v>11</v>
      </c>
      <c r="BJ928" t="s">
        <v>405</v>
      </c>
      <c r="BK928" t="s">
        <v>101</v>
      </c>
      <c r="BL928" t="s">
        <v>405</v>
      </c>
      <c r="BM928" t="s">
        <v>17598</v>
      </c>
      <c r="BN928">
        <v>25846013</v>
      </c>
      <c r="BO928" t="s">
        <v>74</v>
      </c>
      <c r="BP928" t="s">
        <v>74</v>
      </c>
      <c r="BQ928" t="s">
        <v>74</v>
      </c>
      <c r="BR928" t="s">
        <v>103</v>
      </c>
      <c r="BS928" t="s">
        <v>17599</v>
      </c>
      <c r="BT928" t="str">
        <f>HYPERLINK("https%3A%2F%2Fwww.webofscience.com%2Fwos%2Fwoscc%2Ffull-record%2FWOS:000355712200003","View Full Record in Web of Science")</f>
        <v>View Full Record in Web of Science</v>
      </c>
    </row>
    <row r="929" spans="1:72" x14ac:dyDescent="0.15">
      <c r="A929" t="s">
        <v>72</v>
      </c>
      <c r="B929" t="s">
        <v>17600</v>
      </c>
      <c r="C929" t="s">
        <v>74</v>
      </c>
      <c r="D929" t="s">
        <v>74</v>
      </c>
      <c r="E929" t="s">
        <v>74</v>
      </c>
      <c r="F929" t="s">
        <v>17601</v>
      </c>
      <c r="G929" t="s">
        <v>74</v>
      </c>
      <c r="H929" t="s">
        <v>74</v>
      </c>
      <c r="I929" t="s">
        <v>17602</v>
      </c>
      <c r="J929" t="s">
        <v>7330</v>
      </c>
      <c r="K929" t="s">
        <v>74</v>
      </c>
      <c r="L929" t="s">
        <v>74</v>
      </c>
      <c r="M929" t="s">
        <v>78</v>
      </c>
      <c r="N929" t="s">
        <v>79</v>
      </c>
      <c r="O929" t="s">
        <v>74</v>
      </c>
      <c r="P929" t="s">
        <v>74</v>
      </c>
      <c r="Q929" t="s">
        <v>74</v>
      </c>
      <c r="R929" t="s">
        <v>74</v>
      </c>
      <c r="S929" t="s">
        <v>74</v>
      </c>
      <c r="T929" t="s">
        <v>17603</v>
      </c>
      <c r="U929" t="s">
        <v>17604</v>
      </c>
      <c r="V929" t="s">
        <v>17605</v>
      </c>
      <c r="W929" t="s">
        <v>17606</v>
      </c>
      <c r="X929" t="s">
        <v>17607</v>
      </c>
      <c r="Y929" t="s">
        <v>17608</v>
      </c>
      <c r="Z929" t="s">
        <v>17609</v>
      </c>
      <c r="AA929" t="s">
        <v>74</v>
      </c>
      <c r="AB929" t="s">
        <v>17610</v>
      </c>
      <c r="AC929" t="s">
        <v>17611</v>
      </c>
      <c r="AD929" t="s">
        <v>17612</v>
      </c>
      <c r="AE929" t="s">
        <v>17613</v>
      </c>
      <c r="AF929" t="s">
        <v>74</v>
      </c>
      <c r="AG929">
        <v>55</v>
      </c>
      <c r="AH929">
        <v>0</v>
      </c>
      <c r="AI929">
        <v>0</v>
      </c>
      <c r="AJ929">
        <v>0</v>
      </c>
      <c r="AK929">
        <v>13</v>
      </c>
      <c r="AL929" t="s">
        <v>883</v>
      </c>
      <c r="AM929" t="s">
        <v>884</v>
      </c>
      <c r="AN929" t="s">
        <v>885</v>
      </c>
      <c r="AO929" t="s">
        <v>7341</v>
      </c>
      <c r="AP929" t="s">
        <v>7342</v>
      </c>
      <c r="AQ929" t="s">
        <v>74</v>
      </c>
      <c r="AR929" t="s">
        <v>7343</v>
      </c>
      <c r="AS929" t="s">
        <v>7344</v>
      </c>
      <c r="AT929" t="s">
        <v>16741</v>
      </c>
      <c r="AU929">
        <v>2015</v>
      </c>
      <c r="AV929">
        <v>9</v>
      </c>
      <c r="AW929">
        <v>2</v>
      </c>
      <c r="AX929" t="s">
        <v>74</v>
      </c>
      <c r="AY929" t="s">
        <v>74</v>
      </c>
      <c r="AZ929" t="s">
        <v>74</v>
      </c>
      <c r="BA929" t="s">
        <v>74</v>
      </c>
      <c r="BB929">
        <v>221</v>
      </c>
      <c r="BC929">
        <v>234</v>
      </c>
      <c r="BD929" t="s">
        <v>74</v>
      </c>
      <c r="BE929" t="s">
        <v>17614</v>
      </c>
      <c r="BF929" t="str">
        <f>HYPERLINK("http://dx.doi.org/10.1016/j.polar.2015.03.001","http://dx.doi.org/10.1016/j.polar.2015.03.001")</f>
        <v>http://dx.doi.org/10.1016/j.polar.2015.03.001</v>
      </c>
      <c r="BG929" t="s">
        <v>74</v>
      </c>
      <c r="BH929" t="s">
        <v>74</v>
      </c>
      <c r="BI929">
        <v>14</v>
      </c>
      <c r="BJ929" t="s">
        <v>7346</v>
      </c>
      <c r="BK929" t="s">
        <v>101</v>
      </c>
      <c r="BL929" t="s">
        <v>7347</v>
      </c>
      <c r="BM929" t="s">
        <v>17615</v>
      </c>
      <c r="BN929" t="s">
        <v>74</v>
      </c>
      <c r="BO929" t="s">
        <v>1235</v>
      </c>
      <c r="BP929" t="s">
        <v>74</v>
      </c>
      <c r="BQ929" t="s">
        <v>74</v>
      </c>
      <c r="BR929" t="s">
        <v>103</v>
      </c>
      <c r="BS929" t="s">
        <v>17616</v>
      </c>
      <c r="BT929" t="str">
        <f>HYPERLINK("https%3A%2F%2Fwww.webofscience.com%2Fwos%2Fwoscc%2Ffull-record%2FWOS:000355635600004","View Full Record in Web of Science")</f>
        <v>View Full Record in Web of Science</v>
      </c>
    </row>
    <row r="930" spans="1:72" x14ac:dyDescent="0.15">
      <c r="A930" t="s">
        <v>72</v>
      </c>
      <c r="B930" t="s">
        <v>17617</v>
      </c>
      <c r="C930" t="s">
        <v>74</v>
      </c>
      <c r="D930" t="s">
        <v>74</v>
      </c>
      <c r="E930" t="s">
        <v>74</v>
      </c>
      <c r="F930" t="s">
        <v>17618</v>
      </c>
      <c r="G930" t="s">
        <v>74</v>
      </c>
      <c r="H930" t="s">
        <v>74</v>
      </c>
      <c r="I930" t="s">
        <v>17619</v>
      </c>
      <c r="J930" t="s">
        <v>17620</v>
      </c>
      <c r="K930" t="s">
        <v>74</v>
      </c>
      <c r="L930" t="s">
        <v>74</v>
      </c>
      <c r="M930" t="s">
        <v>78</v>
      </c>
      <c r="N930" t="s">
        <v>79</v>
      </c>
      <c r="O930" t="s">
        <v>74</v>
      </c>
      <c r="P930" t="s">
        <v>74</v>
      </c>
      <c r="Q930" t="s">
        <v>74</v>
      </c>
      <c r="R930" t="s">
        <v>74</v>
      </c>
      <c r="S930" t="s">
        <v>74</v>
      </c>
      <c r="T930" t="s">
        <v>17621</v>
      </c>
      <c r="U930" t="s">
        <v>17622</v>
      </c>
      <c r="V930" t="s">
        <v>17623</v>
      </c>
      <c r="W930" t="s">
        <v>17624</v>
      </c>
      <c r="X930" t="s">
        <v>17625</v>
      </c>
      <c r="Y930" t="s">
        <v>17626</v>
      </c>
      <c r="Z930" t="s">
        <v>12103</v>
      </c>
      <c r="AA930" t="s">
        <v>17627</v>
      </c>
      <c r="AB930" t="s">
        <v>17628</v>
      </c>
      <c r="AC930" t="s">
        <v>74</v>
      </c>
      <c r="AD930" t="s">
        <v>74</v>
      </c>
      <c r="AE930" t="s">
        <v>74</v>
      </c>
      <c r="AF930" t="s">
        <v>74</v>
      </c>
      <c r="AG930">
        <v>44</v>
      </c>
      <c r="AH930">
        <v>32</v>
      </c>
      <c r="AI930">
        <v>32</v>
      </c>
      <c r="AJ930">
        <v>0</v>
      </c>
      <c r="AK930">
        <v>46</v>
      </c>
      <c r="AL930" t="s">
        <v>208</v>
      </c>
      <c r="AM930" t="s">
        <v>209</v>
      </c>
      <c r="AN930" t="s">
        <v>210</v>
      </c>
      <c r="AO930" t="s">
        <v>17629</v>
      </c>
      <c r="AP930" t="s">
        <v>17630</v>
      </c>
      <c r="AQ930" t="s">
        <v>74</v>
      </c>
      <c r="AR930" t="s">
        <v>17631</v>
      </c>
      <c r="AS930" t="s">
        <v>17632</v>
      </c>
      <c r="AT930" t="s">
        <v>16741</v>
      </c>
      <c r="AU930">
        <v>2015</v>
      </c>
      <c r="AV930">
        <v>40</v>
      </c>
      <c r="AW930">
        <v>4</v>
      </c>
      <c r="AX930" t="s">
        <v>74</v>
      </c>
      <c r="AY930" t="s">
        <v>74</v>
      </c>
      <c r="AZ930" t="s">
        <v>931</v>
      </c>
      <c r="BA930" t="s">
        <v>74</v>
      </c>
      <c r="BB930">
        <v>482</v>
      </c>
      <c r="BC930">
        <v>491</v>
      </c>
      <c r="BD930" t="s">
        <v>74</v>
      </c>
      <c r="BE930" t="s">
        <v>17633</v>
      </c>
      <c r="BF930" t="str">
        <f>HYPERLINK("http://dx.doi.org/10.1111/aec.12237","http://dx.doi.org/10.1111/aec.12237")</f>
        <v>http://dx.doi.org/10.1111/aec.12237</v>
      </c>
      <c r="BG930" t="s">
        <v>74</v>
      </c>
      <c r="BH930" t="s">
        <v>74</v>
      </c>
      <c r="BI930">
        <v>10</v>
      </c>
      <c r="BJ930" t="s">
        <v>643</v>
      </c>
      <c r="BK930" t="s">
        <v>101</v>
      </c>
      <c r="BL930" t="s">
        <v>644</v>
      </c>
      <c r="BM930" t="s">
        <v>17634</v>
      </c>
      <c r="BN930" t="s">
        <v>74</v>
      </c>
      <c r="BO930" t="s">
        <v>74</v>
      </c>
      <c r="BP930" t="s">
        <v>74</v>
      </c>
      <c r="BQ930" t="s">
        <v>74</v>
      </c>
      <c r="BR930" t="s">
        <v>103</v>
      </c>
      <c r="BS930" t="s">
        <v>17635</v>
      </c>
      <c r="BT930" t="str">
        <f>HYPERLINK("https%3A%2F%2Fwww.webofscience.com%2Fwos%2Fwoscc%2Ffull-record%2FWOS:000355218900013","View Full Record in Web of Science")</f>
        <v>View Full Record in Web of Science</v>
      </c>
    </row>
    <row r="931" spans="1:72" x14ac:dyDescent="0.15">
      <c r="A931" t="s">
        <v>72</v>
      </c>
      <c r="B931" t="s">
        <v>17636</v>
      </c>
      <c r="C931" t="s">
        <v>74</v>
      </c>
      <c r="D931" t="s">
        <v>74</v>
      </c>
      <c r="E931" t="s">
        <v>74</v>
      </c>
      <c r="F931" t="s">
        <v>17637</v>
      </c>
      <c r="G931" t="s">
        <v>74</v>
      </c>
      <c r="H931" t="s">
        <v>74</v>
      </c>
      <c r="I931" t="s">
        <v>17638</v>
      </c>
      <c r="J931" t="s">
        <v>17639</v>
      </c>
      <c r="K931" t="s">
        <v>74</v>
      </c>
      <c r="L931" t="s">
        <v>74</v>
      </c>
      <c r="M931" t="s">
        <v>78</v>
      </c>
      <c r="N931" t="s">
        <v>79</v>
      </c>
      <c r="O931" t="s">
        <v>74</v>
      </c>
      <c r="P931" t="s">
        <v>74</v>
      </c>
      <c r="Q931" t="s">
        <v>74</v>
      </c>
      <c r="R931" t="s">
        <v>74</v>
      </c>
      <c r="S931" t="s">
        <v>74</v>
      </c>
      <c r="T931" t="s">
        <v>17640</v>
      </c>
      <c r="U931" t="s">
        <v>17641</v>
      </c>
      <c r="V931" t="s">
        <v>17642</v>
      </c>
      <c r="W931" t="s">
        <v>17643</v>
      </c>
      <c r="X931" t="s">
        <v>17644</v>
      </c>
      <c r="Y931" t="s">
        <v>17645</v>
      </c>
      <c r="Z931" t="s">
        <v>17646</v>
      </c>
      <c r="AA931" t="s">
        <v>74</v>
      </c>
      <c r="AB931" t="s">
        <v>17647</v>
      </c>
      <c r="AC931" t="s">
        <v>17648</v>
      </c>
      <c r="AD931" t="s">
        <v>17649</v>
      </c>
      <c r="AE931" t="s">
        <v>17650</v>
      </c>
      <c r="AF931" t="s">
        <v>74</v>
      </c>
      <c r="AG931">
        <v>40</v>
      </c>
      <c r="AH931">
        <v>33</v>
      </c>
      <c r="AI931">
        <v>34</v>
      </c>
      <c r="AJ931">
        <v>3</v>
      </c>
      <c r="AK931">
        <v>49</v>
      </c>
      <c r="AL931" t="s">
        <v>7365</v>
      </c>
      <c r="AM931" t="s">
        <v>7092</v>
      </c>
      <c r="AN931" t="s">
        <v>7093</v>
      </c>
      <c r="AO931" t="s">
        <v>17651</v>
      </c>
      <c r="AP931" t="s">
        <v>17652</v>
      </c>
      <c r="AQ931" t="s">
        <v>74</v>
      </c>
      <c r="AR931" t="s">
        <v>17653</v>
      </c>
      <c r="AS931" t="s">
        <v>17654</v>
      </c>
      <c r="AT931" t="s">
        <v>16741</v>
      </c>
      <c r="AU931">
        <v>2015</v>
      </c>
      <c r="AV931">
        <v>61</v>
      </c>
      <c r="AW931">
        <v>6</v>
      </c>
      <c r="AX931" t="s">
        <v>74</v>
      </c>
      <c r="AY931" t="s">
        <v>74</v>
      </c>
      <c r="AZ931" t="s">
        <v>74</v>
      </c>
      <c r="BA931" t="s">
        <v>74</v>
      </c>
      <c r="BB931">
        <v>429</v>
      </c>
      <c r="BC931">
        <v>435</v>
      </c>
      <c r="BD931" t="s">
        <v>74</v>
      </c>
      <c r="BE931" t="s">
        <v>17655</v>
      </c>
      <c r="BF931" t="str">
        <f>HYPERLINK("http://dx.doi.org/10.1139/cjm-2014-0803","http://dx.doi.org/10.1139/cjm-2014-0803")</f>
        <v>http://dx.doi.org/10.1139/cjm-2014-0803</v>
      </c>
      <c r="BG931" t="s">
        <v>74</v>
      </c>
      <c r="BH931" t="s">
        <v>74</v>
      </c>
      <c r="BI931">
        <v>7</v>
      </c>
      <c r="BJ931" t="s">
        <v>17656</v>
      </c>
      <c r="BK931" t="s">
        <v>101</v>
      </c>
      <c r="BL931" t="s">
        <v>17656</v>
      </c>
      <c r="BM931" t="s">
        <v>17657</v>
      </c>
      <c r="BN931">
        <v>25942102</v>
      </c>
      <c r="BO931" t="s">
        <v>74</v>
      </c>
      <c r="BP931" t="s">
        <v>74</v>
      </c>
      <c r="BQ931" t="s">
        <v>74</v>
      </c>
      <c r="BR931" t="s">
        <v>103</v>
      </c>
      <c r="BS931" t="s">
        <v>17658</v>
      </c>
      <c r="BT931" t="str">
        <f>HYPERLINK("https%3A%2F%2Fwww.webofscience.com%2Fwos%2Fwoscc%2Ffull-record%2FWOS:000355198700006","View Full Record in Web of Science")</f>
        <v>View Full Record in Web of Science</v>
      </c>
    </row>
    <row r="932" spans="1:72" x14ac:dyDescent="0.15">
      <c r="A932" t="s">
        <v>72</v>
      </c>
      <c r="B932" t="s">
        <v>17659</v>
      </c>
      <c r="C932" t="s">
        <v>74</v>
      </c>
      <c r="D932" t="s">
        <v>74</v>
      </c>
      <c r="E932" t="s">
        <v>74</v>
      </c>
      <c r="F932" t="s">
        <v>17660</v>
      </c>
      <c r="G932" t="s">
        <v>74</v>
      </c>
      <c r="H932" t="s">
        <v>74</v>
      </c>
      <c r="I932" t="s">
        <v>17661</v>
      </c>
      <c r="J932" t="s">
        <v>17662</v>
      </c>
      <c r="K932" t="s">
        <v>74</v>
      </c>
      <c r="L932" t="s">
        <v>74</v>
      </c>
      <c r="M932" t="s">
        <v>78</v>
      </c>
      <c r="N932" t="s">
        <v>79</v>
      </c>
      <c r="O932" t="s">
        <v>74</v>
      </c>
      <c r="P932" t="s">
        <v>74</v>
      </c>
      <c r="Q932" t="s">
        <v>74</v>
      </c>
      <c r="R932" t="s">
        <v>74</v>
      </c>
      <c r="S932" t="s">
        <v>74</v>
      </c>
      <c r="T932" t="s">
        <v>17663</v>
      </c>
      <c r="U932" t="s">
        <v>17664</v>
      </c>
      <c r="V932" t="s">
        <v>17665</v>
      </c>
      <c r="W932" t="s">
        <v>17666</v>
      </c>
      <c r="X932" t="s">
        <v>17667</v>
      </c>
      <c r="Y932" t="s">
        <v>17668</v>
      </c>
      <c r="Z932" t="s">
        <v>17669</v>
      </c>
      <c r="AA932" t="s">
        <v>17670</v>
      </c>
      <c r="AB932" t="s">
        <v>17671</v>
      </c>
      <c r="AC932" t="s">
        <v>74</v>
      </c>
      <c r="AD932" t="s">
        <v>74</v>
      </c>
      <c r="AE932" t="s">
        <v>74</v>
      </c>
      <c r="AF932" t="s">
        <v>74</v>
      </c>
      <c r="AG932">
        <v>38</v>
      </c>
      <c r="AH932">
        <v>17</v>
      </c>
      <c r="AI932">
        <v>17</v>
      </c>
      <c r="AJ932">
        <v>3</v>
      </c>
      <c r="AK932">
        <v>56</v>
      </c>
      <c r="AL932" t="s">
        <v>208</v>
      </c>
      <c r="AM932" t="s">
        <v>209</v>
      </c>
      <c r="AN932" t="s">
        <v>210</v>
      </c>
      <c r="AO932" t="s">
        <v>17672</v>
      </c>
      <c r="AP932" t="s">
        <v>17673</v>
      </c>
      <c r="AQ932" t="s">
        <v>74</v>
      </c>
      <c r="AR932" t="s">
        <v>17674</v>
      </c>
      <c r="AS932" t="s">
        <v>17675</v>
      </c>
      <c r="AT932" t="s">
        <v>16741</v>
      </c>
      <c r="AU932">
        <v>2015</v>
      </c>
      <c r="AV932">
        <v>25</v>
      </c>
      <c r="AW932">
        <v>4</v>
      </c>
      <c r="AX932" t="s">
        <v>74</v>
      </c>
      <c r="AY932" t="s">
        <v>74</v>
      </c>
      <c r="AZ932" t="s">
        <v>74</v>
      </c>
      <c r="BA932" t="s">
        <v>74</v>
      </c>
      <c r="BB932">
        <v>1003</v>
      </c>
      <c r="BC932">
        <v>1015</v>
      </c>
      <c r="BD932" t="s">
        <v>74</v>
      </c>
      <c r="BE932" t="s">
        <v>17676</v>
      </c>
      <c r="BF932" t="str">
        <f>HYPERLINK("http://dx.doi.org/10.1890/14-1169.1","http://dx.doi.org/10.1890/14-1169.1")</f>
        <v>http://dx.doi.org/10.1890/14-1169.1</v>
      </c>
      <c r="BG932" t="s">
        <v>74</v>
      </c>
      <c r="BH932" t="s">
        <v>74</v>
      </c>
      <c r="BI932">
        <v>13</v>
      </c>
      <c r="BJ932" t="s">
        <v>748</v>
      </c>
      <c r="BK932" t="s">
        <v>101</v>
      </c>
      <c r="BL932" t="s">
        <v>644</v>
      </c>
      <c r="BM932" t="s">
        <v>17677</v>
      </c>
      <c r="BN932">
        <v>26465038</v>
      </c>
      <c r="BO932" t="s">
        <v>74</v>
      </c>
      <c r="BP932" t="s">
        <v>74</v>
      </c>
      <c r="BQ932" t="s">
        <v>74</v>
      </c>
      <c r="BR932" t="s">
        <v>103</v>
      </c>
      <c r="BS932" t="s">
        <v>17678</v>
      </c>
      <c r="BT932" t="str">
        <f>HYPERLINK("https%3A%2F%2Fwww.webofscience.com%2Fwos%2Fwoscc%2Ffull-record%2FWOS:000355191900010","View Full Record in Web of Science")</f>
        <v>View Full Record in Web of Science</v>
      </c>
    </row>
    <row r="933" spans="1:72" x14ac:dyDescent="0.15">
      <c r="A933" t="s">
        <v>72</v>
      </c>
      <c r="B933" t="s">
        <v>17679</v>
      </c>
      <c r="C933" t="s">
        <v>74</v>
      </c>
      <c r="D933" t="s">
        <v>74</v>
      </c>
      <c r="E933" t="s">
        <v>74</v>
      </c>
      <c r="F933" t="s">
        <v>17680</v>
      </c>
      <c r="G933" t="s">
        <v>74</v>
      </c>
      <c r="H933" t="s">
        <v>74</v>
      </c>
      <c r="I933" t="s">
        <v>17681</v>
      </c>
      <c r="J933" t="s">
        <v>3181</v>
      </c>
      <c r="K933" t="s">
        <v>74</v>
      </c>
      <c r="L933" t="s">
        <v>74</v>
      </c>
      <c r="M933" t="s">
        <v>78</v>
      </c>
      <c r="N933" t="s">
        <v>79</v>
      </c>
      <c r="O933" t="s">
        <v>74</v>
      </c>
      <c r="P933" t="s">
        <v>74</v>
      </c>
      <c r="Q933" t="s">
        <v>74</v>
      </c>
      <c r="R933" t="s">
        <v>74</v>
      </c>
      <c r="S933" t="s">
        <v>74</v>
      </c>
      <c r="T933" t="s">
        <v>74</v>
      </c>
      <c r="U933" t="s">
        <v>17682</v>
      </c>
      <c r="V933" t="s">
        <v>17683</v>
      </c>
      <c r="W933" t="s">
        <v>17684</v>
      </c>
      <c r="X933" t="s">
        <v>17685</v>
      </c>
      <c r="Y933" t="s">
        <v>17686</v>
      </c>
      <c r="Z933" t="s">
        <v>17687</v>
      </c>
      <c r="AA933" t="s">
        <v>74</v>
      </c>
      <c r="AB933" t="s">
        <v>74</v>
      </c>
      <c r="AC933" t="s">
        <v>17688</v>
      </c>
      <c r="AD933" t="s">
        <v>7220</v>
      </c>
      <c r="AE933" t="s">
        <v>17689</v>
      </c>
      <c r="AF933" t="s">
        <v>74</v>
      </c>
      <c r="AG933">
        <v>40</v>
      </c>
      <c r="AH933">
        <v>17</v>
      </c>
      <c r="AI933">
        <v>19</v>
      </c>
      <c r="AJ933">
        <v>0</v>
      </c>
      <c r="AK933">
        <v>11</v>
      </c>
      <c r="AL933" t="s">
        <v>236</v>
      </c>
      <c r="AM933" t="s">
        <v>209</v>
      </c>
      <c r="AN933" t="s">
        <v>210</v>
      </c>
      <c r="AO933" t="s">
        <v>3193</v>
      </c>
      <c r="AP933" t="s">
        <v>3194</v>
      </c>
      <c r="AQ933" t="s">
        <v>74</v>
      </c>
      <c r="AR933" t="s">
        <v>3195</v>
      </c>
      <c r="AS933" t="s">
        <v>3196</v>
      </c>
      <c r="AT933" t="s">
        <v>16741</v>
      </c>
      <c r="AU933">
        <v>2015</v>
      </c>
      <c r="AV933">
        <v>50</v>
      </c>
      <c r="AW933">
        <v>6</v>
      </c>
      <c r="AX933" t="s">
        <v>74</v>
      </c>
      <c r="AY933" t="s">
        <v>74</v>
      </c>
      <c r="AZ933" t="s">
        <v>74</v>
      </c>
      <c r="BA933" t="s">
        <v>74</v>
      </c>
      <c r="BB933">
        <v>1032</v>
      </c>
      <c r="BC933">
        <v>1049</v>
      </c>
      <c r="BD933" t="s">
        <v>74</v>
      </c>
      <c r="BE933" t="s">
        <v>17690</v>
      </c>
      <c r="BF933" t="str">
        <f>HYPERLINK("http://dx.doi.org/10.1111/maps.12452","http://dx.doi.org/10.1111/maps.12452")</f>
        <v>http://dx.doi.org/10.1111/maps.12452</v>
      </c>
      <c r="BG933" t="s">
        <v>74</v>
      </c>
      <c r="BH933" t="s">
        <v>74</v>
      </c>
      <c r="BI933">
        <v>18</v>
      </c>
      <c r="BJ933" t="s">
        <v>1707</v>
      </c>
      <c r="BK933" t="s">
        <v>101</v>
      </c>
      <c r="BL933" t="s">
        <v>1707</v>
      </c>
      <c r="BM933" t="s">
        <v>17691</v>
      </c>
      <c r="BN933" t="s">
        <v>74</v>
      </c>
      <c r="BO933" t="s">
        <v>162</v>
      </c>
      <c r="BP933" t="s">
        <v>74</v>
      </c>
      <c r="BQ933" t="s">
        <v>74</v>
      </c>
      <c r="BR933" t="s">
        <v>103</v>
      </c>
      <c r="BS933" t="s">
        <v>17692</v>
      </c>
      <c r="BT933" t="str">
        <f>HYPERLINK("https%3A%2F%2Fwww.webofscience.com%2Fwos%2Fwoscc%2Ffull-record%2FWOS:000355276100003","View Full Record in Web of Science")</f>
        <v>View Full Record in Web of Science</v>
      </c>
    </row>
    <row r="934" spans="1:72" x14ac:dyDescent="0.15">
      <c r="A934" t="s">
        <v>72</v>
      </c>
      <c r="B934" t="s">
        <v>17693</v>
      </c>
      <c r="C934" t="s">
        <v>74</v>
      </c>
      <c r="D934" t="s">
        <v>74</v>
      </c>
      <c r="E934" t="s">
        <v>74</v>
      </c>
      <c r="F934" t="s">
        <v>17694</v>
      </c>
      <c r="G934" t="s">
        <v>74</v>
      </c>
      <c r="H934" t="s">
        <v>74</v>
      </c>
      <c r="I934" t="s">
        <v>17695</v>
      </c>
      <c r="J934" t="s">
        <v>3181</v>
      </c>
      <c r="K934" t="s">
        <v>74</v>
      </c>
      <c r="L934" t="s">
        <v>74</v>
      </c>
      <c r="M934" t="s">
        <v>78</v>
      </c>
      <c r="N934" t="s">
        <v>79</v>
      </c>
      <c r="O934" t="s">
        <v>74</v>
      </c>
      <c r="P934" t="s">
        <v>74</v>
      </c>
      <c r="Q934" t="s">
        <v>74</v>
      </c>
      <c r="R934" t="s">
        <v>74</v>
      </c>
      <c r="S934" t="s">
        <v>74</v>
      </c>
      <c r="T934" t="s">
        <v>74</v>
      </c>
      <c r="U934" t="s">
        <v>17696</v>
      </c>
      <c r="V934" t="s">
        <v>17697</v>
      </c>
      <c r="W934" t="s">
        <v>17698</v>
      </c>
      <c r="X934" t="s">
        <v>17699</v>
      </c>
      <c r="Y934" t="s">
        <v>17700</v>
      </c>
      <c r="Z934" t="s">
        <v>17701</v>
      </c>
      <c r="AA934" t="s">
        <v>17702</v>
      </c>
      <c r="AB934" t="s">
        <v>17703</v>
      </c>
      <c r="AC934" t="s">
        <v>17704</v>
      </c>
      <c r="AD934" t="s">
        <v>17705</v>
      </c>
      <c r="AE934" t="s">
        <v>17706</v>
      </c>
      <c r="AF934" t="s">
        <v>74</v>
      </c>
      <c r="AG934">
        <v>49</v>
      </c>
      <c r="AH934">
        <v>3</v>
      </c>
      <c r="AI934">
        <v>3</v>
      </c>
      <c r="AJ934">
        <v>0</v>
      </c>
      <c r="AK934">
        <v>6</v>
      </c>
      <c r="AL934" t="s">
        <v>208</v>
      </c>
      <c r="AM934" t="s">
        <v>209</v>
      </c>
      <c r="AN934" t="s">
        <v>210</v>
      </c>
      <c r="AO934" t="s">
        <v>3193</v>
      </c>
      <c r="AP934" t="s">
        <v>3194</v>
      </c>
      <c r="AQ934" t="s">
        <v>74</v>
      </c>
      <c r="AR934" t="s">
        <v>3195</v>
      </c>
      <c r="AS934" t="s">
        <v>3196</v>
      </c>
      <c r="AT934" t="s">
        <v>16741</v>
      </c>
      <c r="AU934">
        <v>2015</v>
      </c>
      <c r="AV934">
        <v>50</v>
      </c>
      <c r="AW934">
        <v>6</v>
      </c>
      <c r="AX934" t="s">
        <v>74</v>
      </c>
      <c r="AY934" t="s">
        <v>74</v>
      </c>
      <c r="AZ934" t="s">
        <v>74</v>
      </c>
      <c r="BA934" t="s">
        <v>74</v>
      </c>
      <c r="BB934">
        <v>1071</v>
      </c>
      <c r="BC934">
        <v>1088</v>
      </c>
      <c r="BD934" t="s">
        <v>74</v>
      </c>
      <c r="BE934" t="s">
        <v>17707</v>
      </c>
      <c r="BF934" t="str">
        <f>HYPERLINK("http://dx.doi.org/10.1111/maps.12455","http://dx.doi.org/10.1111/maps.12455")</f>
        <v>http://dx.doi.org/10.1111/maps.12455</v>
      </c>
      <c r="BG934" t="s">
        <v>74</v>
      </c>
      <c r="BH934" t="s">
        <v>74</v>
      </c>
      <c r="BI934">
        <v>18</v>
      </c>
      <c r="BJ934" t="s">
        <v>1707</v>
      </c>
      <c r="BK934" t="s">
        <v>101</v>
      </c>
      <c r="BL934" t="s">
        <v>1707</v>
      </c>
      <c r="BM934" t="s">
        <v>17691</v>
      </c>
      <c r="BN934" t="s">
        <v>74</v>
      </c>
      <c r="BO934" t="s">
        <v>4305</v>
      </c>
      <c r="BP934" t="s">
        <v>74</v>
      </c>
      <c r="BQ934" t="s">
        <v>74</v>
      </c>
      <c r="BR934" t="s">
        <v>103</v>
      </c>
      <c r="BS934" t="s">
        <v>17708</v>
      </c>
      <c r="BT934" t="str">
        <f>HYPERLINK("https%3A%2F%2Fwww.webofscience.com%2Fwos%2Fwoscc%2Ffull-record%2FWOS:000355276100005","View Full Record in Web of Science")</f>
        <v>View Full Record in Web of Science</v>
      </c>
    </row>
    <row r="935" spans="1:72" x14ac:dyDescent="0.15">
      <c r="A935" t="s">
        <v>72</v>
      </c>
      <c r="B935" t="s">
        <v>17709</v>
      </c>
      <c r="C935" t="s">
        <v>74</v>
      </c>
      <c r="D935" t="s">
        <v>74</v>
      </c>
      <c r="E935" t="s">
        <v>74</v>
      </c>
      <c r="F935" t="s">
        <v>17710</v>
      </c>
      <c r="G935" t="s">
        <v>74</v>
      </c>
      <c r="H935" t="s">
        <v>74</v>
      </c>
      <c r="I935" t="s">
        <v>17711</v>
      </c>
      <c r="J935" t="s">
        <v>603</v>
      </c>
      <c r="K935" t="s">
        <v>74</v>
      </c>
      <c r="L935" t="s">
        <v>74</v>
      </c>
      <c r="M935" t="s">
        <v>78</v>
      </c>
      <c r="N935" t="s">
        <v>79</v>
      </c>
      <c r="O935" t="s">
        <v>74</v>
      </c>
      <c r="P935" t="s">
        <v>74</v>
      </c>
      <c r="Q935" t="s">
        <v>74</v>
      </c>
      <c r="R935" t="s">
        <v>74</v>
      </c>
      <c r="S935" t="s">
        <v>74</v>
      </c>
      <c r="T935" t="s">
        <v>17712</v>
      </c>
      <c r="U935" t="s">
        <v>17713</v>
      </c>
      <c r="V935" t="s">
        <v>17714</v>
      </c>
      <c r="W935" t="s">
        <v>17715</v>
      </c>
      <c r="X935" t="s">
        <v>17716</v>
      </c>
      <c r="Y935" t="s">
        <v>17717</v>
      </c>
      <c r="Z935" t="s">
        <v>17718</v>
      </c>
      <c r="AA935" t="s">
        <v>74</v>
      </c>
      <c r="AB935" t="s">
        <v>17719</v>
      </c>
      <c r="AC935" t="s">
        <v>17720</v>
      </c>
      <c r="AD935" t="s">
        <v>17720</v>
      </c>
      <c r="AE935" t="s">
        <v>17721</v>
      </c>
      <c r="AF935" t="s">
        <v>74</v>
      </c>
      <c r="AG935">
        <v>46</v>
      </c>
      <c r="AH935">
        <v>19</v>
      </c>
      <c r="AI935">
        <v>23</v>
      </c>
      <c r="AJ935">
        <v>0</v>
      </c>
      <c r="AK935">
        <v>7</v>
      </c>
      <c r="AL935" t="s">
        <v>496</v>
      </c>
      <c r="AM935" t="s">
        <v>398</v>
      </c>
      <c r="AN935" t="s">
        <v>497</v>
      </c>
      <c r="AO935" t="s">
        <v>616</v>
      </c>
      <c r="AP935" t="s">
        <v>617</v>
      </c>
      <c r="AQ935" t="s">
        <v>74</v>
      </c>
      <c r="AR935" t="s">
        <v>618</v>
      </c>
      <c r="AS935" t="s">
        <v>619</v>
      </c>
      <c r="AT935" t="s">
        <v>16741</v>
      </c>
      <c r="AU935">
        <v>2015</v>
      </c>
      <c r="AV935">
        <v>90</v>
      </c>
      <c r="AW935" t="s">
        <v>74</v>
      </c>
      <c r="AX935" t="s">
        <v>74</v>
      </c>
      <c r="AY935" t="s">
        <v>74</v>
      </c>
      <c r="AZ935" t="s">
        <v>74</v>
      </c>
      <c r="BA935" t="s">
        <v>74</v>
      </c>
      <c r="BB935">
        <v>44</v>
      </c>
      <c r="BC935">
        <v>56</v>
      </c>
      <c r="BD935" t="s">
        <v>74</v>
      </c>
      <c r="BE935" t="s">
        <v>17722</v>
      </c>
      <c r="BF935" t="str">
        <f>HYPERLINK("http://dx.doi.org/10.1016/j.ocemod.2015.03.005","http://dx.doi.org/10.1016/j.ocemod.2015.03.005")</f>
        <v>http://dx.doi.org/10.1016/j.ocemod.2015.03.005</v>
      </c>
      <c r="BG935" t="s">
        <v>74</v>
      </c>
      <c r="BH935" t="s">
        <v>74</v>
      </c>
      <c r="BI935">
        <v>13</v>
      </c>
      <c r="BJ935" t="s">
        <v>621</v>
      </c>
      <c r="BK935" t="s">
        <v>101</v>
      </c>
      <c r="BL935" t="s">
        <v>621</v>
      </c>
      <c r="BM935" t="s">
        <v>17723</v>
      </c>
      <c r="BN935" t="s">
        <v>74</v>
      </c>
      <c r="BO935" t="s">
        <v>559</v>
      </c>
      <c r="BP935" t="s">
        <v>74</v>
      </c>
      <c r="BQ935" t="s">
        <v>74</v>
      </c>
      <c r="BR935" t="s">
        <v>103</v>
      </c>
      <c r="BS935" t="s">
        <v>17724</v>
      </c>
      <c r="BT935" t="str">
        <f>HYPERLINK("https%3A%2F%2Fwww.webofscience.com%2Fwos%2Fwoscc%2Ffull-record%2FWOS:000355148400004","View Full Record in Web of Science")</f>
        <v>View Full Record in Web of Science</v>
      </c>
    </row>
    <row r="936" spans="1:72" x14ac:dyDescent="0.15">
      <c r="A936" t="s">
        <v>72</v>
      </c>
      <c r="B936" t="s">
        <v>17725</v>
      </c>
      <c r="C936" t="s">
        <v>74</v>
      </c>
      <c r="D936" t="s">
        <v>74</v>
      </c>
      <c r="E936" t="s">
        <v>74</v>
      </c>
      <c r="F936" t="s">
        <v>17726</v>
      </c>
      <c r="G936" t="s">
        <v>74</v>
      </c>
      <c r="H936" t="s">
        <v>74</v>
      </c>
      <c r="I936" t="s">
        <v>17727</v>
      </c>
      <c r="J936" t="s">
        <v>8744</v>
      </c>
      <c r="K936" t="s">
        <v>74</v>
      </c>
      <c r="L936" t="s">
        <v>74</v>
      </c>
      <c r="M936" t="s">
        <v>78</v>
      </c>
      <c r="N936" t="s">
        <v>79</v>
      </c>
      <c r="O936" t="s">
        <v>74</v>
      </c>
      <c r="P936" t="s">
        <v>74</v>
      </c>
      <c r="Q936" t="s">
        <v>74</v>
      </c>
      <c r="R936" t="s">
        <v>74</v>
      </c>
      <c r="S936" t="s">
        <v>74</v>
      </c>
      <c r="T936" t="s">
        <v>17728</v>
      </c>
      <c r="U936" t="s">
        <v>17729</v>
      </c>
      <c r="V936" t="s">
        <v>17730</v>
      </c>
      <c r="W936" t="s">
        <v>17731</v>
      </c>
      <c r="X936" t="s">
        <v>17732</v>
      </c>
      <c r="Y936" t="s">
        <v>17733</v>
      </c>
      <c r="Z936" t="s">
        <v>17734</v>
      </c>
      <c r="AA936" t="s">
        <v>17735</v>
      </c>
      <c r="AB936" t="s">
        <v>17736</v>
      </c>
      <c r="AC936" t="s">
        <v>17737</v>
      </c>
      <c r="AD936" t="s">
        <v>17738</v>
      </c>
      <c r="AE936" t="s">
        <v>17739</v>
      </c>
      <c r="AF936" t="s">
        <v>74</v>
      </c>
      <c r="AG936">
        <v>37</v>
      </c>
      <c r="AH936">
        <v>6</v>
      </c>
      <c r="AI936">
        <v>8</v>
      </c>
      <c r="AJ936">
        <v>1</v>
      </c>
      <c r="AK936">
        <v>52</v>
      </c>
      <c r="AL936" t="s">
        <v>6897</v>
      </c>
      <c r="AM936" t="s">
        <v>550</v>
      </c>
      <c r="AN936" t="s">
        <v>8757</v>
      </c>
      <c r="AO936" t="s">
        <v>8758</v>
      </c>
      <c r="AP936" t="s">
        <v>8759</v>
      </c>
      <c r="AQ936" t="s">
        <v>74</v>
      </c>
      <c r="AR936" t="s">
        <v>8760</v>
      </c>
      <c r="AS936" t="s">
        <v>8761</v>
      </c>
      <c r="AT936" t="s">
        <v>17740</v>
      </c>
      <c r="AU936">
        <v>2015</v>
      </c>
      <c r="AV936">
        <v>162</v>
      </c>
      <c r="AW936" t="s">
        <v>74</v>
      </c>
      <c r="AX936" t="s">
        <v>74</v>
      </c>
      <c r="AY936" t="s">
        <v>74</v>
      </c>
      <c r="AZ936" t="s">
        <v>74</v>
      </c>
      <c r="BA936" t="s">
        <v>74</v>
      </c>
      <c r="BB936">
        <v>112</v>
      </c>
      <c r="BC936">
        <v>118</v>
      </c>
      <c r="BD936" t="s">
        <v>74</v>
      </c>
      <c r="BE936" t="s">
        <v>17741</v>
      </c>
      <c r="BF936" t="str">
        <f>HYPERLINK("http://dx.doi.org/10.1016/j.rse.2015.01.017","http://dx.doi.org/10.1016/j.rse.2015.01.017")</f>
        <v>http://dx.doi.org/10.1016/j.rse.2015.01.017</v>
      </c>
      <c r="BG936" t="s">
        <v>74</v>
      </c>
      <c r="BH936" t="s">
        <v>74</v>
      </c>
      <c r="BI936">
        <v>7</v>
      </c>
      <c r="BJ936" t="s">
        <v>8763</v>
      </c>
      <c r="BK936" t="s">
        <v>101</v>
      </c>
      <c r="BL936" t="s">
        <v>8764</v>
      </c>
      <c r="BM936" t="s">
        <v>17742</v>
      </c>
      <c r="BN936" t="s">
        <v>74</v>
      </c>
      <c r="BO936" t="s">
        <v>559</v>
      </c>
      <c r="BP936" t="s">
        <v>74</v>
      </c>
      <c r="BQ936" t="s">
        <v>74</v>
      </c>
      <c r="BR936" t="s">
        <v>103</v>
      </c>
      <c r="BS936" t="s">
        <v>17743</v>
      </c>
      <c r="BT936" t="str">
        <f>HYPERLINK("https%3A%2F%2Fwww.webofscience.com%2Fwos%2Fwoscc%2Ffull-record%2FWOS:000355052000009","View Full Record in Web of Science")</f>
        <v>View Full Record in Web of Science</v>
      </c>
    </row>
    <row r="937" spans="1:72" x14ac:dyDescent="0.15">
      <c r="A937" t="s">
        <v>72</v>
      </c>
      <c r="B937" t="s">
        <v>17744</v>
      </c>
      <c r="C937" t="s">
        <v>74</v>
      </c>
      <c r="D937" t="s">
        <v>74</v>
      </c>
      <c r="E937" t="s">
        <v>74</v>
      </c>
      <c r="F937" t="s">
        <v>17745</v>
      </c>
      <c r="G937" t="s">
        <v>74</v>
      </c>
      <c r="H937" t="s">
        <v>74</v>
      </c>
      <c r="I937" t="s">
        <v>17746</v>
      </c>
      <c r="J937" t="s">
        <v>3331</v>
      </c>
      <c r="K937" t="s">
        <v>74</v>
      </c>
      <c r="L937" t="s">
        <v>74</v>
      </c>
      <c r="M937" t="s">
        <v>78</v>
      </c>
      <c r="N937" t="s">
        <v>79</v>
      </c>
      <c r="O937" t="s">
        <v>74</v>
      </c>
      <c r="P937" t="s">
        <v>74</v>
      </c>
      <c r="Q937" t="s">
        <v>74</v>
      </c>
      <c r="R937" t="s">
        <v>74</v>
      </c>
      <c r="S937" t="s">
        <v>74</v>
      </c>
      <c r="T937" t="s">
        <v>17747</v>
      </c>
      <c r="U937" t="s">
        <v>17748</v>
      </c>
      <c r="V937" t="s">
        <v>17749</v>
      </c>
      <c r="W937" t="s">
        <v>17750</v>
      </c>
      <c r="X937" t="s">
        <v>17751</v>
      </c>
      <c r="Y937" t="s">
        <v>17752</v>
      </c>
      <c r="Z937" t="s">
        <v>17753</v>
      </c>
      <c r="AA937" t="s">
        <v>17754</v>
      </c>
      <c r="AB937" t="s">
        <v>17755</v>
      </c>
      <c r="AC937" t="s">
        <v>17756</v>
      </c>
      <c r="AD937" t="s">
        <v>17757</v>
      </c>
      <c r="AE937" t="s">
        <v>17758</v>
      </c>
      <c r="AF937" t="s">
        <v>74</v>
      </c>
      <c r="AG937">
        <v>56</v>
      </c>
      <c r="AH937">
        <v>6</v>
      </c>
      <c r="AI937">
        <v>7</v>
      </c>
      <c r="AJ937">
        <v>1</v>
      </c>
      <c r="AK937">
        <v>26</v>
      </c>
      <c r="AL937" t="s">
        <v>2434</v>
      </c>
      <c r="AM937" t="s">
        <v>2435</v>
      </c>
      <c r="AN937" t="s">
        <v>2436</v>
      </c>
      <c r="AO937" t="s">
        <v>3342</v>
      </c>
      <c r="AP937" t="s">
        <v>3343</v>
      </c>
      <c r="AQ937" t="s">
        <v>74</v>
      </c>
      <c r="AR937" t="s">
        <v>3344</v>
      </c>
      <c r="AS937" t="s">
        <v>3345</v>
      </c>
      <c r="AT937" t="s">
        <v>16741</v>
      </c>
      <c r="AU937">
        <v>2015</v>
      </c>
      <c r="AV937">
        <v>58</v>
      </c>
      <c r="AW937">
        <v>6</v>
      </c>
      <c r="AX937" t="s">
        <v>74</v>
      </c>
      <c r="AY937" t="s">
        <v>74</v>
      </c>
      <c r="AZ937" t="s">
        <v>74</v>
      </c>
      <c r="BA937" t="s">
        <v>74</v>
      </c>
      <c r="BB937">
        <v>962</v>
      </c>
      <c r="BC937">
        <v>970</v>
      </c>
      <c r="BD937" t="s">
        <v>74</v>
      </c>
      <c r="BE937" t="s">
        <v>17759</v>
      </c>
      <c r="BF937" t="str">
        <f>HYPERLINK("http://dx.doi.org/10.1007/s11430-015-5061-2","http://dx.doi.org/10.1007/s11430-015-5061-2")</f>
        <v>http://dx.doi.org/10.1007/s11430-015-5061-2</v>
      </c>
      <c r="BG937" t="s">
        <v>74</v>
      </c>
      <c r="BH937" t="s">
        <v>74</v>
      </c>
      <c r="BI937">
        <v>9</v>
      </c>
      <c r="BJ937" t="s">
        <v>314</v>
      </c>
      <c r="BK937" t="s">
        <v>101</v>
      </c>
      <c r="BL937" t="s">
        <v>315</v>
      </c>
      <c r="BM937" t="s">
        <v>17760</v>
      </c>
      <c r="BN937" t="s">
        <v>74</v>
      </c>
      <c r="BO937" t="s">
        <v>74</v>
      </c>
      <c r="BP937" t="s">
        <v>74</v>
      </c>
      <c r="BQ937" t="s">
        <v>74</v>
      </c>
      <c r="BR937" t="s">
        <v>103</v>
      </c>
      <c r="BS937" t="s">
        <v>17761</v>
      </c>
      <c r="BT937" t="str">
        <f>HYPERLINK("https%3A%2F%2Fwww.webofscience.com%2Fwos%2Fwoscc%2Ffull-record%2FWOS:000354901900011","View Full Record in Web of Science")</f>
        <v>View Full Record in Web of Science</v>
      </c>
    </row>
    <row r="938" spans="1:72" x14ac:dyDescent="0.15">
      <c r="A938" t="s">
        <v>72</v>
      </c>
      <c r="B938" t="s">
        <v>17762</v>
      </c>
      <c r="C938" t="s">
        <v>74</v>
      </c>
      <c r="D938" t="s">
        <v>74</v>
      </c>
      <c r="E938" t="s">
        <v>74</v>
      </c>
      <c r="F938" t="s">
        <v>17763</v>
      </c>
      <c r="G938" t="s">
        <v>74</v>
      </c>
      <c r="H938" t="s">
        <v>74</v>
      </c>
      <c r="I938" t="s">
        <v>17764</v>
      </c>
      <c r="J938" t="s">
        <v>17765</v>
      </c>
      <c r="K938" t="s">
        <v>74</v>
      </c>
      <c r="L938" t="s">
        <v>74</v>
      </c>
      <c r="M938" t="s">
        <v>78</v>
      </c>
      <c r="N938" t="s">
        <v>79</v>
      </c>
      <c r="O938" t="s">
        <v>74</v>
      </c>
      <c r="P938" t="s">
        <v>74</v>
      </c>
      <c r="Q938" t="s">
        <v>74</v>
      </c>
      <c r="R938" t="s">
        <v>74</v>
      </c>
      <c r="S938" t="s">
        <v>74</v>
      </c>
      <c r="T938" t="s">
        <v>17766</v>
      </c>
      <c r="U938" t="s">
        <v>17767</v>
      </c>
      <c r="V938" t="s">
        <v>17768</v>
      </c>
      <c r="W938" t="s">
        <v>17769</v>
      </c>
      <c r="X938" t="s">
        <v>17770</v>
      </c>
      <c r="Y938" t="s">
        <v>17771</v>
      </c>
      <c r="Z938" t="s">
        <v>17772</v>
      </c>
      <c r="AA938" t="s">
        <v>17773</v>
      </c>
      <c r="AB938" t="s">
        <v>17774</v>
      </c>
      <c r="AC938" t="s">
        <v>17775</v>
      </c>
      <c r="AD938" t="s">
        <v>17776</v>
      </c>
      <c r="AE938" t="s">
        <v>17777</v>
      </c>
      <c r="AF938" t="s">
        <v>74</v>
      </c>
      <c r="AG938">
        <v>57</v>
      </c>
      <c r="AH938">
        <v>44</v>
      </c>
      <c r="AI938">
        <v>48</v>
      </c>
      <c r="AJ938">
        <v>0</v>
      </c>
      <c r="AK938">
        <v>19</v>
      </c>
      <c r="AL938" t="s">
        <v>925</v>
      </c>
      <c r="AM938" t="s">
        <v>884</v>
      </c>
      <c r="AN938" t="s">
        <v>926</v>
      </c>
      <c r="AO938" t="s">
        <v>17778</v>
      </c>
      <c r="AP938" t="s">
        <v>17779</v>
      </c>
      <c r="AQ938" t="s">
        <v>74</v>
      </c>
      <c r="AR938" t="s">
        <v>17780</v>
      </c>
      <c r="AS938" t="s">
        <v>17781</v>
      </c>
      <c r="AT938" t="s">
        <v>16741</v>
      </c>
      <c r="AU938">
        <v>2015</v>
      </c>
      <c r="AV938">
        <v>157</v>
      </c>
      <c r="AW938" t="s">
        <v>74</v>
      </c>
      <c r="AX938" t="s">
        <v>74</v>
      </c>
      <c r="AY938" t="s">
        <v>74</v>
      </c>
      <c r="AZ938" t="s">
        <v>74</v>
      </c>
      <c r="BA938" t="s">
        <v>74</v>
      </c>
      <c r="BB938">
        <v>56</v>
      </c>
      <c r="BC938">
        <v>62</v>
      </c>
      <c r="BD938" t="s">
        <v>74</v>
      </c>
      <c r="BE938" t="s">
        <v>17782</v>
      </c>
      <c r="BF938" t="str">
        <f>HYPERLINK("http://dx.doi.org/10.1016/j.anireprosci.2015.03.015","http://dx.doi.org/10.1016/j.anireprosci.2015.03.015")</f>
        <v>http://dx.doi.org/10.1016/j.anireprosci.2015.03.015</v>
      </c>
      <c r="BG938" t="s">
        <v>74</v>
      </c>
      <c r="BH938" t="s">
        <v>74</v>
      </c>
      <c r="BI938">
        <v>7</v>
      </c>
      <c r="BJ938" t="s">
        <v>17783</v>
      </c>
      <c r="BK938" t="s">
        <v>101</v>
      </c>
      <c r="BL938" t="s">
        <v>17784</v>
      </c>
      <c r="BM938" t="s">
        <v>17785</v>
      </c>
      <c r="BN938">
        <v>25863987</v>
      </c>
      <c r="BO938" t="s">
        <v>74</v>
      </c>
      <c r="BP938" t="s">
        <v>74</v>
      </c>
      <c r="BQ938" t="s">
        <v>74</v>
      </c>
      <c r="BR938" t="s">
        <v>103</v>
      </c>
      <c r="BS938" t="s">
        <v>17786</v>
      </c>
      <c r="BT938" t="str">
        <f>HYPERLINK("https%3A%2F%2Fwww.webofscience.com%2Fwos%2Fwoscc%2Ffull-record%2FWOS:000355033500008","View Full Record in Web of Science")</f>
        <v>View Full Record in Web of Science</v>
      </c>
    </row>
    <row r="939" spans="1:72" x14ac:dyDescent="0.15">
      <c r="A939" t="s">
        <v>72</v>
      </c>
      <c r="B939" t="s">
        <v>17787</v>
      </c>
      <c r="C939" t="s">
        <v>74</v>
      </c>
      <c r="D939" t="s">
        <v>74</v>
      </c>
      <c r="E939" t="s">
        <v>74</v>
      </c>
      <c r="F939" t="s">
        <v>17788</v>
      </c>
      <c r="G939" t="s">
        <v>74</v>
      </c>
      <c r="H939" t="s">
        <v>74</v>
      </c>
      <c r="I939" t="s">
        <v>17789</v>
      </c>
      <c r="J939" t="s">
        <v>17790</v>
      </c>
      <c r="K939" t="s">
        <v>74</v>
      </c>
      <c r="L939" t="s">
        <v>74</v>
      </c>
      <c r="M939" t="s">
        <v>78</v>
      </c>
      <c r="N939" t="s">
        <v>79</v>
      </c>
      <c r="O939" t="s">
        <v>74</v>
      </c>
      <c r="P939" t="s">
        <v>74</v>
      </c>
      <c r="Q939" t="s">
        <v>74</v>
      </c>
      <c r="R939" t="s">
        <v>74</v>
      </c>
      <c r="S939" t="s">
        <v>74</v>
      </c>
      <c r="T939" t="s">
        <v>17791</v>
      </c>
      <c r="U939" t="s">
        <v>17792</v>
      </c>
      <c r="V939" t="s">
        <v>17793</v>
      </c>
      <c r="W939" t="s">
        <v>17794</v>
      </c>
      <c r="X939" t="s">
        <v>17795</v>
      </c>
      <c r="Y939" t="s">
        <v>17796</v>
      </c>
      <c r="Z939" t="s">
        <v>17797</v>
      </c>
      <c r="AA939" t="s">
        <v>17798</v>
      </c>
      <c r="AB939" t="s">
        <v>17799</v>
      </c>
      <c r="AC939" t="s">
        <v>820</v>
      </c>
      <c r="AD939" t="s">
        <v>821</v>
      </c>
      <c r="AE939" t="s">
        <v>17800</v>
      </c>
      <c r="AF939" t="s">
        <v>74</v>
      </c>
      <c r="AG939">
        <v>54</v>
      </c>
      <c r="AH939">
        <v>2</v>
      </c>
      <c r="AI939">
        <v>3</v>
      </c>
      <c r="AJ939">
        <v>0</v>
      </c>
      <c r="AK939">
        <v>27</v>
      </c>
      <c r="AL939" t="s">
        <v>92</v>
      </c>
      <c r="AM939" t="s">
        <v>550</v>
      </c>
      <c r="AN939" t="s">
        <v>4772</v>
      </c>
      <c r="AO939" t="s">
        <v>17801</v>
      </c>
      <c r="AP939" t="s">
        <v>17802</v>
      </c>
      <c r="AQ939" t="s">
        <v>74</v>
      </c>
      <c r="AR939" t="s">
        <v>17803</v>
      </c>
      <c r="AS939" t="s">
        <v>17804</v>
      </c>
      <c r="AT939" t="s">
        <v>16741</v>
      </c>
      <c r="AU939">
        <v>2015</v>
      </c>
      <c r="AV939">
        <v>65</v>
      </c>
      <c r="AW939">
        <v>2</v>
      </c>
      <c r="AX939" t="s">
        <v>74</v>
      </c>
      <c r="AY939" t="s">
        <v>74</v>
      </c>
      <c r="AZ939" t="s">
        <v>74</v>
      </c>
      <c r="BA939" t="s">
        <v>74</v>
      </c>
      <c r="BB939">
        <v>1027</v>
      </c>
      <c r="BC939">
        <v>1036</v>
      </c>
      <c r="BD939" t="s">
        <v>74</v>
      </c>
      <c r="BE939" t="s">
        <v>17805</v>
      </c>
      <c r="BF939" t="str">
        <f>HYPERLINK("http://dx.doi.org/10.1007/s13213-014-0948-2","http://dx.doi.org/10.1007/s13213-014-0948-2")</f>
        <v>http://dx.doi.org/10.1007/s13213-014-0948-2</v>
      </c>
      <c r="BG939" t="s">
        <v>74</v>
      </c>
      <c r="BH939" t="s">
        <v>74</v>
      </c>
      <c r="BI939">
        <v>10</v>
      </c>
      <c r="BJ939" t="s">
        <v>16103</v>
      </c>
      <c r="BK939" t="s">
        <v>101</v>
      </c>
      <c r="BL939" t="s">
        <v>16103</v>
      </c>
      <c r="BM939" t="s">
        <v>17806</v>
      </c>
      <c r="BN939" t="s">
        <v>74</v>
      </c>
      <c r="BO939" t="s">
        <v>162</v>
      </c>
      <c r="BP939" t="s">
        <v>74</v>
      </c>
      <c r="BQ939" t="s">
        <v>74</v>
      </c>
      <c r="BR939" t="s">
        <v>103</v>
      </c>
      <c r="BS939" t="s">
        <v>17807</v>
      </c>
      <c r="BT939" t="str">
        <f>HYPERLINK("https%3A%2F%2Fwww.webofscience.com%2Fwos%2Fwoscc%2Ffull-record%2FWOS:000354724300043","View Full Record in Web of Science")</f>
        <v>View Full Record in Web of Science</v>
      </c>
    </row>
    <row r="940" spans="1:72" x14ac:dyDescent="0.15">
      <c r="A940" t="s">
        <v>72</v>
      </c>
      <c r="B940" t="s">
        <v>17808</v>
      </c>
      <c r="C940" t="s">
        <v>74</v>
      </c>
      <c r="D940" t="s">
        <v>74</v>
      </c>
      <c r="E940" t="s">
        <v>74</v>
      </c>
      <c r="F940" t="s">
        <v>17809</v>
      </c>
      <c r="G940" t="s">
        <v>74</v>
      </c>
      <c r="H940" t="s">
        <v>74</v>
      </c>
      <c r="I940" t="s">
        <v>17810</v>
      </c>
      <c r="J940" t="s">
        <v>17811</v>
      </c>
      <c r="K940" t="s">
        <v>74</v>
      </c>
      <c r="L940" t="s">
        <v>74</v>
      </c>
      <c r="M940" t="s">
        <v>78</v>
      </c>
      <c r="N940" t="s">
        <v>79</v>
      </c>
      <c r="O940" t="s">
        <v>74</v>
      </c>
      <c r="P940" t="s">
        <v>74</v>
      </c>
      <c r="Q940" t="s">
        <v>74</v>
      </c>
      <c r="R940" t="s">
        <v>74</v>
      </c>
      <c r="S940" t="s">
        <v>74</v>
      </c>
      <c r="T940" t="s">
        <v>17812</v>
      </c>
      <c r="U940" t="s">
        <v>17813</v>
      </c>
      <c r="V940" t="s">
        <v>17814</v>
      </c>
      <c r="W940" t="s">
        <v>17815</v>
      </c>
      <c r="X940" t="s">
        <v>2956</v>
      </c>
      <c r="Y940" t="s">
        <v>17816</v>
      </c>
      <c r="Z940" t="s">
        <v>17817</v>
      </c>
      <c r="AA940" t="s">
        <v>17818</v>
      </c>
      <c r="AB940" t="s">
        <v>17819</v>
      </c>
      <c r="AC940" t="s">
        <v>17820</v>
      </c>
      <c r="AD940" t="s">
        <v>17821</v>
      </c>
      <c r="AE940" t="s">
        <v>17822</v>
      </c>
      <c r="AF940" t="s">
        <v>74</v>
      </c>
      <c r="AG940">
        <v>55</v>
      </c>
      <c r="AH940">
        <v>33</v>
      </c>
      <c r="AI940">
        <v>34</v>
      </c>
      <c r="AJ940">
        <v>1</v>
      </c>
      <c r="AK940">
        <v>49</v>
      </c>
      <c r="AL940" t="s">
        <v>92</v>
      </c>
      <c r="AM940" t="s">
        <v>93</v>
      </c>
      <c r="AN940" t="s">
        <v>94</v>
      </c>
      <c r="AO940" t="s">
        <v>17823</v>
      </c>
      <c r="AP940" t="s">
        <v>17824</v>
      </c>
      <c r="AQ940" t="s">
        <v>74</v>
      </c>
      <c r="AR940" t="s">
        <v>17825</v>
      </c>
      <c r="AS940" t="s">
        <v>17826</v>
      </c>
      <c r="AT940" t="s">
        <v>16741</v>
      </c>
      <c r="AU940">
        <v>2015</v>
      </c>
      <c r="AV940">
        <v>17</v>
      </c>
      <c r="AW940">
        <v>6</v>
      </c>
      <c r="AX940" t="s">
        <v>74</v>
      </c>
      <c r="AY940" t="s">
        <v>74</v>
      </c>
      <c r="AZ940" t="s">
        <v>74</v>
      </c>
      <c r="BA940" t="s">
        <v>74</v>
      </c>
      <c r="BB940">
        <v>1885</v>
      </c>
      <c r="BC940">
        <v>1896</v>
      </c>
      <c r="BD940" t="s">
        <v>74</v>
      </c>
      <c r="BE940" t="s">
        <v>17827</v>
      </c>
      <c r="BF940" t="str">
        <f>HYPERLINK("http://dx.doi.org/10.1007/s10530-015-0845-z","http://dx.doi.org/10.1007/s10530-015-0845-z")</f>
        <v>http://dx.doi.org/10.1007/s10530-015-0845-z</v>
      </c>
      <c r="BG940" t="s">
        <v>74</v>
      </c>
      <c r="BH940" t="s">
        <v>74</v>
      </c>
      <c r="BI940">
        <v>12</v>
      </c>
      <c r="BJ940" t="s">
        <v>4778</v>
      </c>
      <c r="BK940" t="s">
        <v>101</v>
      </c>
      <c r="BL940" t="s">
        <v>3806</v>
      </c>
      <c r="BM940" t="s">
        <v>17828</v>
      </c>
      <c r="BN940" t="s">
        <v>74</v>
      </c>
      <c r="BO940" t="s">
        <v>74</v>
      </c>
      <c r="BP940" t="s">
        <v>74</v>
      </c>
      <c r="BQ940" t="s">
        <v>74</v>
      </c>
      <c r="BR940" t="s">
        <v>103</v>
      </c>
      <c r="BS940" t="s">
        <v>17829</v>
      </c>
      <c r="BT940" t="str">
        <f>HYPERLINK("https%3A%2F%2Fwww.webofscience.com%2Fwos%2Fwoscc%2Ffull-record%2FWOS:000354373500024","View Full Record in Web of Science")</f>
        <v>View Full Record in Web of Science</v>
      </c>
    </row>
    <row r="941" spans="1:72" x14ac:dyDescent="0.15">
      <c r="A941" t="s">
        <v>72</v>
      </c>
      <c r="B941" t="s">
        <v>17830</v>
      </c>
      <c r="C941" t="s">
        <v>74</v>
      </c>
      <c r="D941" t="s">
        <v>74</v>
      </c>
      <c r="E941" t="s">
        <v>74</v>
      </c>
      <c r="F941" t="s">
        <v>17831</v>
      </c>
      <c r="G941" t="s">
        <v>74</v>
      </c>
      <c r="H941" t="s">
        <v>74</v>
      </c>
      <c r="I941" t="s">
        <v>17832</v>
      </c>
      <c r="J941" t="s">
        <v>17833</v>
      </c>
      <c r="K941" t="s">
        <v>74</v>
      </c>
      <c r="L941" t="s">
        <v>74</v>
      </c>
      <c r="M941" t="s">
        <v>78</v>
      </c>
      <c r="N941" t="s">
        <v>79</v>
      </c>
      <c r="O941" t="s">
        <v>74</v>
      </c>
      <c r="P941" t="s">
        <v>74</v>
      </c>
      <c r="Q941" t="s">
        <v>74</v>
      </c>
      <c r="R941" t="s">
        <v>74</v>
      </c>
      <c r="S941" t="s">
        <v>74</v>
      </c>
      <c r="T941" t="s">
        <v>17834</v>
      </c>
      <c r="U941" t="s">
        <v>17835</v>
      </c>
      <c r="V941" t="s">
        <v>17836</v>
      </c>
      <c r="W941" t="s">
        <v>17837</v>
      </c>
      <c r="X941" t="s">
        <v>17838</v>
      </c>
      <c r="Y941" t="s">
        <v>17839</v>
      </c>
      <c r="Z941" t="s">
        <v>13662</v>
      </c>
      <c r="AA941" t="s">
        <v>17840</v>
      </c>
      <c r="AB941" t="s">
        <v>74</v>
      </c>
      <c r="AC941" t="s">
        <v>17841</v>
      </c>
      <c r="AD941" t="s">
        <v>17842</v>
      </c>
      <c r="AE941" t="s">
        <v>17843</v>
      </c>
      <c r="AF941" t="s">
        <v>74</v>
      </c>
      <c r="AG941">
        <v>73</v>
      </c>
      <c r="AH941">
        <v>3</v>
      </c>
      <c r="AI941">
        <v>3</v>
      </c>
      <c r="AJ941">
        <v>5</v>
      </c>
      <c r="AK941">
        <v>23</v>
      </c>
      <c r="AL941" t="s">
        <v>3146</v>
      </c>
      <c r="AM941" t="s">
        <v>3147</v>
      </c>
      <c r="AN941" t="s">
        <v>3148</v>
      </c>
      <c r="AO941" t="s">
        <v>17844</v>
      </c>
      <c r="AP941" t="s">
        <v>17845</v>
      </c>
      <c r="AQ941" t="s">
        <v>74</v>
      </c>
      <c r="AR941" t="s">
        <v>17846</v>
      </c>
      <c r="AS941" t="s">
        <v>17847</v>
      </c>
      <c r="AT941" t="s">
        <v>16741</v>
      </c>
      <c r="AU941">
        <v>2015</v>
      </c>
      <c r="AV941">
        <v>69</v>
      </c>
      <c r="AW941">
        <v>2</v>
      </c>
      <c r="AX941" t="s">
        <v>74</v>
      </c>
      <c r="AY941" t="s">
        <v>74</v>
      </c>
      <c r="AZ941" t="s">
        <v>74</v>
      </c>
      <c r="BA941" t="s">
        <v>74</v>
      </c>
      <c r="BB941">
        <v>177</v>
      </c>
      <c r="BC941">
        <v>192</v>
      </c>
      <c r="BD941" t="s">
        <v>74</v>
      </c>
      <c r="BE941" t="s">
        <v>17848</v>
      </c>
      <c r="BF941" t="str">
        <f>HYPERLINK("http://dx.doi.org/10.1007/s10152-015-0427-6","http://dx.doi.org/10.1007/s10152-015-0427-6")</f>
        <v>http://dx.doi.org/10.1007/s10152-015-0427-6</v>
      </c>
      <c r="BG941" t="s">
        <v>74</v>
      </c>
      <c r="BH941" t="s">
        <v>74</v>
      </c>
      <c r="BI941">
        <v>16</v>
      </c>
      <c r="BJ941" t="s">
        <v>478</v>
      </c>
      <c r="BK941" t="s">
        <v>101</v>
      </c>
      <c r="BL941" t="s">
        <v>478</v>
      </c>
      <c r="BM941" t="s">
        <v>17849</v>
      </c>
      <c r="BN941" t="s">
        <v>74</v>
      </c>
      <c r="BO941" t="s">
        <v>908</v>
      </c>
      <c r="BP941" t="s">
        <v>74</v>
      </c>
      <c r="BQ941" t="s">
        <v>74</v>
      </c>
      <c r="BR941" t="s">
        <v>103</v>
      </c>
      <c r="BS941" t="s">
        <v>17850</v>
      </c>
      <c r="BT941" t="str">
        <f>HYPERLINK("https%3A%2F%2Fwww.webofscience.com%2Fwos%2Fwoscc%2Ffull-record%2FWOS:000354241700005","View Full Record in Web of Science")</f>
        <v>View Full Record in Web of Science</v>
      </c>
    </row>
    <row r="942" spans="1:72" x14ac:dyDescent="0.15">
      <c r="A942" t="s">
        <v>72</v>
      </c>
      <c r="B942" t="s">
        <v>17851</v>
      </c>
      <c r="C942" t="s">
        <v>74</v>
      </c>
      <c r="D942" t="s">
        <v>74</v>
      </c>
      <c r="E942" t="s">
        <v>74</v>
      </c>
      <c r="F942" t="s">
        <v>17852</v>
      </c>
      <c r="G942" t="s">
        <v>74</v>
      </c>
      <c r="H942" t="s">
        <v>74</v>
      </c>
      <c r="I942" t="s">
        <v>17853</v>
      </c>
      <c r="J942" t="s">
        <v>3135</v>
      </c>
      <c r="K942" t="s">
        <v>74</v>
      </c>
      <c r="L942" t="s">
        <v>74</v>
      </c>
      <c r="M942" t="s">
        <v>78</v>
      </c>
      <c r="N942" t="s">
        <v>79</v>
      </c>
      <c r="O942" t="s">
        <v>74</v>
      </c>
      <c r="P942" t="s">
        <v>74</v>
      </c>
      <c r="Q942" t="s">
        <v>74</v>
      </c>
      <c r="R942" t="s">
        <v>74</v>
      </c>
      <c r="S942" t="s">
        <v>74</v>
      </c>
      <c r="T942" t="s">
        <v>74</v>
      </c>
      <c r="U942" t="s">
        <v>17854</v>
      </c>
      <c r="V942" t="s">
        <v>17855</v>
      </c>
      <c r="W942" t="s">
        <v>17856</v>
      </c>
      <c r="X942" t="s">
        <v>11141</v>
      </c>
      <c r="Y942" t="s">
        <v>17857</v>
      </c>
      <c r="Z942" t="s">
        <v>17858</v>
      </c>
      <c r="AA942" t="s">
        <v>74</v>
      </c>
      <c r="AB942" t="s">
        <v>74</v>
      </c>
      <c r="AC942" t="s">
        <v>17859</v>
      </c>
      <c r="AD942" t="s">
        <v>17860</v>
      </c>
      <c r="AE942" t="s">
        <v>17861</v>
      </c>
      <c r="AF942" t="s">
        <v>74</v>
      </c>
      <c r="AG942">
        <v>49</v>
      </c>
      <c r="AH942">
        <v>19</v>
      </c>
      <c r="AI942">
        <v>20</v>
      </c>
      <c r="AJ942">
        <v>1</v>
      </c>
      <c r="AK942">
        <v>32</v>
      </c>
      <c r="AL942" t="s">
        <v>3146</v>
      </c>
      <c r="AM942" t="s">
        <v>3147</v>
      </c>
      <c r="AN942" t="s">
        <v>3148</v>
      </c>
      <c r="AO942" t="s">
        <v>3149</v>
      </c>
      <c r="AP942" t="s">
        <v>3150</v>
      </c>
      <c r="AQ942" t="s">
        <v>74</v>
      </c>
      <c r="AR942" t="s">
        <v>3151</v>
      </c>
      <c r="AS942" t="s">
        <v>3152</v>
      </c>
      <c r="AT942" t="s">
        <v>16741</v>
      </c>
      <c r="AU942">
        <v>2015</v>
      </c>
      <c r="AV942">
        <v>162</v>
      </c>
      <c r="AW942">
        <v>6</v>
      </c>
      <c r="AX942" t="s">
        <v>74</v>
      </c>
      <c r="AY942" t="s">
        <v>74</v>
      </c>
      <c r="AZ942" t="s">
        <v>74</v>
      </c>
      <c r="BA942" t="s">
        <v>74</v>
      </c>
      <c r="BB942">
        <v>1187</v>
      </c>
      <c r="BC942">
        <v>1200</v>
      </c>
      <c r="BD942" t="s">
        <v>74</v>
      </c>
      <c r="BE942" t="s">
        <v>17862</v>
      </c>
      <c r="BF942" t="str">
        <f>HYPERLINK("http://dx.doi.org/10.1007/s00227-015-2661-5","http://dx.doi.org/10.1007/s00227-015-2661-5")</f>
        <v>http://dx.doi.org/10.1007/s00227-015-2661-5</v>
      </c>
      <c r="BG942" t="s">
        <v>74</v>
      </c>
      <c r="BH942" t="s">
        <v>74</v>
      </c>
      <c r="BI942">
        <v>14</v>
      </c>
      <c r="BJ942" t="s">
        <v>100</v>
      </c>
      <c r="BK942" t="s">
        <v>101</v>
      </c>
      <c r="BL942" t="s">
        <v>100</v>
      </c>
      <c r="BM942" t="s">
        <v>17863</v>
      </c>
      <c r="BN942" t="s">
        <v>74</v>
      </c>
      <c r="BO942" t="s">
        <v>74</v>
      </c>
      <c r="BP942" t="s">
        <v>74</v>
      </c>
      <c r="BQ942" t="s">
        <v>74</v>
      </c>
      <c r="BR942" t="s">
        <v>103</v>
      </c>
      <c r="BS942" t="s">
        <v>17864</v>
      </c>
      <c r="BT942" t="str">
        <f>HYPERLINK("https%3A%2F%2Fwww.webofscience.com%2Fwos%2Fwoscc%2Ffull-record%2FWOS:000354619600004","View Full Record in Web of Science")</f>
        <v>View Full Record in Web of Science</v>
      </c>
    </row>
    <row r="943" spans="1:72" x14ac:dyDescent="0.15">
      <c r="A943" t="s">
        <v>72</v>
      </c>
      <c r="B943" t="s">
        <v>17865</v>
      </c>
      <c r="C943" t="s">
        <v>74</v>
      </c>
      <c r="D943" t="s">
        <v>74</v>
      </c>
      <c r="E943" t="s">
        <v>74</v>
      </c>
      <c r="F943" t="s">
        <v>17866</v>
      </c>
      <c r="G943" t="s">
        <v>74</v>
      </c>
      <c r="H943" t="s">
        <v>74</v>
      </c>
      <c r="I943" t="s">
        <v>17867</v>
      </c>
      <c r="J943" t="s">
        <v>8164</v>
      </c>
      <c r="K943" t="s">
        <v>74</v>
      </c>
      <c r="L943" t="s">
        <v>74</v>
      </c>
      <c r="M943" t="s">
        <v>78</v>
      </c>
      <c r="N943" t="s">
        <v>79</v>
      </c>
      <c r="O943" t="s">
        <v>74</v>
      </c>
      <c r="P943" t="s">
        <v>74</v>
      </c>
      <c r="Q943" t="s">
        <v>74</v>
      </c>
      <c r="R943" t="s">
        <v>74</v>
      </c>
      <c r="S943" t="s">
        <v>74</v>
      </c>
      <c r="T943" t="s">
        <v>17868</v>
      </c>
      <c r="U943" t="s">
        <v>17869</v>
      </c>
      <c r="V943" t="s">
        <v>17870</v>
      </c>
      <c r="W943" t="s">
        <v>17871</v>
      </c>
      <c r="X943" t="s">
        <v>17872</v>
      </c>
      <c r="Y943" t="s">
        <v>17873</v>
      </c>
      <c r="Z943" t="s">
        <v>17874</v>
      </c>
      <c r="AA943" t="s">
        <v>17875</v>
      </c>
      <c r="AB943" t="s">
        <v>17876</v>
      </c>
      <c r="AC943" t="s">
        <v>17877</v>
      </c>
      <c r="AD943" t="s">
        <v>17878</v>
      </c>
      <c r="AE943" t="s">
        <v>17879</v>
      </c>
      <c r="AF943" t="s">
        <v>74</v>
      </c>
      <c r="AG943">
        <v>41</v>
      </c>
      <c r="AH943">
        <v>20</v>
      </c>
      <c r="AI943">
        <v>20</v>
      </c>
      <c r="AJ943">
        <v>0</v>
      </c>
      <c r="AK943">
        <v>22</v>
      </c>
      <c r="AL943" t="s">
        <v>208</v>
      </c>
      <c r="AM943" t="s">
        <v>209</v>
      </c>
      <c r="AN943" t="s">
        <v>210</v>
      </c>
      <c r="AO943" t="s">
        <v>8177</v>
      </c>
      <c r="AP943" t="s">
        <v>8178</v>
      </c>
      <c r="AQ943" t="s">
        <v>74</v>
      </c>
      <c r="AR943" t="s">
        <v>8179</v>
      </c>
      <c r="AS943" t="s">
        <v>8180</v>
      </c>
      <c r="AT943" t="s">
        <v>16741</v>
      </c>
      <c r="AU943">
        <v>2015</v>
      </c>
      <c r="AV943">
        <v>36</v>
      </c>
      <c r="AW943">
        <v>2</v>
      </c>
      <c r="AX943" t="s">
        <v>74</v>
      </c>
      <c r="AY943" t="s">
        <v>74</v>
      </c>
      <c r="AZ943" t="s">
        <v>74</v>
      </c>
      <c r="BA943" t="s">
        <v>74</v>
      </c>
      <c r="BB943">
        <v>235</v>
      </c>
      <c r="BC943">
        <v>245</v>
      </c>
      <c r="BD943" t="s">
        <v>74</v>
      </c>
      <c r="BE943" t="s">
        <v>17880</v>
      </c>
      <c r="BF943" t="str">
        <f>HYPERLINK("http://dx.doi.org/10.1111/maec.12140","http://dx.doi.org/10.1111/maec.12140")</f>
        <v>http://dx.doi.org/10.1111/maec.12140</v>
      </c>
      <c r="BG943" t="s">
        <v>74</v>
      </c>
      <c r="BH943" t="s">
        <v>74</v>
      </c>
      <c r="BI943">
        <v>11</v>
      </c>
      <c r="BJ943" t="s">
        <v>100</v>
      </c>
      <c r="BK943" t="s">
        <v>101</v>
      </c>
      <c r="BL943" t="s">
        <v>100</v>
      </c>
      <c r="BM943" t="s">
        <v>17881</v>
      </c>
      <c r="BN943" t="s">
        <v>74</v>
      </c>
      <c r="BO943" t="s">
        <v>74</v>
      </c>
      <c r="BP943" t="s">
        <v>74</v>
      </c>
      <c r="BQ943" t="s">
        <v>74</v>
      </c>
      <c r="BR943" t="s">
        <v>103</v>
      </c>
      <c r="BS943" t="s">
        <v>17882</v>
      </c>
      <c r="BT943" t="str">
        <f>HYPERLINK("https%3A%2F%2Fwww.webofscience.com%2Fwos%2Fwoscc%2Ffull-record%2FWOS:000354577200010","View Full Record in Web of Science")</f>
        <v>View Full Record in Web of Science</v>
      </c>
    </row>
    <row r="944" spans="1:72" x14ac:dyDescent="0.15">
      <c r="A944" t="s">
        <v>72</v>
      </c>
      <c r="B944" t="s">
        <v>17883</v>
      </c>
      <c r="C944" t="s">
        <v>74</v>
      </c>
      <c r="D944" t="s">
        <v>74</v>
      </c>
      <c r="E944" t="s">
        <v>74</v>
      </c>
      <c r="F944" t="s">
        <v>17884</v>
      </c>
      <c r="G944" t="s">
        <v>74</v>
      </c>
      <c r="H944" t="s">
        <v>74</v>
      </c>
      <c r="I944" t="s">
        <v>17885</v>
      </c>
      <c r="J944" t="s">
        <v>4759</v>
      </c>
      <c r="K944" t="s">
        <v>74</v>
      </c>
      <c r="L944" t="s">
        <v>74</v>
      </c>
      <c r="M944" t="s">
        <v>78</v>
      </c>
      <c r="N944" t="s">
        <v>79</v>
      </c>
      <c r="O944" t="s">
        <v>74</v>
      </c>
      <c r="P944" t="s">
        <v>74</v>
      </c>
      <c r="Q944" t="s">
        <v>74</v>
      </c>
      <c r="R944" t="s">
        <v>74</v>
      </c>
      <c r="S944" t="s">
        <v>74</v>
      </c>
      <c r="T944" t="s">
        <v>17886</v>
      </c>
      <c r="U944" t="s">
        <v>17887</v>
      </c>
      <c r="V944" t="s">
        <v>17888</v>
      </c>
      <c r="W944" t="s">
        <v>17889</v>
      </c>
      <c r="X944" t="s">
        <v>17890</v>
      </c>
      <c r="Y944" t="s">
        <v>17891</v>
      </c>
      <c r="Z944" t="s">
        <v>17892</v>
      </c>
      <c r="AA944" t="s">
        <v>17893</v>
      </c>
      <c r="AB944" t="s">
        <v>17894</v>
      </c>
      <c r="AC944" t="s">
        <v>17895</v>
      </c>
      <c r="AD944" t="s">
        <v>17896</v>
      </c>
      <c r="AE944" t="s">
        <v>17897</v>
      </c>
      <c r="AF944" t="s">
        <v>74</v>
      </c>
      <c r="AG944">
        <v>62</v>
      </c>
      <c r="AH944">
        <v>14</v>
      </c>
      <c r="AI944">
        <v>16</v>
      </c>
      <c r="AJ944">
        <v>1</v>
      </c>
      <c r="AK944">
        <v>43</v>
      </c>
      <c r="AL944" t="s">
        <v>92</v>
      </c>
      <c r="AM944" t="s">
        <v>550</v>
      </c>
      <c r="AN944" t="s">
        <v>4772</v>
      </c>
      <c r="AO944" t="s">
        <v>4773</v>
      </c>
      <c r="AP944" t="s">
        <v>4774</v>
      </c>
      <c r="AQ944" t="s">
        <v>74</v>
      </c>
      <c r="AR944" t="s">
        <v>4775</v>
      </c>
      <c r="AS944" t="s">
        <v>4776</v>
      </c>
      <c r="AT944" t="s">
        <v>16741</v>
      </c>
      <c r="AU944">
        <v>2015</v>
      </c>
      <c r="AV944">
        <v>38</v>
      </c>
      <c r="AW944">
        <v>6</v>
      </c>
      <c r="AX944" t="s">
        <v>74</v>
      </c>
      <c r="AY944" t="s">
        <v>74</v>
      </c>
      <c r="AZ944" t="s">
        <v>74</v>
      </c>
      <c r="BA944" t="s">
        <v>74</v>
      </c>
      <c r="BB944">
        <v>763</v>
      </c>
      <c r="BC944">
        <v>780</v>
      </c>
      <c r="BD944" t="s">
        <v>74</v>
      </c>
      <c r="BE944" t="s">
        <v>17898</v>
      </c>
      <c r="BF944" t="str">
        <f>HYPERLINK("http://dx.doi.org/10.1007/s00300-014-1638-z","http://dx.doi.org/10.1007/s00300-014-1638-z")</f>
        <v>http://dx.doi.org/10.1007/s00300-014-1638-z</v>
      </c>
      <c r="BG944" t="s">
        <v>74</v>
      </c>
      <c r="BH944" t="s">
        <v>74</v>
      </c>
      <c r="BI944">
        <v>18</v>
      </c>
      <c r="BJ944" t="s">
        <v>4778</v>
      </c>
      <c r="BK944" t="s">
        <v>101</v>
      </c>
      <c r="BL944" t="s">
        <v>3806</v>
      </c>
      <c r="BM944" t="s">
        <v>17899</v>
      </c>
      <c r="BN944" t="s">
        <v>74</v>
      </c>
      <c r="BO944" t="s">
        <v>559</v>
      </c>
      <c r="BP944" t="s">
        <v>74</v>
      </c>
      <c r="BQ944" t="s">
        <v>74</v>
      </c>
      <c r="BR944" t="s">
        <v>103</v>
      </c>
      <c r="BS944" t="s">
        <v>17900</v>
      </c>
      <c r="BT944" t="str">
        <f>HYPERLINK("https%3A%2F%2Fwww.webofscience.com%2Fwos%2Fwoscc%2Ffull-record%2FWOS:000354806300002","View Full Record in Web of Science")</f>
        <v>View Full Record in Web of Science</v>
      </c>
    </row>
    <row r="945" spans="1:72" x14ac:dyDescent="0.15">
      <c r="A945" t="s">
        <v>72</v>
      </c>
      <c r="B945" t="s">
        <v>17901</v>
      </c>
      <c r="C945" t="s">
        <v>74</v>
      </c>
      <c r="D945" t="s">
        <v>74</v>
      </c>
      <c r="E945" t="s">
        <v>74</v>
      </c>
      <c r="F945" t="s">
        <v>17902</v>
      </c>
      <c r="G945" t="s">
        <v>74</v>
      </c>
      <c r="H945" t="s">
        <v>74</v>
      </c>
      <c r="I945" t="s">
        <v>17903</v>
      </c>
      <c r="J945" t="s">
        <v>4759</v>
      </c>
      <c r="K945" t="s">
        <v>74</v>
      </c>
      <c r="L945" t="s">
        <v>74</v>
      </c>
      <c r="M945" t="s">
        <v>78</v>
      </c>
      <c r="N945" t="s">
        <v>79</v>
      </c>
      <c r="O945" t="s">
        <v>74</v>
      </c>
      <c r="P945" t="s">
        <v>74</v>
      </c>
      <c r="Q945" t="s">
        <v>74</v>
      </c>
      <c r="R945" t="s">
        <v>74</v>
      </c>
      <c r="S945" t="s">
        <v>74</v>
      </c>
      <c r="T945" t="s">
        <v>17904</v>
      </c>
      <c r="U945" t="s">
        <v>17905</v>
      </c>
      <c r="V945" t="s">
        <v>17906</v>
      </c>
      <c r="W945" t="s">
        <v>17907</v>
      </c>
      <c r="X945" t="s">
        <v>17908</v>
      </c>
      <c r="Y945" t="s">
        <v>17909</v>
      </c>
      <c r="Z945" t="s">
        <v>6684</v>
      </c>
      <c r="AA945" t="s">
        <v>17910</v>
      </c>
      <c r="AB945" t="s">
        <v>17911</v>
      </c>
      <c r="AC945" t="s">
        <v>17912</v>
      </c>
      <c r="AD945" t="s">
        <v>17913</v>
      </c>
      <c r="AE945" t="s">
        <v>17914</v>
      </c>
      <c r="AF945" t="s">
        <v>74</v>
      </c>
      <c r="AG945">
        <v>84</v>
      </c>
      <c r="AH945">
        <v>17</v>
      </c>
      <c r="AI945">
        <v>19</v>
      </c>
      <c r="AJ945">
        <v>0</v>
      </c>
      <c r="AK945">
        <v>38</v>
      </c>
      <c r="AL945" t="s">
        <v>92</v>
      </c>
      <c r="AM945" t="s">
        <v>550</v>
      </c>
      <c r="AN945" t="s">
        <v>1398</v>
      </c>
      <c r="AO945" t="s">
        <v>4773</v>
      </c>
      <c r="AP945" t="s">
        <v>4774</v>
      </c>
      <c r="AQ945" t="s">
        <v>74</v>
      </c>
      <c r="AR945" t="s">
        <v>4775</v>
      </c>
      <c r="AS945" t="s">
        <v>4776</v>
      </c>
      <c r="AT945" t="s">
        <v>16741</v>
      </c>
      <c r="AU945">
        <v>2015</v>
      </c>
      <c r="AV945">
        <v>38</v>
      </c>
      <c r="AW945">
        <v>6</v>
      </c>
      <c r="AX945" t="s">
        <v>74</v>
      </c>
      <c r="AY945" t="s">
        <v>74</v>
      </c>
      <c r="AZ945" t="s">
        <v>74</v>
      </c>
      <c r="BA945" t="s">
        <v>74</v>
      </c>
      <c r="BB945">
        <v>799</v>
      </c>
      <c r="BC945">
        <v>813</v>
      </c>
      <c r="BD945" t="s">
        <v>74</v>
      </c>
      <c r="BE945" t="s">
        <v>17915</v>
      </c>
      <c r="BF945" t="str">
        <f>HYPERLINK("http://dx.doi.org/10.1007/s00300-014-1640-5","http://dx.doi.org/10.1007/s00300-014-1640-5")</f>
        <v>http://dx.doi.org/10.1007/s00300-014-1640-5</v>
      </c>
      <c r="BG945" t="s">
        <v>74</v>
      </c>
      <c r="BH945" t="s">
        <v>74</v>
      </c>
      <c r="BI945">
        <v>15</v>
      </c>
      <c r="BJ945" t="s">
        <v>4778</v>
      </c>
      <c r="BK945" t="s">
        <v>101</v>
      </c>
      <c r="BL945" t="s">
        <v>3806</v>
      </c>
      <c r="BM945" t="s">
        <v>17899</v>
      </c>
      <c r="BN945" t="s">
        <v>74</v>
      </c>
      <c r="BO945" t="s">
        <v>74</v>
      </c>
      <c r="BP945" t="s">
        <v>74</v>
      </c>
      <c r="BQ945" t="s">
        <v>74</v>
      </c>
      <c r="BR945" t="s">
        <v>103</v>
      </c>
      <c r="BS945" t="s">
        <v>17916</v>
      </c>
      <c r="BT945" t="str">
        <f>HYPERLINK("https%3A%2F%2Fwww.webofscience.com%2Fwos%2Fwoscc%2Ffull-record%2FWOS:000354806300004","View Full Record in Web of Science")</f>
        <v>View Full Record in Web of Science</v>
      </c>
    </row>
    <row r="946" spans="1:72" x14ac:dyDescent="0.15">
      <c r="A946" t="s">
        <v>72</v>
      </c>
      <c r="B946" t="s">
        <v>17917</v>
      </c>
      <c r="C946" t="s">
        <v>74</v>
      </c>
      <c r="D946" t="s">
        <v>74</v>
      </c>
      <c r="E946" t="s">
        <v>74</v>
      </c>
      <c r="F946" t="s">
        <v>17918</v>
      </c>
      <c r="G946" t="s">
        <v>74</v>
      </c>
      <c r="H946" t="s">
        <v>74</v>
      </c>
      <c r="I946" t="s">
        <v>17919</v>
      </c>
      <c r="J946" t="s">
        <v>17920</v>
      </c>
      <c r="K946" t="s">
        <v>74</v>
      </c>
      <c r="L946" t="s">
        <v>74</v>
      </c>
      <c r="M946" t="s">
        <v>78</v>
      </c>
      <c r="N946" t="s">
        <v>79</v>
      </c>
      <c r="O946" t="s">
        <v>74</v>
      </c>
      <c r="P946" t="s">
        <v>74</v>
      </c>
      <c r="Q946" t="s">
        <v>74</v>
      </c>
      <c r="R946" t="s">
        <v>74</v>
      </c>
      <c r="S946" t="s">
        <v>74</v>
      </c>
      <c r="T946" t="s">
        <v>17921</v>
      </c>
      <c r="U946" t="s">
        <v>17922</v>
      </c>
      <c r="V946" t="s">
        <v>17923</v>
      </c>
      <c r="W946" t="s">
        <v>17924</v>
      </c>
      <c r="X946" t="s">
        <v>17925</v>
      </c>
      <c r="Y946" t="s">
        <v>17926</v>
      </c>
      <c r="Z946" t="s">
        <v>17927</v>
      </c>
      <c r="AA946" t="s">
        <v>17928</v>
      </c>
      <c r="AB946" t="s">
        <v>17929</v>
      </c>
      <c r="AC946" t="s">
        <v>17930</v>
      </c>
      <c r="AD946" t="s">
        <v>17931</v>
      </c>
      <c r="AE946" t="s">
        <v>17932</v>
      </c>
      <c r="AF946" t="s">
        <v>74</v>
      </c>
      <c r="AG946">
        <v>59</v>
      </c>
      <c r="AH946">
        <v>23</v>
      </c>
      <c r="AI946">
        <v>26</v>
      </c>
      <c r="AJ946">
        <v>1</v>
      </c>
      <c r="AK946">
        <v>54</v>
      </c>
      <c r="AL946" t="s">
        <v>92</v>
      </c>
      <c r="AM946" t="s">
        <v>550</v>
      </c>
      <c r="AN946" t="s">
        <v>4772</v>
      </c>
      <c r="AO946" t="s">
        <v>17933</v>
      </c>
      <c r="AP946" t="s">
        <v>17934</v>
      </c>
      <c r="AQ946" t="s">
        <v>74</v>
      </c>
      <c r="AR946" t="s">
        <v>17935</v>
      </c>
      <c r="AS946" t="s">
        <v>17936</v>
      </c>
      <c r="AT946" t="s">
        <v>16741</v>
      </c>
      <c r="AU946">
        <v>2015</v>
      </c>
      <c r="AV946">
        <v>18</v>
      </c>
      <c r="AW946">
        <v>2</v>
      </c>
      <c r="AX946" t="s">
        <v>74</v>
      </c>
      <c r="AY946" t="s">
        <v>74</v>
      </c>
      <c r="AZ946" t="s">
        <v>931</v>
      </c>
      <c r="BA946" t="s">
        <v>74</v>
      </c>
      <c r="BB946">
        <v>517</v>
      </c>
      <c r="BC946">
        <v>529</v>
      </c>
      <c r="BD946" t="s">
        <v>74</v>
      </c>
      <c r="BE946" t="s">
        <v>17937</v>
      </c>
      <c r="BF946" t="str">
        <f>HYPERLINK("http://dx.doi.org/10.1007/s10586-015-0422-3","http://dx.doi.org/10.1007/s10586-015-0422-3")</f>
        <v>http://dx.doi.org/10.1007/s10586-015-0422-3</v>
      </c>
      <c r="BG946" t="s">
        <v>74</v>
      </c>
      <c r="BH946" t="s">
        <v>74</v>
      </c>
      <c r="BI946">
        <v>13</v>
      </c>
      <c r="BJ946" t="s">
        <v>17938</v>
      </c>
      <c r="BK946" t="s">
        <v>101</v>
      </c>
      <c r="BL946" t="s">
        <v>17939</v>
      </c>
      <c r="BM946" t="s">
        <v>17940</v>
      </c>
      <c r="BN946" t="s">
        <v>74</v>
      </c>
      <c r="BO946" t="s">
        <v>290</v>
      </c>
      <c r="BP946" t="s">
        <v>74</v>
      </c>
      <c r="BQ946" t="s">
        <v>74</v>
      </c>
      <c r="BR946" t="s">
        <v>103</v>
      </c>
      <c r="BS946" t="s">
        <v>17941</v>
      </c>
      <c r="BT946" t="str">
        <f>HYPERLINK("https%3A%2F%2Fwww.webofscience.com%2Fwos%2Fwoscc%2Ffull-record%2FWOS:000354412400003","View Full Record in Web of Science")</f>
        <v>View Full Record in Web of Science</v>
      </c>
    </row>
    <row r="947" spans="1:72" x14ac:dyDescent="0.15">
      <c r="A947" t="s">
        <v>72</v>
      </c>
      <c r="B947" t="s">
        <v>17942</v>
      </c>
      <c r="C947" t="s">
        <v>74</v>
      </c>
      <c r="D947" t="s">
        <v>74</v>
      </c>
      <c r="E947" t="s">
        <v>74</v>
      </c>
      <c r="F947" t="s">
        <v>17943</v>
      </c>
      <c r="G947" t="s">
        <v>74</v>
      </c>
      <c r="H947" t="s">
        <v>74</v>
      </c>
      <c r="I947" t="s">
        <v>17944</v>
      </c>
      <c r="J947" t="s">
        <v>17945</v>
      </c>
      <c r="K947" t="s">
        <v>74</v>
      </c>
      <c r="L947" t="s">
        <v>74</v>
      </c>
      <c r="M947" t="s">
        <v>78</v>
      </c>
      <c r="N947" t="s">
        <v>79</v>
      </c>
      <c r="O947" t="s">
        <v>74</v>
      </c>
      <c r="P947" t="s">
        <v>74</v>
      </c>
      <c r="Q947" t="s">
        <v>74</v>
      </c>
      <c r="R947" t="s">
        <v>74</v>
      </c>
      <c r="S947" t="s">
        <v>74</v>
      </c>
      <c r="T947" t="s">
        <v>17946</v>
      </c>
      <c r="U947" t="s">
        <v>17947</v>
      </c>
      <c r="V947" t="s">
        <v>17948</v>
      </c>
      <c r="W947" t="s">
        <v>17949</v>
      </c>
      <c r="X947" t="s">
        <v>17950</v>
      </c>
      <c r="Y947" t="s">
        <v>17951</v>
      </c>
      <c r="Z947" t="s">
        <v>17952</v>
      </c>
      <c r="AA947" t="s">
        <v>17953</v>
      </c>
      <c r="AB947" t="s">
        <v>17954</v>
      </c>
      <c r="AC947" t="s">
        <v>17955</v>
      </c>
      <c r="AD947" t="s">
        <v>17956</v>
      </c>
      <c r="AE947" t="s">
        <v>17957</v>
      </c>
      <c r="AF947" t="s">
        <v>74</v>
      </c>
      <c r="AG947">
        <v>63</v>
      </c>
      <c r="AH947">
        <v>17</v>
      </c>
      <c r="AI947">
        <v>18</v>
      </c>
      <c r="AJ947">
        <v>0</v>
      </c>
      <c r="AK947">
        <v>36</v>
      </c>
      <c r="AL947" t="s">
        <v>1974</v>
      </c>
      <c r="AM947" t="s">
        <v>180</v>
      </c>
      <c r="AN947" t="s">
        <v>1975</v>
      </c>
      <c r="AO947" t="s">
        <v>17958</v>
      </c>
      <c r="AP947" t="s">
        <v>17959</v>
      </c>
      <c r="AQ947" t="s">
        <v>74</v>
      </c>
      <c r="AR947" t="s">
        <v>17960</v>
      </c>
      <c r="AS947" t="s">
        <v>17961</v>
      </c>
      <c r="AT947" t="s">
        <v>16741</v>
      </c>
      <c r="AU947">
        <v>2015</v>
      </c>
      <c r="AV947">
        <v>44</v>
      </c>
      <c r="AW947">
        <v>2</v>
      </c>
      <c r="AX947" t="s">
        <v>74</v>
      </c>
      <c r="AY947" t="s">
        <v>74</v>
      </c>
      <c r="AZ947" t="s">
        <v>74</v>
      </c>
      <c r="BA947" t="s">
        <v>74</v>
      </c>
      <c r="BB947">
        <v>592</v>
      </c>
      <c r="BC947">
        <v>602</v>
      </c>
      <c r="BD947" t="s">
        <v>74</v>
      </c>
      <c r="BE947" t="s">
        <v>17962</v>
      </c>
      <c r="BF947" t="str">
        <f>HYPERLINK("http://dx.doi.org/10.1016/j.fsi.2015.03.016","http://dx.doi.org/10.1016/j.fsi.2015.03.016")</f>
        <v>http://dx.doi.org/10.1016/j.fsi.2015.03.016</v>
      </c>
      <c r="BG947" t="s">
        <v>74</v>
      </c>
      <c r="BH947" t="s">
        <v>74</v>
      </c>
      <c r="BI947">
        <v>11</v>
      </c>
      <c r="BJ947" t="s">
        <v>17963</v>
      </c>
      <c r="BK947" t="s">
        <v>101</v>
      </c>
      <c r="BL947" t="s">
        <v>17963</v>
      </c>
      <c r="BM947" t="s">
        <v>17964</v>
      </c>
      <c r="BN947">
        <v>25804487</v>
      </c>
      <c r="BO947" t="s">
        <v>74</v>
      </c>
      <c r="BP947" t="s">
        <v>74</v>
      </c>
      <c r="BQ947" t="s">
        <v>74</v>
      </c>
      <c r="BR947" t="s">
        <v>103</v>
      </c>
      <c r="BS947" t="s">
        <v>17965</v>
      </c>
      <c r="BT947" t="str">
        <f>HYPERLINK("https%3A%2F%2Fwww.webofscience.com%2Fwos%2Fwoscc%2Ffull-record%2FWOS:000354583800024","View Full Record in Web of Science")</f>
        <v>View Full Record in Web of Science</v>
      </c>
    </row>
    <row r="948" spans="1:72" x14ac:dyDescent="0.15">
      <c r="A948" t="s">
        <v>72</v>
      </c>
      <c r="B948" t="s">
        <v>17966</v>
      </c>
      <c r="C948" t="s">
        <v>74</v>
      </c>
      <c r="D948" t="s">
        <v>74</v>
      </c>
      <c r="E948" t="s">
        <v>74</v>
      </c>
      <c r="F948" t="s">
        <v>17967</v>
      </c>
      <c r="G948" t="s">
        <v>74</v>
      </c>
      <c r="H948" t="s">
        <v>74</v>
      </c>
      <c r="I948" t="s">
        <v>17968</v>
      </c>
      <c r="J948" t="s">
        <v>4716</v>
      </c>
      <c r="K948" t="s">
        <v>74</v>
      </c>
      <c r="L948" t="s">
        <v>74</v>
      </c>
      <c r="M948" t="s">
        <v>78</v>
      </c>
      <c r="N948" t="s">
        <v>79</v>
      </c>
      <c r="O948" t="s">
        <v>74</v>
      </c>
      <c r="P948" t="s">
        <v>74</v>
      </c>
      <c r="Q948" t="s">
        <v>74</v>
      </c>
      <c r="R948" t="s">
        <v>74</v>
      </c>
      <c r="S948" t="s">
        <v>74</v>
      </c>
      <c r="T948" t="s">
        <v>17969</v>
      </c>
      <c r="U948" t="s">
        <v>17970</v>
      </c>
      <c r="V948" t="s">
        <v>17971</v>
      </c>
      <c r="W948" t="s">
        <v>17972</v>
      </c>
      <c r="X948" t="s">
        <v>17973</v>
      </c>
      <c r="Y948" t="s">
        <v>17974</v>
      </c>
      <c r="Z948" t="s">
        <v>17975</v>
      </c>
      <c r="AA948" t="s">
        <v>17976</v>
      </c>
      <c r="AB948" t="s">
        <v>17977</v>
      </c>
      <c r="AC948" t="s">
        <v>17978</v>
      </c>
      <c r="AD948" t="s">
        <v>17979</v>
      </c>
      <c r="AE948" t="s">
        <v>17980</v>
      </c>
      <c r="AF948" t="s">
        <v>74</v>
      </c>
      <c r="AG948">
        <v>80</v>
      </c>
      <c r="AH948">
        <v>3</v>
      </c>
      <c r="AI948">
        <v>4</v>
      </c>
      <c r="AJ948">
        <v>2</v>
      </c>
      <c r="AK948">
        <v>35</v>
      </c>
      <c r="AL948" t="s">
        <v>883</v>
      </c>
      <c r="AM948" t="s">
        <v>884</v>
      </c>
      <c r="AN948" t="s">
        <v>885</v>
      </c>
      <c r="AO948" t="s">
        <v>4729</v>
      </c>
      <c r="AP948" t="s">
        <v>4730</v>
      </c>
      <c r="AQ948" t="s">
        <v>74</v>
      </c>
      <c r="AR948" t="s">
        <v>4731</v>
      </c>
      <c r="AS948" t="s">
        <v>4732</v>
      </c>
      <c r="AT948" t="s">
        <v>17740</v>
      </c>
      <c r="AU948">
        <v>2015</v>
      </c>
      <c r="AV948">
        <v>427</v>
      </c>
      <c r="AW948" t="s">
        <v>74</v>
      </c>
      <c r="AX948" t="s">
        <v>74</v>
      </c>
      <c r="AY948" t="s">
        <v>74</v>
      </c>
      <c r="AZ948" t="s">
        <v>74</v>
      </c>
      <c r="BA948" t="s">
        <v>74</v>
      </c>
      <c r="BB948">
        <v>20</v>
      </c>
      <c r="BC948">
        <v>31</v>
      </c>
      <c r="BD948" t="s">
        <v>74</v>
      </c>
      <c r="BE948" t="s">
        <v>17981</v>
      </c>
      <c r="BF948" t="str">
        <f>HYPERLINK("http://dx.doi.org/10.1016/j.palaeo.2015.03.006","http://dx.doi.org/10.1016/j.palaeo.2015.03.006")</f>
        <v>http://dx.doi.org/10.1016/j.palaeo.2015.03.006</v>
      </c>
      <c r="BG948" t="s">
        <v>74</v>
      </c>
      <c r="BH948" t="s">
        <v>74</v>
      </c>
      <c r="BI948">
        <v>12</v>
      </c>
      <c r="BJ948" t="s">
        <v>4734</v>
      </c>
      <c r="BK948" t="s">
        <v>101</v>
      </c>
      <c r="BL948" t="s">
        <v>4735</v>
      </c>
      <c r="BM948" t="s">
        <v>17982</v>
      </c>
      <c r="BN948" t="s">
        <v>74</v>
      </c>
      <c r="BO948" t="s">
        <v>1213</v>
      </c>
      <c r="BP948" t="s">
        <v>74</v>
      </c>
      <c r="BQ948" t="s">
        <v>74</v>
      </c>
      <c r="BR948" t="s">
        <v>103</v>
      </c>
      <c r="BS948" t="s">
        <v>17983</v>
      </c>
      <c r="BT948" t="str">
        <f>HYPERLINK("https%3A%2F%2Fwww.webofscience.com%2Fwos%2Fwoscc%2Ffull-record%2FWOS:000354590500002","View Full Record in Web of Science")</f>
        <v>View Full Record in Web of Science</v>
      </c>
    </row>
    <row r="949" spans="1:72" x14ac:dyDescent="0.15">
      <c r="A949" t="s">
        <v>72</v>
      </c>
      <c r="B949" t="s">
        <v>17984</v>
      </c>
      <c r="C949" t="s">
        <v>74</v>
      </c>
      <c r="D949" t="s">
        <v>74</v>
      </c>
      <c r="E949" t="s">
        <v>74</v>
      </c>
      <c r="F949" t="s">
        <v>17985</v>
      </c>
      <c r="G949" t="s">
        <v>74</v>
      </c>
      <c r="H949" t="s">
        <v>74</v>
      </c>
      <c r="I949" t="s">
        <v>17986</v>
      </c>
      <c r="J949" t="s">
        <v>17987</v>
      </c>
      <c r="K949" t="s">
        <v>74</v>
      </c>
      <c r="L949" t="s">
        <v>74</v>
      </c>
      <c r="M949" t="s">
        <v>78</v>
      </c>
      <c r="N949" t="s">
        <v>79</v>
      </c>
      <c r="O949" t="s">
        <v>74</v>
      </c>
      <c r="P949" t="s">
        <v>74</v>
      </c>
      <c r="Q949" t="s">
        <v>74</v>
      </c>
      <c r="R949" t="s">
        <v>74</v>
      </c>
      <c r="S949" t="s">
        <v>74</v>
      </c>
      <c r="T949" t="s">
        <v>17988</v>
      </c>
      <c r="U949" t="s">
        <v>17989</v>
      </c>
      <c r="V949" t="s">
        <v>17990</v>
      </c>
      <c r="W949" t="s">
        <v>17991</v>
      </c>
      <c r="X949" t="s">
        <v>17065</v>
      </c>
      <c r="Y949" t="s">
        <v>17992</v>
      </c>
      <c r="Z949" t="s">
        <v>17993</v>
      </c>
      <c r="AA949" t="s">
        <v>17994</v>
      </c>
      <c r="AB949" t="s">
        <v>74</v>
      </c>
      <c r="AC949" t="s">
        <v>17995</v>
      </c>
      <c r="AD949" t="s">
        <v>17996</v>
      </c>
      <c r="AE949" t="s">
        <v>17997</v>
      </c>
      <c r="AF949" t="s">
        <v>74</v>
      </c>
      <c r="AG949">
        <v>41</v>
      </c>
      <c r="AH949">
        <v>26</v>
      </c>
      <c r="AI949">
        <v>36</v>
      </c>
      <c r="AJ949">
        <v>6</v>
      </c>
      <c r="AK949">
        <v>67</v>
      </c>
      <c r="AL949" t="s">
        <v>6897</v>
      </c>
      <c r="AM949" t="s">
        <v>550</v>
      </c>
      <c r="AN949" t="s">
        <v>8757</v>
      </c>
      <c r="AO949" t="s">
        <v>17998</v>
      </c>
      <c r="AP949" t="s">
        <v>17999</v>
      </c>
      <c r="AQ949" t="s">
        <v>74</v>
      </c>
      <c r="AR949" t="s">
        <v>17987</v>
      </c>
      <c r="AS949" t="s">
        <v>18000</v>
      </c>
      <c r="AT949" t="s">
        <v>16741</v>
      </c>
      <c r="AU949">
        <v>2015</v>
      </c>
      <c r="AV949">
        <v>68</v>
      </c>
      <c r="AW949" t="s">
        <v>74</v>
      </c>
      <c r="AX949" t="s">
        <v>74</v>
      </c>
      <c r="AY949" t="s">
        <v>74</v>
      </c>
      <c r="AZ949" t="s">
        <v>74</v>
      </c>
      <c r="BA949" t="s">
        <v>74</v>
      </c>
      <c r="BB949">
        <v>239</v>
      </c>
      <c r="BC949">
        <v>245</v>
      </c>
      <c r="BD949" t="s">
        <v>74</v>
      </c>
      <c r="BE949" t="s">
        <v>18001</v>
      </c>
      <c r="BF949" t="str">
        <f>HYPERLINK("http://dx.doi.org/10.1016/j.peptides.2014.10.004","http://dx.doi.org/10.1016/j.peptides.2014.10.004")</f>
        <v>http://dx.doi.org/10.1016/j.peptides.2014.10.004</v>
      </c>
      <c r="BG949" t="s">
        <v>74</v>
      </c>
      <c r="BH949" t="s">
        <v>74</v>
      </c>
      <c r="BI949">
        <v>7</v>
      </c>
      <c r="BJ949" t="s">
        <v>18002</v>
      </c>
      <c r="BK949" t="s">
        <v>101</v>
      </c>
      <c r="BL949" t="s">
        <v>18002</v>
      </c>
      <c r="BM949" t="s">
        <v>18003</v>
      </c>
      <c r="BN949">
        <v>25445604</v>
      </c>
      <c r="BO949" t="s">
        <v>74</v>
      </c>
      <c r="BP949" t="s">
        <v>74</v>
      </c>
      <c r="BQ949" t="s">
        <v>74</v>
      </c>
      <c r="BR949" t="s">
        <v>103</v>
      </c>
      <c r="BS949" t="s">
        <v>18004</v>
      </c>
      <c r="BT949" t="str">
        <f>HYPERLINK("https%3A%2F%2Fwww.webofscience.com%2Fwos%2Fwoscc%2Ffull-record%2FWOS:000354572200034","View Full Record in Web of Science")</f>
        <v>View Full Record in Web of Science</v>
      </c>
    </row>
    <row r="950" spans="1:72" x14ac:dyDescent="0.15">
      <c r="A950" t="s">
        <v>72</v>
      </c>
      <c r="B950" t="s">
        <v>3629</v>
      </c>
      <c r="C950" t="s">
        <v>74</v>
      </c>
      <c r="D950" t="s">
        <v>74</v>
      </c>
      <c r="E950" t="s">
        <v>74</v>
      </c>
      <c r="F950" t="s">
        <v>3630</v>
      </c>
      <c r="G950" t="s">
        <v>74</v>
      </c>
      <c r="H950" t="s">
        <v>74</v>
      </c>
      <c r="I950" t="s">
        <v>18005</v>
      </c>
      <c r="J950" t="s">
        <v>2691</v>
      </c>
      <c r="K950" t="s">
        <v>74</v>
      </c>
      <c r="L950" t="s">
        <v>74</v>
      </c>
      <c r="M950" t="s">
        <v>78</v>
      </c>
      <c r="N950" t="s">
        <v>754</v>
      </c>
      <c r="O950" t="s">
        <v>74</v>
      </c>
      <c r="P950" t="s">
        <v>74</v>
      </c>
      <c r="Q950" t="s">
        <v>74</v>
      </c>
      <c r="R950" t="s">
        <v>74</v>
      </c>
      <c r="S950" t="s">
        <v>74</v>
      </c>
      <c r="T950" t="s">
        <v>74</v>
      </c>
      <c r="U950" t="s">
        <v>74</v>
      </c>
      <c r="V950" t="s">
        <v>74</v>
      </c>
      <c r="W950" t="s">
        <v>74</v>
      </c>
      <c r="X950" t="s">
        <v>74</v>
      </c>
      <c r="Y950" t="s">
        <v>74</v>
      </c>
      <c r="Z950" t="s">
        <v>74</v>
      </c>
      <c r="AA950" t="s">
        <v>74</v>
      </c>
      <c r="AB950" t="s">
        <v>74</v>
      </c>
      <c r="AC950" t="s">
        <v>74</v>
      </c>
      <c r="AD950" t="s">
        <v>74</v>
      </c>
      <c r="AE950" t="s">
        <v>74</v>
      </c>
      <c r="AF950" t="s">
        <v>74</v>
      </c>
      <c r="AG950">
        <v>0</v>
      </c>
      <c r="AH950">
        <v>0</v>
      </c>
      <c r="AI950">
        <v>0</v>
      </c>
      <c r="AJ950">
        <v>0</v>
      </c>
      <c r="AK950">
        <v>3</v>
      </c>
      <c r="AL950" t="s">
        <v>741</v>
      </c>
      <c r="AM950" t="s">
        <v>550</v>
      </c>
      <c r="AN950" t="s">
        <v>742</v>
      </c>
      <c r="AO950" t="s">
        <v>2704</v>
      </c>
      <c r="AP950" t="s">
        <v>2705</v>
      </c>
      <c r="AQ950" t="s">
        <v>74</v>
      </c>
      <c r="AR950" t="s">
        <v>2706</v>
      </c>
      <c r="AS950" t="s">
        <v>2707</v>
      </c>
      <c r="AT950" t="s">
        <v>16741</v>
      </c>
      <c r="AU950">
        <v>2015</v>
      </c>
      <c r="AV950">
        <v>27</v>
      </c>
      <c r="AW950">
        <v>3</v>
      </c>
      <c r="AX950" t="s">
        <v>74</v>
      </c>
      <c r="AY950" t="s">
        <v>74</v>
      </c>
      <c r="AZ950" t="s">
        <v>74</v>
      </c>
      <c r="BA950" t="s">
        <v>74</v>
      </c>
      <c r="BB950">
        <v>223</v>
      </c>
      <c r="BC950">
        <v>223</v>
      </c>
      <c r="BD950" t="s">
        <v>74</v>
      </c>
      <c r="BE950" t="s">
        <v>18006</v>
      </c>
      <c r="BF950" t="str">
        <f>HYPERLINK("http://dx.doi.org/10.1017/S095410201500022X","http://dx.doi.org/10.1017/S095410201500022X")</f>
        <v>http://dx.doi.org/10.1017/S095410201500022X</v>
      </c>
      <c r="BG950" t="s">
        <v>74</v>
      </c>
      <c r="BH950" t="s">
        <v>74</v>
      </c>
      <c r="BI950">
        <v>1</v>
      </c>
      <c r="BJ950" t="s">
        <v>2709</v>
      </c>
      <c r="BK950" t="s">
        <v>101</v>
      </c>
      <c r="BL950" t="s">
        <v>2710</v>
      </c>
      <c r="BM950" t="s">
        <v>17242</v>
      </c>
      <c r="BN950" t="s">
        <v>74</v>
      </c>
      <c r="BO950" t="s">
        <v>162</v>
      </c>
      <c r="BP950" t="s">
        <v>74</v>
      </c>
      <c r="BQ950" t="s">
        <v>74</v>
      </c>
      <c r="BR950" t="s">
        <v>103</v>
      </c>
      <c r="BS950" t="s">
        <v>18007</v>
      </c>
      <c r="BT950" t="str">
        <f>HYPERLINK("https%3A%2F%2Fwww.webofscience.com%2Fwos%2Fwoscc%2Ffull-record%2FWOS:000356492300001","View Full Record in Web of Science")</f>
        <v>View Full Record in Web of Science</v>
      </c>
    </row>
    <row r="951" spans="1:72" x14ac:dyDescent="0.15">
      <c r="A951" t="s">
        <v>72</v>
      </c>
      <c r="B951" t="s">
        <v>18008</v>
      </c>
      <c r="C951" t="s">
        <v>74</v>
      </c>
      <c r="D951" t="s">
        <v>74</v>
      </c>
      <c r="E951" t="s">
        <v>74</v>
      </c>
      <c r="F951" t="s">
        <v>18009</v>
      </c>
      <c r="G951" t="s">
        <v>74</v>
      </c>
      <c r="H951" t="s">
        <v>74</v>
      </c>
      <c r="I951" t="s">
        <v>18010</v>
      </c>
      <c r="J951" t="s">
        <v>14115</v>
      </c>
      <c r="K951" t="s">
        <v>74</v>
      </c>
      <c r="L951" t="s">
        <v>74</v>
      </c>
      <c r="M951" t="s">
        <v>78</v>
      </c>
      <c r="N951" t="s">
        <v>79</v>
      </c>
      <c r="O951" t="s">
        <v>74</v>
      </c>
      <c r="P951" t="s">
        <v>74</v>
      </c>
      <c r="Q951" t="s">
        <v>74</v>
      </c>
      <c r="R951" t="s">
        <v>74</v>
      </c>
      <c r="S951" t="s">
        <v>74</v>
      </c>
      <c r="T951" t="s">
        <v>18011</v>
      </c>
      <c r="U951" t="s">
        <v>18012</v>
      </c>
      <c r="V951" t="s">
        <v>18013</v>
      </c>
      <c r="W951" t="s">
        <v>18014</v>
      </c>
      <c r="X951" t="s">
        <v>18015</v>
      </c>
      <c r="Y951" t="s">
        <v>18016</v>
      </c>
      <c r="Z951" t="s">
        <v>18017</v>
      </c>
      <c r="AA951" t="s">
        <v>18018</v>
      </c>
      <c r="AB951" t="s">
        <v>18019</v>
      </c>
      <c r="AC951" t="s">
        <v>18020</v>
      </c>
      <c r="AD951" t="s">
        <v>18021</v>
      </c>
      <c r="AE951" t="s">
        <v>18022</v>
      </c>
      <c r="AF951" t="s">
        <v>74</v>
      </c>
      <c r="AG951">
        <v>40</v>
      </c>
      <c r="AH951">
        <v>24</v>
      </c>
      <c r="AI951">
        <v>25</v>
      </c>
      <c r="AJ951">
        <v>1</v>
      </c>
      <c r="AK951">
        <v>18</v>
      </c>
      <c r="AL951" t="s">
        <v>92</v>
      </c>
      <c r="AM951" t="s">
        <v>550</v>
      </c>
      <c r="AN951" t="s">
        <v>1398</v>
      </c>
      <c r="AO951" t="s">
        <v>14125</v>
      </c>
      <c r="AP951" t="s">
        <v>14126</v>
      </c>
      <c r="AQ951" t="s">
        <v>74</v>
      </c>
      <c r="AR951" t="s">
        <v>14127</v>
      </c>
      <c r="AS951" t="s">
        <v>14128</v>
      </c>
      <c r="AT951" t="s">
        <v>16741</v>
      </c>
      <c r="AU951">
        <v>2015</v>
      </c>
      <c r="AV951">
        <v>77</v>
      </c>
      <c r="AW951">
        <v>6</v>
      </c>
      <c r="AX951" t="s">
        <v>74</v>
      </c>
      <c r="AY951" t="s">
        <v>74</v>
      </c>
      <c r="AZ951" t="s">
        <v>74</v>
      </c>
      <c r="BA951" t="s">
        <v>74</v>
      </c>
      <c r="BB951" t="s">
        <v>74</v>
      </c>
      <c r="BC951" t="s">
        <v>74</v>
      </c>
      <c r="BD951">
        <v>56</v>
      </c>
      <c r="BE951" t="s">
        <v>18023</v>
      </c>
      <c r="BF951" t="str">
        <f>HYPERLINK("http://dx.doi.org/10.1007/s00445-015-0941-z","http://dx.doi.org/10.1007/s00445-015-0941-z")</f>
        <v>http://dx.doi.org/10.1007/s00445-015-0941-z</v>
      </c>
      <c r="BG951" t="s">
        <v>74</v>
      </c>
      <c r="BH951" t="s">
        <v>74</v>
      </c>
      <c r="BI951">
        <v>15</v>
      </c>
      <c r="BJ951" t="s">
        <v>314</v>
      </c>
      <c r="BK951" t="s">
        <v>101</v>
      </c>
      <c r="BL951" t="s">
        <v>315</v>
      </c>
      <c r="BM951" t="s">
        <v>18024</v>
      </c>
      <c r="BN951" t="s">
        <v>74</v>
      </c>
      <c r="BO951" t="s">
        <v>1235</v>
      </c>
      <c r="BP951" t="s">
        <v>74</v>
      </c>
      <c r="BQ951" t="s">
        <v>74</v>
      </c>
      <c r="BR951" t="s">
        <v>103</v>
      </c>
      <c r="BS951" t="s">
        <v>18025</v>
      </c>
      <c r="BT951" t="str">
        <f>HYPERLINK("https%3A%2F%2Fwww.webofscience.com%2Fwos%2Fwoscc%2Ffull-record%2FWOS:000355926000011","View Full Record in Web of Science")</f>
        <v>View Full Record in Web of Science</v>
      </c>
    </row>
    <row r="952" spans="1:72" x14ac:dyDescent="0.15">
      <c r="A952" t="s">
        <v>72</v>
      </c>
      <c r="B952" t="s">
        <v>18026</v>
      </c>
      <c r="C952" t="s">
        <v>74</v>
      </c>
      <c r="D952" t="s">
        <v>74</v>
      </c>
      <c r="E952" t="s">
        <v>74</v>
      </c>
      <c r="F952" t="s">
        <v>18027</v>
      </c>
      <c r="G952" t="s">
        <v>74</v>
      </c>
      <c r="H952" t="s">
        <v>74</v>
      </c>
      <c r="I952" t="s">
        <v>18028</v>
      </c>
      <c r="J952" t="s">
        <v>18029</v>
      </c>
      <c r="K952" t="s">
        <v>74</v>
      </c>
      <c r="L952" t="s">
        <v>74</v>
      </c>
      <c r="M952" t="s">
        <v>78</v>
      </c>
      <c r="N952" t="s">
        <v>79</v>
      </c>
      <c r="O952" t="s">
        <v>74</v>
      </c>
      <c r="P952" t="s">
        <v>74</v>
      </c>
      <c r="Q952" t="s">
        <v>74</v>
      </c>
      <c r="R952" t="s">
        <v>74</v>
      </c>
      <c r="S952" t="s">
        <v>74</v>
      </c>
      <c r="T952" t="s">
        <v>74</v>
      </c>
      <c r="U952" t="s">
        <v>18030</v>
      </c>
      <c r="V952" t="s">
        <v>18031</v>
      </c>
      <c r="W952" t="s">
        <v>18032</v>
      </c>
      <c r="X952" t="s">
        <v>18033</v>
      </c>
      <c r="Y952" t="s">
        <v>18034</v>
      </c>
      <c r="Z952" t="s">
        <v>18035</v>
      </c>
      <c r="AA952" t="s">
        <v>74</v>
      </c>
      <c r="AB952" t="s">
        <v>74</v>
      </c>
      <c r="AC952" t="s">
        <v>18036</v>
      </c>
      <c r="AD952" t="s">
        <v>18037</v>
      </c>
      <c r="AE952" t="s">
        <v>18038</v>
      </c>
      <c r="AF952" t="s">
        <v>74</v>
      </c>
      <c r="AG952">
        <v>22</v>
      </c>
      <c r="AH952">
        <v>3</v>
      </c>
      <c r="AI952">
        <v>3</v>
      </c>
      <c r="AJ952">
        <v>0</v>
      </c>
      <c r="AK952">
        <v>2</v>
      </c>
      <c r="AL952" t="s">
        <v>6460</v>
      </c>
      <c r="AM952" t="s">
        <v>3041</v>
      </c>
      <c r="AN952" t="s">
        <v>6461</v>
      </c>
      <c r="AO952" t="s">
        <v>18039</v>
      </c>
      <c r="AP952" t="s">
        <v>74</v>
      </c>
      <c r="AQ952" t="s">
        <v>74</v>
      </c>
      <c r="AR952" t="s">
        <v>18029</v>
      </c>
      <c r="AS952" t="s">
        <v>18040</v>
      </c>
      <c r="AT952" t="s">
        <v>16741</v>
      </c>
      <c r="AU952">
        <v>2015</v>
      </c>
      <c r="AV952">
        <v>3</v>
      </c>
      <c r="AW952">
        <v>2</v>
      </c>
      <c r="AX952" t="s">
        <v>74</v>
      </c>
      <c r="AY952" t="s">
        <v>74</v>
      </c>
      <c r="AZ952" t="s">
        <v>74</v>
      </c>
      <c r="BA952" t="s">
        <v>74</v>
      </c>
      <c r="BB952">
        <v>349</v>
      </c>
      <c r="BC952">
        <v>364</v>
      </c>
      <c r="BD952" t="s">
        <v>74</v>
      </c>
      <c r="BE952" t="s">
        <v>18041</v>
      </c>
      <c r="BF952" t="str">
        <f>HYPERLINK("http://dx.doi.org/10.3390/cli3020349","http://dx.doi.org/10.3390/cli3020349")</f>
        <v>http://dx.doi.org/10.3390/cli3020349</v>
      </c>
      <c r="BG952" t="s">
        <v>74</v>
      </c>
      <c r="BH952" t="s">
        <v>74</v>
      </c>
      <c r="BI952">
        <v>16</v>
      </c>
      <c r="BJ952" t="s">
        <v>271</v>
      </c>
      <c r="BK952" t="s">
        <v>831</v>
      </c>
      <c r="BL952" t="s">
        <v>271</v>
      </c>
      <c r="BM952" t="s">
        <v>18042</v>
      </c>
      <c r="BN952" t="s">
        <v>74</v>
      </c>
      <c r="BO952" t="s">
        <v>1097</v>
      </c>
      <c r="BP952" t="s">
        <v>74</v>
      </c>
      <c r="BQ952" t="s">
        <v>74</v>
      </c>
      <c r="BR952" t="s">
        <v>103</v>
      </c>
      <c r="BS952" t="s">
        <v>18043</v>
      </c>
      <c r="BT952" t="str">
        <f>HYPERLINK("https%3A%2F%2Fwww.webofscience.com%2Fwos%2Fwoscc%2Ffull-record%2FWOS:000358508200005","View Full Record in Web of Science")</f>
        <v>View Full Record in Web of Science</v>
      </c>
    </row>
    <row r="953" spans="1:72" x14ac:dyDescent="0.15">
      <c r="A953" t="s">
        <v>72</v>
      </c>
      <c r="B953" t="s">
        <v>18044</v>
      </c>
      <c r="C953" t="s">
        <v>74</v>
      </c>
      <c r="D953" t="s">
        <v>74</v>
      </c>
      <c r="E953" t="s">
        <v>74</v>
      </c>
      <c r="F953" t="s">
        <v>18045</v>
      </c>
      <c r="G953" t="s">
        <v>74</v>
      </c>
      <c r="H953" t="s">
        <v>74</v>
      </c>
      <c r="I953" t="s">
        <v>18046</v>
      </c>
      <c r="J953" t="s">
        <v>18047</v>
      </c>
      <c r="K953" t="s">
        <v>74</v>
      </c>
      <c r="L953" t="s">
        <v>74</v>
      </c>
      <c r="M953" t="s">
        <v>78</v>
      </c>
      <c r="N953" t="s">
        <v>79</v>
      </c>
      <c r="O953" t="s">
        <v>74</v>
      </c>
      <c r="P953" t="s">
        <v>74</v>
      </c>
      <c r="Q953" t="s">
        <v>74</v>
      </c>
      <c r="R953" t="s">
        <v>74</v>
      </c>
      <c r="S953" t="s">
        <v>74</v>
      </c>
      <c r="T953" t="s">
        <v>18048</v>
      </c>
      <c r="U953" t="s">
        <v>18049</v>
      </c>
      <c r="V953" t="s">
        <v>18050</v>
      </c>
      <c r="W953" t="s">
        <v>18051</v>
      </c>
      <c r="X953" t="s">
        <v>18052</v>
      </c>
      <c r="Y953" t="s">
        <v>18053</v>
      </c>
      <c r="Z953" t="s">
        <v>18054</v>
      </c>
      <c r="AA953" t="s">
        <v>18055</v>
      </c>
      <c r="AB953" t="s">
        <v>18056</v>
      </c>
      <c r="AC953" t="s">
        <v>18057</v>
      </c>
      <c r="AD953" t="s">
        <v>18058</v>
      </c>
      <c r="AE953" t="s">
        <v>18059</v>
      </c>
      <c r="AF953" t="s">
        <v>74</v>
      </c>
      <c r="AG953">
        <v>48</v>
      </c>
      <c r="AH953">
        <v>21</v>
      </c>
      <c r="AI953">
        <v>28</v>
      </c>
      <c r="AJ953">
        <v>1</v>
      </c>
      <c r="AK953">
        <v>22</v>
      </c>
      <c r="AL953" t="s">
        <v>6897</v>
      </c>
      <c r="AM953" t="s">
        <v>550</v>
      </c>
      <c r="AN953" t="s">
        <v>8757</v>
      </c>
      <c r="AO953" t="s">
        <v>18060</v>
      </c>
      <c r="AP953" t="s">
        <v>18061</v>
      </c>
      <c r="AQ953" t="s">
        <v>74</v>
      </c>
      <c r="AR953" t="s">
        <v>18062</v>
      </c>
      <c r="AS953" t="s">
        <v>18063</v>
      </c>
      <c r="AT953" t="s">
        <v>16741</v>
      </c>
      <c r="AU953">
        <v>2015</v>
      </c>
      <c r="AV953">
        <v>184</v>
      </c>
      <c r="AW953" t="s">
        <v>74</v>
      </c>
      <c r="AX953" t="s">
        <v>74</v>
      </c>
      <c r="AY953" t="s">
        <v>74</v>
      </c>
      <c r="AZ953" t="s">
        <v>74</v>
      </c>
      <c r="BA953" t="s">
        <v>74</v>
      </c>
      <c r="BB953">
        <v>36</v>
      </c>
      <c r="BC953">
        <v>43</v>
      </c>
      <c r="BD953" t="s">
        <v>74</v>
      </c>
      <c r="BE953" t="s">
        <v>18064</v>
      </c>
      <c r="BF953" t="str">
        <f>HYPERLINK("http://dx.doi.org/10.1016/j.cbpb.2015.02.003","http://dx.doi.org/10.1016/j.cbpb.2015.02.003")</f>
        <v>http://dx.doi.org/10.1016/j.cbpb.2015.02.003</v>
      </c>
      <c r="BG953" t="s">
        <v>74</v>
      </c>
      <c r="BH953" t="s">
        <v>74</v>
      </c>
      <c r="BI953">
        <v>8</v>
      </c>
      <c r="BJ953" t="s">
        <v>18065</v>
      </c>
      <c r="BK953" t="s">
        <v>101</v>
      </c>
      <c r="BL953" t="s">
        <v>18065</v>
      </c>
      <c r="BM953" t="s">
        <v>18066</v>
      </c>
      <c r="BN953">
        <v>25724263</v>
      </c>
      <c r="BO953" t="s">
        <v>290</v>
      </c>
      <c r="BP953" t="s">
        <v>74</v>
      </c>
      <c r="BQ953" t="s">
        <v>74</v>
      </c>
      <c r="BR953" t="s">
        <v>103</v>
      </c>
      <c r="BS953" t="s">
        <v>18067</v>
      </c>
      <c r="BT953" t="str">
        <f>HYPERLINK("https%3A%2F%2Fwww.webofscience.com%2Fwos%2Fwoscc%2Ffull-record%2FWOS:000353743500005","View Full Record in Web of Science")</f>
        <v>View Full Record in Web of Science</v>
      </c>
    </row>
    <row r="954" spans="1:72" x14ac:dyDescent="0.15">
      <c r="A954" t="s">
        <v>72</v>
      </c>
      <c r="B954" t="s">
        <v>18068</v>
      </c>
      <c r="C954" t="s">
        <v>74</v>
      </c>
      <c r="D954" t="s">
        <v>74</v>
      </c>
      <c r="E954" t="s">
        <v>74</v>
      </c>
      <c r="F954" t="s">
        <v>18069</v>
      </c>
      <c r="G954" t="s">
        <v>74</v>
      </c>
      <c r="H954" t="s">
        <v>74</v>
      </c>
      <c r="I954" t="s">
        <v>18070</v>
      </c>
      <c r="J954" t="s">
        <v>18071</v>
      </c>
      <c r="K954" t="s">
        <v>74</v>
      </c>
      <c r="L954" t="s">
        <v>74</v>
      </c>
      <c r="M954" t="s">
        <v>78</v>
      </c>
      <c r="N954" t="s">
        <v>581</v>
      </c>
      <c r="O954" t="s">
        <v>74</v>
      </c>
      <c r="P954" t="s">
        <v>74</v>
      </c>
      <c r="Q954" t="s">
        <v>74</v>
      </c>
      <c r="R954" t="s">
        <v>74</v>
      </c>
      <c r="S954" t="s">
        <v>74</v>
      </c>
      <c r="T954" t="s">
        <v>74</v>
      </c>
      <c r="U954" t="s">
        <v>18072</v>
      </c>
      <c r="V954" t="s">
        <v>18073</v>
      </c>
      <c r="W954" t="s">
        <v>18074</v>
      </c>
      <c r="X954" t="s">
        <v>18075</v>
      </c>
      <c r="Y954" t="s">
        <v>18076</v>
      </c>
      <c r="Z954" t="s">
        <v>18077</v>
      </c>
      <c r="AA954" t="s">
        <v>18078</v>
      </c>
      <c r="AB954" t="s">
        <v>18079</v>
      </c>
      <c r="AC954" t="s">
        <v>18080</v>
      </c>
      <c r="AD954" t="s">
        <v>18081</v>
      </c>
      <c r="AE954" t="s">
        <v>18082</v>
      </c>
      <c r="AF954" t="s">
        <v>74</v>
      </c>
      <c r="AG954">
        <v>61</v>
      </c>
      <c r="AH954">
        <v>111</v>
      </c>
      <c r="AI954">
        <v>122</v>
      </c>
      <c r="AJ954">
        <v>10</v>
      </c>
      <c r="AK954">
        <v>129</v>
      </c>
      <c r="AL954" t="s">
        <v>496</v>
      </c>
      <c r="AM954" t="s">
        <v>398</v>
      </c>
      <c r="AN954" t="s">
        <v>497</v>
      </c>
      <c r="AO954" t="s">
        <v>18083</v>
      </c>
      <c r="AP954" t="s">
        <v>18084</v>
      </c>
      <c r="AQ954" t="s">
        <v>74</v>
      </c>
      <c r="AR954" t="s">
        <v>18085</v>
      </c>
      <c r="AS954" t="s">
        <v>18086</v>
      </c>
      <c r="AT954" t="s">
        <v>16741</v>
      </c>
      <c r="AU954">
        <v>2015</v>
      </c>
      <c r="AV954">
        <v>33</v>
      </c>
      <c r="AW954" t="s">
        <v>74</v>
      </c>
      <c r="AX954" t="s">
        <v>74</v>
      </c>
      <c r="AY954" t="s">
        <v>74</v>
      </c>
      <c r="AZ954" t="s">
        <v>74</v>
      </c>
      <c r="BA954" t="s">
        <v>74</v>
      </c>
      <c r="BB954">
        <v>119</v>
      </c>
      <c r="BC954">
        <v>124</v>
      </c>
      <c r="BD954" t="s">
        <v>74</v>
      </c>
      <c r="BE954" t="s">
        <v>18087</v>
      </c>
      <c r="BF954" t="str">
        <f>HYPERLINK("http://dx.doi.org/10.1016/j.copbio.2015.02.005","http://dx.doi.org/10.1016/j.copbio.2015.02.005")</f>
        <v>http://dx.doi.org/10.1016/j.copbio.2015.02.005</v>
      </c>
      <c r="BG954" t="s">
        <v>74</v>
      </c>
      <c r="BH954" t="s">
        <v>74</v>
      </c>
      <c r="BI954">
        <v>6</v>
      </c>
      <c r="BJ954" t="s">
        <v>18088</v>
      </c>
      <c r="BK954" t="s">
        <v>101</v>
      </c>
      <c r="BL954" t="s">
        <v>3240</v>
      </c>
      <c r="BM954" t="s">
        <v>18089</v>
      </c>
      <c r="BN954">
        <v>25727188</v>
      </c>
      <c r="BO954" t="s">
        <v>74</v>
      </c>
      <c r="BP954" t="s">
        <v>74</v>
      </c>
      <c r="BQ954" t="s">
        <v>74</v>
      </c>
      <c r="BR954" t="s">
        <v>103</v>
      </c>
      <c r="BS954" t="s">
        <v>18090</v>
      </c>
      <c r="BT954" t="str">
        <f>HYPERLINK("https%3A%2F%2Fwww.webofscience.com%2Fwos%2Fwoscc%2Ffull-record%2FWOS:000357139700018","View Full Record in Web of Science")</f>
        <v>View Full Record in Web of Science</v>
      </c>
    </row>
    <row r="955" spans="1:72" x14ac:dyDescent="0.15">
      <c r="A955" t="s">
        <v>72</v>
      </c>
      <c r="B955" t="s">
        <v>18091</v>
      </c>
      <c r="C955" t="s">
        <v>74</v>
      </c>
      <c r="D955" t="s">
        <v>74</v>
      </c>
      <c r="E955" t="s">
        <v>74</v>
      </c>
      <c r="F955" t="s">
        <v>18092</v>
      </c>
      <c r="G955" t="s">
        <v>74</v>
      </c>
      <c r="H955" t="s">
        <v>74</v>
      </c>
      <c r="I955" t="s">
        <v>18093</v>
      </c>
      <c r="J955" t="s">
        <v>2927</v>
      </c>
      <c r="K955" t="s">
        <v>74</v>
      </c>
      <c r="L955" t="s">
        <v>74</v>
      </c>
      <c r="M955" t="s">
        <v>78</v>
      </c>
      <c r="N955" t="s">
        <v>79</v>
      </c>
      <c r="O955" t="s">
        <v>74</v>
      </c>
      <c r="P955" t="s">
        <v>74</v>
      </c>
      <c r="Q955" t="s">
        <v>74</v>
      </c>
      <c r="R955" t="s">
        <v>74</v>
      </c>
      <c r="S955" t="s">
        <v>74</v>
      </c>
      <c r="T955" t="s">
        <v>18094</v>
      </c>
      <c r="U955" t="s">
        <v>18095</v>
      </c>
      <c r="V955" t="s">
        <v>18096</v>
      </c>
      <c r="W955" t="s">
        <v>18097</v>
      </c>
      <c r="X955" t="s">
        <v>18098</v>
      </c>
      <c r="Y955" t="s">
        <v>18099</v>
      </c>
      <c r="Z955" t="s">
        <v>13683</v>
      </c>
      <c r="AA955" t="s">
        <v>18100</v>
      </c>
      <c r="AB955" t="s">
        <v>18101</v>
      </c>
      <c r="AC955" t="s">
        <v>18102</v>
      </c>
      <c r="AD955" t="s">
        <v>18103</v>
      </c>
      <c r="AE955" t="s">
        <v>18104</v>
      </c>
      <c r="AF955" t="s">
        <v>74</v>
      </c>
      <c r="AG955">
        <v>86</v>
      </c>
      <c r="AH955">
        <v>31</v>
      </c>
      <c r="AI955">
        <v>34</v>
      </c>
      <c r="AJ955">
        <v>4</v>
      </c>
      <c r="AK955">
        <v>55</v>
      </c>
      <c r="AL955" t="s">
        <v>397</v>
      </c>
      <c r="AM955" t="s">
        <v>398</v>
      </c>
      <c r="AN955" t="s">
        <v>399</v>
      </c>
      <c r="AO955" t="s">
        <v>2940</v>
      </c>
      <c r="AP955" t="s">
        <v>2941</v>
      </c>
      <c r="AQ955" t="s">
        <v>74</v>
      </c>
      <c r="AR955" t="s">
        <v>2942</v>
      </c>
      <c r="AS955" t="s">
        <v>2943</v>
      </c>
      <c r="AT955" t="s">
        <v>16741</v>
      </c>
      <c r="AU955">
        <v>2015</v>
      </c>
      <c r="AV955">
        <v>100</v>
      </c>
      <c r="AW955" t="s">
        <v>74</v>
      </c>
      <c r="AX955" t="s">
        <v>74</v>
      </c>
      <c r="AY955" t="s">
        <v>74</v>
      </c>
      <c r="AZ955" t="s">
        <v>74</v>
      </c>
      <c r="BA955" t="s">
        <v>74</v>
      </c>
      <c r="BB955">
        <v>88</v>
      </c>
      <c r="BC955">
        <v>104</v>
      </c>
      <c r="BD955" t="s">
        <v>74</v>
      </c>
      <c r="BE955" t="s">
        <v>18105</v>
      </c>
      <c r="BF955" t="str">
        <f>HYPERLINK("http://dx.doi.org/10.1016/j.dsr.2015.02.008","http://dx.doi.org/10.1016/j.dsr.2015.02.008")</f>
        <v>http://dx.doi.org/10.1016/j.dsr.2015.02.008</v>
      </c>
      <c r="BG955" t="s">
        <v>74</v>
      </c>
      <c r="BH955" t="s">
        <v>74</v>
      </c>
      <c r="BI955">
        <v>17</v>
      </c>
      <c r="BJ955" t="s">
        <v>339</v>
      </c>
      <c r="BK955" t="s">
        <v>101</v>
      </c>
      <c r="BL955" t="s">
        <v>339</v>
      </c>
      <c r="BM955" t="s">
        <v>18106</v>
      </c>
      <c r="BN955" t="s">
        <v>74</v>
      </c>
      <c r="BO955" t="s">
        <v>74</v>
      </c>
      <c r="BP955" t="s">
        <v>74</v>
      </c>
      <c r="BQ955" t="s">
        <v>74</v>
      </c>
      <c r="BR955" t="s">
        <v>103</v>
      </c>
      <c r="BS955" t="s">
        <v>18107</v>
      </c>
      <c r="BT955" t="str">
        <f>HYPERLINK("https%3A%2F%2Fwww.webofscience.com%2Fwos%2Fwoscc%2Ffull-record%2FWOS:000354588900009","View Full Record in Web of Science")</f>
        <v>View Full Record in Web of Science</v>
      </c>
    </row>
    <row r="956" spans="1:72" x14ac:dyDescent="0.15">
      <c r="A956" t="s">
        <v>72</v>
      </c>
      <c r="B956" t="s">
        <v>18108</v>
      </c>
      <c r="C956" t="s">
        <v>74</v>
      </c>
      <c r="D956" t="s">
        <v>74</v>
      </c>
      <c r="E956" t="s">
        <v>74</v>
      </c>
      <c r="F956" t="s">
        <v>18109</v>
      </c>
      <c r="G956" t="s">
        <v>74</v>
      </c>
      <c r="H956" t="s">
        <v>74</v>
      </c>
      <c r="I956" t="s">
        <v>18110</v>
      </c>
      <c r="J956" t="s">
        <v>3747</v>
      </c>
      <c r="K956" t="s">
        <v>74</v>
      </c>
      <c r="L956" t="s">
        <v>74</v>
      </c>
      <c r="M956" t="s">
        <v>78</v>
      </c>
      <c r="N956" t="s">
        <v>79</v>
      </c>
      <c r="O956" t="s">
        <v>74</v>
      </c>
      <c r="P956" t="s">
        <v>74</v>
      </c>
      <c r="Q956" t="s">
        <v>74</v>
      </c>
      <c r="R956" t="s">
        <v>74</v>
      </c>
      <c r="S956" t="s">
        <v>74</v>
      </c>
      <c r="T956" t="s">
        <v>18111</v>
      </c>
      <c r="U956" t="s">
        <v>18112</v>
      </c>
      <c r="V956" t="s">
        <v>18113</v>
      </c>
      <c r="W956" t="s">
        <v>18114</v>
      </c>
      <c r="X956" t="s">
        <v>18115</v>
      </c>
      <c r="Y956" t="s">
        <v>18116</v>
      </c>
      <c r="Z956" t="s">
        <v>18117</v>
      </c>
      <c r="AA956" t="s">
        <v>18118</v>
      </c>
      <c r="AB956" t="s">
        <v>18119</v>
      </c>
      <c r="AC956" t="s">
        <v>18120</v>
      </c>
      <c r="AD956" t="s">
        <v>18121</v>
      </c>
      <c r="AE956" t="s">
        <v>18122</v>
      </c>
      <c r="AF956" t="s">
        <v>74</v>
      </c>
      <c r="AG956">
        <v>89</v>
      </c>
      <c r="AH956">
        <v>35</v>
      </c>
      <c r="AI956">
        <v>36</v>
      </c>
      <c r="AJ956">
        <v>6</v>
      </c>
      <c r="AK956">
        <v>67</v>
      </c>
      <c r="AL956" t="s">
        <v>397</v>
      </c>
      <c r="AM956" t="s">
        <v>398</v>
      </c>
      <c r="AN956" t="s">
        <v>399</v>
      </c>
      <c r="AO956" t="s">
        <v>3759</v>
      </c>
      <c r="AP956" t="s">
        <v>3760</v>
      </c>
      <c r="AQ956" t="s">
        <v>74</v>
      </c>
      <c r="AR956" t="s">
        <v>3761</v>
      </c>
      <c r="AS956" t="s">
        <v>3762</v>
      </c>
      <c r="AT956" t="s">
        <v>16741</v>
      </c>
      <c r="AU956">
        <v>2015</v>
      </c>
      <c r="AV956">
        <v>116</v>
      </c>
      <c r="AW956" t="s">
        <v>74</v>
      </c>
      <c r="AX956" t="s">
        <v>74</v>
      </c>
      <c r="AY956" t="s">
        <v>74</v>
      </c>
      <c r="AZ956" t="s">
        <v>931</v>
      </c>
      <c r="BA956" t="s">
        <v>74</v>
      </c>
      <c r="BB956">
        <v>89</v>
      </c>
      <c r="BC956">
        <v>106</v>
      </c>
      <c r="BD956" t="s">
        <v>74</v>
      </c>
      <c r="BE956" t="s">
        <v>18123</v>
      </c>
      <c r="BF956" t="str">
        <f>HYPERLINK("http://dx.doi.org/10.1016/j.dsr2.2014.11.006","http://dx.doi.org/10.1016/j.dsr2.2014.11.006")</f>
        <v>http://dx.doi.org/10.1016/j.dsr2.2014.11.006</v>
      </c>
      <c r="BG956" t="s">
        <v>74</v>
      </c>
      <c r="BH956" t="s">
        <v>74</v>
      </c>
      <c r="BI956">
        <v>18</v>
      </c>
      <c r="BJ956" t="s">
        <v>339</v>
      </c>
      <c r="BK956" t="s">
        <v>101</v>
      </c>
      <c r="BL956" t="s">
        <v>339</v>
      </c>
      <c r="BM956" t="s">
        <v>17452</v>
      </c>
      <c r="BN956" t="s">
        <v>74</v>
      </c>
      <c r="BO956" t="s">
        <v>559</v>
      </c>
      <c r="BP956" t="s">
        <v>74</v>
      </c>
      <c r="BQ956" t="s">
        <v>74</v>
      </c>
      <c r="BR956" t="s">
        <v>103</v>
      </c>
      <c r="BS956" t="s">
        <v>18124</v>
      </c>
      <c r="BT956" t="str">
        <f>HYPERLINK("https%3A%2F%2Fwww.webofscience.com%2Fwos%2Fwoscc%2Ffull-record%2FWOS:000356116700008","View Full Record in Web of Science")</f>
        <v>View Full Record in Web of Science</v>
      </c>
    </row>
    <row r="957" spans="1:72" x14ac:dyDescent="0.15">
      <c r="A957" t="s">
        <v>72</v>
      </c>
      <c r="B957" t="s">
        <v>18125</v>
      </c>
      <c r="C957" t="s">
        <v>74</v>
      </c>
      <c r="D957" t="s">
        <v>74</v>
      </c>
      <c r="E957" t="s">
        <v>74</v>
      </c>
      <c r="F957" t="s">
        <v>18126</v>
      </c>
      <c r="G957" t="s">
        <v>74</v>
      </c>
      <c r="H957" t="s">
        <v>74</v>
      </c>
      <c r="I957" t="s">
        <v>18127</v>
      </c>
      <c r="J957" t="s">
        <v>3747</v>
      </c>
      <c r="K957" t="s">
        <v>74</v>
      </c>
      <c r="L957" t="s">
        <v>74</v>
      </c>
      <c r="M957" t="s">
        <v>78</v>
      </c>
      <c r="N957" t="s">
        <v>79</v>
      </c>
      <c r="O957" t="s">
        <v>74</v>
      </c>
      <c r="P957" t="s">
        <v>74</v>
      </c>
      <c r="Q957" t="s">
        <v>74</v>
      </c>
      <c r="R957" t="s">
        <v>74</v>
      </c>
      <c r="S957" t="s">
        <v>74</v>
      </c>
      <c r="T957" t="s">
        <v>18128</v>
      </c>
      <c r="U957" t="s">
        <v>18129</v>
      </c>
      <c r="V957" t="s">
        <v>18130</v>
      </c>
      <c r="W957" t="s">
        <v>18131</v>
      </c>
      <c r="X957" t="s">
        <v>18132</v>
      </c>
      <c r="Y957" t="s">
        <v>18133</v>
      </c>
      <c r="Z957" t="s">
        <v>18134</v>
      </c>
      <c r="AA957" t="s">
        <v>18135</v>
      </c>
      <c r="AB957" t="s">
        <v>18136</v>
      </c>
      <c r="AC957" t="s">
        <v>18137</v>
      </c>
      <c r="AD957" t="s">
        <v>18138</v>
      </c>
      <c r="AE957" t="s">
        <v>18139</v>
      </c>
      <c r="AF957" t="s">
        <v>74</v>
      </c>
      <c r="AG957">
        <v>103</v>
      </c>
      <c r="AH957">
        <v>82</v>
      </c>
      <c r="AI957">
        <v>91</v>
      </c>
      <c r="AJ957">
        <v>3</v>
      </c>
      <c r="AK957">
        <v>47</v>
      </c>
      <c r="AL957" t="s">
        <v>397</v>
      </c>
      <c r="AM957" t="s">
        <v>398</v>
      </c>
      <c r="AN957" t="s">
        <v>399</v>
      </c>
      <c r="AO957" t="s">
        <v>3759</v>
      </c>
      <c r="AP957" t="s">
        <v>3760</v>
      </c>
      <c r="AQ957" t="s">
        <v>74</v>
      </c>
      <c r="AR957" t="s">
        <v>3761</v>
      </c>
      <c r="AS957" t="s">
        <v>3762</v>
      </c>
      <c r="AT957" t="s">
        <v>16741</v>
      </c>
      <c r="AU957">
        <v>2015</v>
      </c>
      <c r="AV957">
        <v>116</v>
      </c>
      <c r="AW957" t="s">
        <v>74</v>
      </c>
      <c r="AX957" t="s">
        <v>74</v>
      </c>
      <c r="AY957" t="s">
        <v>74</v>
      </c>
      <c r="AZ957" t="s">
        <v>931</v>
      </c>
      <c r="BA957" t="s">
        <v>74</v>
      </c>
      <c r="BB957">
        <v>152</v>
      </c>
      <c r="BC957">
        <v>165</v>
      </c>
      <c r="BD957" t="s">
        <v>74</v>
      </c>
      <c r="BE957" t="s">
        <v>18140</v>
      </c>
      <c r="BF957" t="str">
        <f>HYPERLINK("http://dx.doi.org/10.1016/j.dsr2.2014.11.016","http://dx.doi.org/10.1016/j.dsr2.2014.11.016")</f>
        <v>http://dx.doi.org/10.1016/j.dsr2.2014.11.016</v>
      </c>
      <c r="BG957" t="s">
        <v>74</v>
      </c>
      <c r="BH957" t="s">
        <v>74</v>
      </c>
      <c r="BI957">
        <v>14</v>
      </c>
      <c r="BJ957" t="s">
        <v>339</v>
      </c>
      <c r="BK957" t="s">
        <v>101</v>
      </c>
      <c r="BL957" t="s">
        <v>339</v>
      </c>
      <c r="BM957" t="s">
        <v>17452</v>
      </c>
      <c r="BN957" t="s">
        <v>74</v>
      </c>
      <c r="BO957" t="s">
        <v>74</v>
      </c>
      <c r="BP957" t="s">
        <v>74</v>
      </c>
      <c r="BQ957" t="s">
        <v>74</v>
      </c>
      <c r="BR957" t="s">
        <v>103</v>
      </c>
      <c r="BS957" t="s">
        <v>18141</v>
      </c>
      <c r="BT957" t="str">
        <f>HYPERLINK("https%3A%2F%2Fwww.webofscience.com%2Fwos%2Fwoscc%2Ffull-record%2FWOS:000356116700012","View Full Record in Web of Science")</f>
        <v>View Full Record in Web of Science</v>
      </c>
    </row>
    <row r="958" spans="1:72" x14ac:dyDescent="0.15">
      <c r="A958" t="s">
        <v>72</v>
      </c>
      <c r="B958" t="s">
        <v>18142</v>
      </c>
      <c r="C958" t="s">
        <v>74</v>
      </c>
      <c r="D958" t="s">
        <v>74</v>
      </c>
      <c r="E958" t="s">
        <v>74</v>
      </c>
      <c r="F958" t="s">
        <v>18143</v>
      </c>
      <c r="G958" t="s">
        <v>74</v>
      </c>
      <c r="H958" t="s">
        <v>74</v>
      </c>
      <c r="I958" t="s">
        <v>18144</v>
      </c>
      <c r="J958" t="s">
        <v>1690</v>
      </c>
      <c r="K958" t="s">
        <v>74</v>
      </c>
      <c r="L958" t="s">
        <v>74</v>
      </c>
      <c r="M958" t="s">
        <v>78</v>
      </c>
      <c r="N958" t="s">
        <v>79</v>
      </c>
      <c r="O958" t="s">
        <v>74</v>
      </c>
      <c r="P958" t="s">
        <v>74</v>
      </c>
      <c r="Q958" t="s">
        <v>74</v>
      </c>
      <c r="R958" t="s">
        <v>74</v>
      </c>
      <c r="S958" t="s">
        <v>74</v>
      </c>
      <c r="T958" t="s">
        <v>18145</v>
      </c>
      <c r="U958" t="s">
        <v>18146</v>
      </c>
      <c r="V958" t="s">
        <v>18147</v>
      </c>
      <c r="W958" t="s">
        <v>18148</v>
      </c>
      <c r="X958" t="s">
        <v>18149</v>
      </c>
      <c r="Y958" t="s">
        <v>18150</v>
      </c>
      <c r="Z958" t="s">
        <v>18151</v>
      </c>
      <c r="AA958" t="s">
        <v>18152</v>
      </c>
      <c r="AB958" t="s">
        <v>18153</v>
      </c>
      <c r="AC958" t="s">
        <v>18154</v>
      </c>
      <c r="AD958" t="s">
        <v>18155</v>
      </c>
      <c r="AE958" t="s">
        <v>18156</v>
      </c>
      <c r="AF958" t="s">
        <v>74</v>
      </c>
      <c r="AG958">
        <v>62</v>
      </c>
      <c r="AH958">
        <v>34</v>
      </c>
      <c r="AI958">
        <v>38</v>
      </c>
      <c r="AJ958">
        <v>0</v>
      </c>
      <c r="AK958">
        <v>54</v>
      </c>
      <c r="AL958" t="s">
        <v>883</v>
      </c>
      <c r="AM958" t="s">
        <v>884</v>
      </c>
      <c r="AN958" t="s">
        <v>885</v>
      </c>
      <c r="AO958" t="s">
        <v>1702</v>
      </c>
      <c r="AP958" t="s">
        <v>1703</v>
      </c>
      <c r="AQ958" t="s">
        <v>74</v>
      </c>
      <c r="AR958" t="s">
        <v>1704</v>
      </c>
      <c r="AS958" t="s">
        <v>1705</v>
      </c>
      <c r="AT958" t="s">
        <v>17740</v>
      </c>
      <c r="AU958">
        <v>2015</v>
      </c>
      <c r="AV958">
        <v>419</v>
      </c>
      <c r="AW958" t="s">
        <v>74</v>
      </c>
      <c r="AX958" t="s">
        <v>74</v>
      </c>
      <c r="AY958" t="s">
        <v>74</v>
      </c>
      <c r="AZ958" t="s">
        <v>74</v>
      </c>
      <c r="BA958" t="s">
        <v>74</v>
      </c>
      <c r="BB958">
        <v>199</v>
      </c>
      <c r="BC958">
        <v>210</v>
      </c>
      <c r="BD958" t="s">
        <v>74</v>
      </c>
      <c r="BE958" t="s">
        <v>18157</v>
      </c>
      <c r="BF958" t="str">
        <f>HYPERLINK("http://dx.doi.org/10.1016/j.epsl.2015.03.014","http://dx.doi.org/10.1016/j.epsl.2015.03.014")</f>
        <v>http://dx.doi.org/10.1016/j.epsl.2015.03.014</v>
      </c>
      <c r="BG958" t="s">
        <v>74</v>
      </c>
      <c r="BH958" t="s">
        <v>74</v>
      </c>
      <c r="BI958">
        <v>12</v>
      </c>
      <c r="BJ958" t="s">
        <v>1707</v>
      </c>
      <c r="BK958" t="s">
        <v>101</v>
      </c>
      <c r="BL958" t="s">
        <v>1707</v>
      </c>
      <c r="BM958" t="s">
        <v>18158</v>
      </c>
      <c r="BN958" t="s">
        <v>74</v>
      </c>
      <c r="BO958" t="s">
        <v>1213</v>
      </c>
      <c r="BP958" t="s">
        <v>74</v>
      </c>
      <c r="BQ958" t="s">
        <v>74</v>
      </c>
      <c r="BR958" t="s">
        <v>103</v>
      </c>
      <c r="BS958" t="s">
        <v>18159</v>
      </c>
      <c r="BT958" t="str">
        <f>HYPERLINK("https%3A%2F%2Fwww.webofscience.com%2Fwos%2Fwoscc%2Ffull-record%2FWOS:000353852500019","View Full Record in Web of Science")</f>
        <v>View Full Record in Web of Science</v>
      </c>
    </row>
    <row r="959" spans="1:72" x14ac:dyDescent="0.15">
      <c r="A959" t="s">
        <v>72</v>
      </c>
      <c r="B959" t="s">
        <v>18160</v>
      </c>
      <c r="C959" t="s">
        <v>74</v>
      </c>
      <c r="D959" t="s">
        <v>74</v>
      </c>
      <c r="E959" t="s">
        <v>74</v>
      </c>
      <c r="F959" t="s">
        <v>18161</v>
      </c>
      <c r="G959" t="s">
        <v>74</v>
      </c>
      <c r="H959" t="s">
        <v>74</v>
      </c>
      <c r="I959" t="s">
        <v>18162</v>
      </c>
      <c r="J959" t="s">
        <v>18163</v>
      </c>
      <c r="K959" t="s">
        <v>74</v>
      </c>
      <c r="L959" t="s">
        <v>74</v>
      </c>
      <c r="M959" t="s">
        <v>78</v>
      </c>
      <c r="N959" t="s">
        <v>79</v>
      </c>
      <c r="O959" t="s">
        <v>74</v>
      </c>
      <c r="P959" t="s">
        <v>74</v>
      </c>
      <c r="Q959" t="s">
        <v>74</v>
      </c>
      <c r="R959" t="s">
        <v>74</v>
      </c>
      <c r="S959" t="s">
        <v>74</v>
      </c>
      <c r="T959" t="s">
        <v>74</v>
      </c>
      <c r="U959" t="s">
        <v>18164</v>
      </c>
      <c r="V959" t="s">
        <v>18165</v>
      </c>
      <c r="W959" t="s">
        <v>18166</v>
      </c>
      <c r="X959" t="s">
        <v>18167</v>
      </c>
      <c r="Y959" t="s">
        <v>18168</v>
      </c>
      <c r="Z959" t="s">
        <v>18169</v>
      </c>
      <c r="AA959" t="s">
        <v>18170</v>
      </c>
      <c r="AB959" t="s">
        <v>18171</v>
      </c>
      <c r="AC959" t="s">
        <v>18172</v>
      </c>
      <c r="AD959" t="s">
        <v>18173</v>
      </c>
      <c r="AE959" t="s">
        <v>18174</v>
      </c>
      <c r="AF959" t="s">
        <v>74</v>
      </c>
      <c r="AG959">
        <v>39</v>
      </c>
      <c r="AH959">
        <v>13</v>
      </c>
      <c r="AI959">
        <v>14</v>
      </c>
      <c r="AJ959">
        <v>1</v>
      </c>
      <c r="AK959">
        <v>36</v>
      </c>
      <c r="AL959" t="s">
        <v>236</v>
      </c>
      <c r="AM959" t="s">
        <v>209</v>
      </c>
      <c r="AN959" t="s">
        <v>210</v>
      </c>
      <c r="AO959" t="s">
        <v>18175</v>
      </c>
      <c r="AP959" t="s">
        <v>74</v>
      </c>
      <c r="AQ959" t="s">
        <v>74</v>
      </c>
      <c r="AR959" t="s">
        <v>18176</v>
      </c>
      <c r="AS959" t="s">
        <v>18177</v>
      </c>
      <c r="AT959" t="s">
        <v>16741</v>
      </c>
      <c r="AU959">
        <v>2015</v>
      </c>
      <c r="AV959">
        <v>7</v>
      </c>
      <c r="AW959">
        <v>3</v>
      </c>
      <c r="AX959" t="s">
        <v>74</v>
      </c>
      <c r="AY959" t="s">
        <v>74</v>
      </c>
      <c r="AZ959" t="s">
        <v>74</v>
      </c>
      <c r="BA959" t="s">
        <v>74</v>
      </c>
      <c r="BB959">
        <v>427</v>
      </c>
      <c r="BC959">
        <v>434</v>
      </c>
      <c r="BD959" t="s">
        <v>74</v>
      </c>
      <c r="BE959" t="s">
        <v>18178</v>
      </c>
      <c r="BF959" t="str">
        <f>HYPERLINK("http://dx.doi.org/10.1111/1758-2229.12267","http://dx.doi.org/10.1111/1758-2229.12267")</f>
        <v>http://dx.doi.org/10.1111/1758-2229.12267</v>
      </c>
      <c r="BG959" t="s">
        <v>74</v>
      </c>
      <c r="BH959" t="s">
        <v>74</v>
      </c>
      <c r="BI959">
        <v>8</v>
      </c>
      <c r="BJ959" t="s">
        <v>18179</v>
      </c>
      <c r="BK959" t="s">
        <v>101</v>
      </c>
      <c r="BL959" t="s">
        <v>188</v>
      </c>
      <c r="BM959" t="s">
        <v>18180</v>
      </c>
      <c r="BN959">
        <v>25625554</v>
      </c>
      <c r="BO959" t="s">
        <v>2686</v>
      </c>
      <c r="BP959" t="s">
        <v>74</v>
      </c>
      <c r="BQ959" t="s">
        <v>74</v>
      </c>
      <c r="BR959" t="s">
        <v>103</v>
      </c>
      <c r="BS959" t="s">
        <v>18181</v>
      </c>
      <c r="BT959" t="str">
        <f>HYPERLINK("https%3A%2F%2Fwww.webofscience.com%2Fwos%2Fwoscc%2Ffull-record%2FWOS:000354375100007","View Full Record in Web of Science")</f>
        <v>View Full Record in Web of Science</v>
      </c>
    </row>
    <row r="960" spans="1:72" x14ac:dyDescent="0.15">
      <c r="A960" t="s">
        <v>72</v>
      </c>
      <c r="B960" t="s">
        <v>18182</v>
      </c>
      <c r="C960" t="s">
        <v>74</v>
      </c>
      <c r="D960" t="s">
        <v>74</v>
      </c>
      <c r="E960" t="s">
        <v>74</v>
      </c>
      <c r="F960" t="s">
        <v>18183</v>
      </c>
      <c r="G960" t="s">
        <v>74</v>
      </c>
      <c r="H960" t="s">
        <v>74</v>
      </c>
      <c r="I960" t="s">
        <v>18184</v>
      </c>
      <c r="J960" t="s">
        <v>10880</v>
      </c>
      <c r="K960" t="s">
        <v>74</v>
      </c>
      <c r="L960" t="s">
        <v>74</v>
      </c>
      <c r="M960" t="s">
        <v>78</v>
      </c>
      <c r="N960" t="s">
        <v>79</v>
      </c>
      <c r="O960" t="s">
        <v>74</v>
      </c>
      <c r="P960" t="s">
        <v>74</v>
      </c>
      <c r="Q960" t="s">
        <v>74</v>
      </c>
      <c r="R960" t="s">
        <v>74</v>
      </c>
      <c r="S960" t="s">
        <v>74</v>
      </c>
      <c r="T960" t="s">
        <v>18185</v>
      </c>
      <c r="U960" t="s">
        <v>18186</v>
      </c>
      <c r="V960" t="s">
        <v>18187</v>
      </c>
      <c r="W960" t="s">
        <v>18188</v>
      </c>
      <c r="X960" t="s">
        <v>18189</v>
      </c>
      <c r="Y960" t="s">
        <v>18190</v>
      </c>
      <c r="Z960" t="s">
        <v>18191</v>
      </c>
      <c r="AA960" t="s">
        <v>18192</v>
      </c>
      <c r="AB960" t="s">
        <v>74</v>
      </c>
      <c r="AC960" t="s">
        <v>18193</v>
      </c>
      <c r="AD960" t="s">
        <v>18194</v>
      </c>
      <c r="AE960" t="s">
        <v>18195</v>
      </c>
      <c r="AF960" t="s">
        <v>74</v>
      </c>
      <c r="AG960">
        <v>37</v>
      </c>
      <c r="AH960">
        <v>19</v>
      </c>
      <c r="AI960">
        <v>19</v>
      </c>
      <c r="AJ960">
        <v>3</v>
      </c>
      <c r="AK960">
        <v>63</v>
      </c>
      <c r="AL960" t="s">
        <v>3146</v>
      </c>
      <c r="AM960" t="s">
        <v>3147</v>
      </c>
      <c r="AN960" t="s">
        <v>3148</v>
      </c>
      <c r="AO960" t="s">
        <v>10889</v>
      </c>
      <c r="AP960" t="s">
        <v>10890</v>
      </c>
      <c r="AQ960" t="s">
        <v>74</v>
      </c>
      <c r="AR960" t="s">
        <v>10891</v>
      </c>
      <c r="AS960" t="s">
        <v>10892</v>
      </c>
      <c r="AT960" t="s">
        <v>16741</v>
      </c>
      <c r="AU960">
        <v>2015</v>
      </c>
      <c r="AV960">
        <v>22</v>
      </c>
      <c r="AW960">
        <v>11</v>
      </c>
      <c r="AX960" t="s">
        <v>74</v>
      </c>
      <c r="AY960" t="s">
        <v>74</v>
      </c>
      <c r="AZ960" t="s">
        <v>74</v>
      </c>
      <c r="BA960" t="s">
        <v>74</v>
      </c>
      <c r="BB960">
        <v>8603</v>
      </c>
      <c r="BC960">
        <v>8610</v>
      </c>
      <c r="BD960" t="s">
        <v>74</v>
      </c>
      <c r="BE960" t="s">
        <v>18196</v>
      </c>
      <c r="BF960" t="str">
        <f>HYPERLINK("http://dx.doi.org/10.1007/s11356-014-3942-0","http://dx.doi.org/10.1007/s11356-014-3942-0")</f>
        <v>http://dx.doi.org/10.1007/s11356-014-3942-0</v>
      </c>
      <c r="BG960" t="s">
        <v>74</v>
      </c>
      <c r="BH960" t="s">
        <v>74</v>
      </c>
      <c r="BI960">
        <v>8</v>
      </c>
      <c r="BJ960" t="s">
        <v>3267</v>
      </c>
      <c r="BK960" t="s">
        <v>101</v>
      </c>
      <c r="BL960" t="s">
        <v>644</v>
      </c>
      <c r="BM960" t="s">
        <v>18197</v>
      </c>
      <c r="BN960">
        <v>25563828</v>
      </c>
      <c r="BO960" t="s">
        <v>74</v>
      </c>
      <c r="BP960" t="s">
        <v>74</v>
      </c>
      <c r="BQ960" t="s">
        <v>74</v>
      </c>
      <c r="BR960" t="s">
        <v>103</v>
      </c>
      <c r="BS960" t="s">
        <v>18198</v>
      </c>
      <c r="BT960" t="str">
        <f>HYPERLINK("https%3A%2F%2Fwww.webofscience.com%2Fwos%2Fwoscc%2Ffull-record%2FWOS:000354960300059","View Full Record in Web of Science")</f>
        <v>View Full Record in Web of Science</v>
      </c>
    </row>
    <row r="961" spans="1:72" x14ac:dyDescent="0.15">
      <c r="A961" t="s">
        <v>72</v>
      </c>
      <c r="B961" t="s">
        <v>18199</v>
      </c>
      <c r="C961" t="s">
        <v>74</v>
      </c>
      <c r="D961" t="s">
        <v>74</v>
      </c>
      <c r="E961" t="s">
        <v>74</v>
      </c>
      <c r="F961" t="s">
        <v>18200</v>
      </c>
      <c r="G961" t="s">
        <v>74</v>
      </c>
      <c r="H961" t="s">
        <v>74</v>
      </c>
      <c r="I961" t="s">
        <v>18201</v>
      </c>
      <c r="J961" t="s">
        <v>18202</v>
      </c>
      <c r="K961" t="s">
        <v>74</v>
      </c>
      <c r="L961" t="s">
        <v>74</v>
      </c>
      <c r="M961" t="s">
        <v>78</v>
      </c>
      <c r="N961" t="s">
        <v>581</v>
      </c>
      <c r="O961" t="s">
        <v>74</v>
      </c>
      <c r="P961" t="s">
        <v>74</v>
      </c>
      <c r="Q961" t="s">
        <v>74</v>
      </c>
      <c r="R961" t="s">
        <v>74</v>
      </c>
      <c r="S961" t="s">
        <v>74</v>
      </c>
      <c r="T961" t="s">
        <v>18203</v>
      </c>
      <c r="U961" t="s">
        <v>18204</v>
      </c>
      <c r="V961" t="s">
        <v>18205</v>
      </c>
      <c r="W961" t="s">
        <v>18206</v>
      </c>
      <c r="X961" t="s">
        <v>18207</v>
      </c>
      <c r="Y961" t="s">
        <v>18208</v>
      </c>
      <c r="Z961" t="s">
        <v>18209</v>
      </c>
      <c r="AA961" t="s">
        <v>18210</v>
      </c>
      <c r="AB961" t="s">
        <v>18211</v>
      </c>
      <c r="AC961" t="s">
        <v>18212</v>
      </c>
      <c r="AD961" t="s">
        <v>18213</v>
      </c>
      <c r="AE961" t="s">
        <v>18214</v>
      </c>
      <c r="AF961" t="s">
        <v>74</v>
      </c>
      <c r="AG961">
        <v>112</v>
      </c>
      <c r="AH961">
        <v>39</v>
      </c>
      <c r="AI961">
        <v>44</v>
      </c>
      <c r="AJ961">
        <v>3</v>
      </c>
      <c r="AK961">
        <v>83</v>
      </c>
      <c r="AL961" t="s">
        <v>208</v>
      </c>
      <c r="AM961" t="s">
        <v>209</v>
      </c>
      <c r="AN961" t="s">
        <v>210</v>
      </c>
      <c r="AO961" t="s">
        <v>18215</v>
      </c>
      <c r="AP961" t="s">
        <v>74</v>
      </c>
      <c r="AQ961" t="s">
        <v>74</v>
      </c>
      <c r="AR961" t="s">
        <v>18216</v>
      </c>
      <c r="AS961" t="s">
        <v>18217</v>
      </c>
      <c r="AT961" t="s">
        <v>16741</v>
      </c>
      <c r="AU961">
        <v>2015</v>
      </c>
      <c r="AV961">
        <v>8</v>
      </c>
      <c r="AW961">
        <v>5</v>
      </c>
      <c r="AX961" t="s">
        <v>74</v>
      </c>
      <c r="AY961" t="s">
        <v>74</v>
      </c>
      <c r="AZ961" t="s">
        <v>74</v>
      </c>
      <c r="BA961" t="s">
        <v>74</v>
      </c>
      <c r="BB961">
        <v>486</v>
      </c>
      <c r="BC961">
        <v>509</v>
      </c>
      <c r="BD961" t="s">
        <v>74</v>
      </c>
      <c r="BE961" t="s">
        <v>18218</v>
      </c>
      <c r="BF961" t="str">
        <f>HYPERLINK("http://dx.doi.org/10.1111/eva.12259","http://dx.doi.org/10.1111/eva.12259")</f>
        <v>http://dx.doi.org/10.1111/eva.12259</v>
      </c>
      <c r="BG961" t="s">
        <v>74</v>
      </c>
      <c r="BH961" t="s">
        <v>74</v>
      </c>
      <c r="BI961">
        <v>24</v>
      </c>
      <c r="BJ961" t="s">
        <v>18219</v>
      </c>
      <c r="BK961" t="s">
        <v>101</v>
      </c>
      <c r="BL961" t="s">
        <v>18219</v>
      </c>
      <c r="BM961" t="s">
        <v>18220</v>
      </c>
      <c r="BN961">
        <v>26029262</v>
      </c>
      <c r="BO961" t="s">
        <v>245</v>
      </c>
      <c r="BP961" t="s">
        <v>74</v>
      </c>
      <c r="BQ961" t="s">
        <v>74</v>
      </c>
      <c r="BR961" t="s">
        <v>103</v>
      </c>
      <c r="BS961" t="s">
        <v>18221</v>
      </c>
      <c r="BT961" t="str">
        <f>HYPERLINK("https%3A%2F%2Fwww.webofscience.com%2Fwos%2Fwoscc%2Ffull-record%2FWOS:000354408200008","View Full Record in Web of Science")</f>
        <v>View Full Record in Web of Science</v>
      </c>
    </row>
    <row r="962" spans="1:72" x14ac:dyDescent="0.15">
      <c r="A962" t="s">
        <v>72</v>
      </c>
      <c r="B962" t="s">
        <v>18222</v>
      </c>
      <c r="C962" t="s">
        <v>74</v>
      </c>
      <c r="D962" t="s">
        <v>74</v>
      </c>
      <c r="E962" t="s">
        <v>74</v>
      </c>
      <c r="F962" t="s">
        <v>18223</v>
      </c>
      <c r="G962" t="s">
        <v>74</v>
      </c>
      <c r="H962" t="s">
        <v>74</v>
      </c>
      <c r="I962" t="s">
        <v>18224</v>
      </c>
      <c r="J962" t="s">
        <v>18225</v>
      </c>
      <c r="K962" t="s">
        <v>74</v>
      </c>
      <c r="L962" t="s">
        <v>74</v>
      </c>
      <c r="M962" t="s">
        <v>78</v>
      </c>
      <c r="N962" t="s">
        <v>79</v>
      </c>
      <c r="O962" t="s">
        <v>74</v>
      </c>
      <c r="P962" t="s">
        <v>74</v>
      </c>
      <c r="Q962" t="s">
        <v>74</v>
      </c>
      <c r="R962" t="s">
        <v>74</v>
      </c>
      <c r="S962" t="s">
        <v>74</v>
      </c>
      <c r="T962" t="s">
        <v>18226</v>
      </c>
      <c r="U962" t="s">
        <v>18227</v>
      </c>
      <c r="V962" t="s">
        <v>18228</v>
      </c>
      <c r="W962" t="s">
        <v>18229</v>
      </c>
      <c r="X962" t="s">
        <v>18230</v>
      </c>
      <c r="Y962" t="s">
        <v>18231</v>
      </c>
      <c r="Z962" t="s">
        <v>18232</v>
      </c>
      <c r="AA962" t="s">
        <v>18233</v>
      </c>
      <c r="AB962" t="s">
        <v>18234</v>
      </c>
      <c r="AC962" t="s">
        <v>18235</v>
      </c>
      <c r="AD962" t="s">
        <v>18236</v>
      </c>
      <c r="AE962" t="s">
        <v>18237</v>
      </c>
      <c r="AF962" t="s">
        <v>74</v>
      </c>
      <c r="AG962">
        <v>86</v>
      </c>
      <c r="AH962">
        <v>30</v>
      </c>
      <c r="AI962">
        <v>34</v>
      </c>
      <c r="AJ962">
        <v>3</v>
      </c>
      <c r="AK962">
        <v>128</v>
      </c>
      <c r="AL962" t="s">
        <v>208</v>
      </c>
      <c r="AM962" t="s">
        <v>209</v>
      </c>
      <c r="AN962" t="s">
        <v>210</v>
      </c>
      <c r="AO962" t="s">
        <v>18238</v>
      </c>
      <c r="AP962" t="s">
        <v>18239</v>
      </c>
      <c r="AQ962" t="s">
        <v>74</v>
      </c>
      <c r="AR962" t="s">
        <v>18240</v>
      </c>
      <c r="AS962" t="s">
        <v>18241</v>
      </c>
      <c r="AT962" t="s">
        <v>16741</v>
      </c>
      <c r="AU962">
        <v>2015</v>
      </c>
      <c r="AV962">
        <v>21</v>
      </c>
      <c r="AW962">
        <v>6</v>
      </c>
      <c r="AX962" t="s">
        <v>74</v>
      </c>
      <c r="AY962" t="s">
        <v>74</v>
      </c>
      <c r="AZ962" t="s">
        <v>74</v>
      </c>
      <c r="BA962" t="s">
        <v>74</v>
      </c>
      <c r="BB962">
        <v>2215</v>
      </c>
      <c r="BC962">
        <v>2226</v>
      </c>
      <c r="BD962" t="s">
        <v>74</v>
      </c>
      <c r="BE962" t="s">
        <v>18242</v>
      </c>
      <c r="BF962" t="str">
        <f>HYPERLINK("http://dx.doi.org/10.1111/gcb.12882","http://dx.doi.org/10.1111/gcb.12882")</f>
        <v>http://dx.doi.org/10.1111/gcb.12882</v>
      </c>
      <c r="BG962" t="s">
        <v>74</v>
      </c>
      <c r="BH962" t="s">
        <v>74</v>
      </c>
      <c r="BI962">
        <v>12</v>
      </c>
      <c r="BJ962" t="s">
        <v>18243</v>
      </c>
      <c r="BK962" t="s">
        <v>101</v>
      </c>
      <c r="BL962" t="s">
        <v>3806</v>
      </c>
      <c r="BM962" t="s">
        <v>18244</v>
      </c>
      <c r="BN962">
        <v>25728986</v>
      </c>
      <c r="BO962" t="s">
        <v>290</v>
      </c>
      <c r="BP962" t="s">
        <v>74</v>
      </c>
      <c r="BQ962" t="s">
        <v>74</v>
      </c>
      <c r="BR962" t="s">
        <v>103</v>
      </c>
      <c r="BS962" t="s">
        <v>18245</v>
      </c>
      <c r="BT962" t="str">
        <f>HYPERLINK("https%3A%2F%2Fwww.webofscience.com%2Fwos%2Fwoscc%2Ffull-record%2FWOS:000353977500010","View Full Record in Web of Science")</f>
        <v>View Full Record in Web of Science</v>
      </c>
    </row>
    <row r="963" spans="1:72" x14ac:dyDescent="0.15">
      <c r="A963" t="s">
        <v>72</v>
      </c>
      <c r="B963" t="s">
        <v>18246</v>
      </c>
      <c r="C963" t="s">
        <v>74</v>
      </c>
      <c r="D963" t="s">
        <v>74</v>
      </c>
      <c r="E963" t="s">
        <v>74</v>
      </c>
      <c r="F963" t="s">
        <v>18247</v>
      </c>
      <c r="G963" t="s">
        <v>74</v>
      </c>
      <c r="H963" t="s">
        <v>74</v>
      </c>
      <c r="I963" t="s">
        <v>18248</v>
      </c>
      <c r="J963" t="s">
        <v>4097</v>
      </c>
      <c r="K963" t="s">
        <v>74</v>
      </c>
      <c r="L963" t="s">
        <v>74</v>
      </c>
      <c r="M963" t="s">
        <v>78</v>
      </c>
      <c r="N963" t="s">
        <v>79</v>
      </c>
      <c r="O963" t="s">
        <v>74</v>
      </c>
      <c r="P963" t="s">
        <v>74</v>
      </c>
      <c r="Q963" t="s">
        <v>74</v>
      </c>
      <c r="R963" t="s">
        <v>74</v>
      </c>
      <c r="S963" t="s">
        <v>74</v>
      </c>
      <c r="T963" t="s">
        <v>18249</v>
      </c>
      <c r="U963" t="s">
        <v>18250</v>
      </c>
      <c r="V963" t="s">
        <v>18251</v>
      </c>
      <c r="W963" t="s">
        <v>18252</v>
      </c>
      <c r="X963" t="s">
        <v>18253</v>
      </c>
      <c r="Y963" t="s">
        <v>18254</v>
      </c>
      <c r="Z963" t="s">
        <v>18255</v>
      </c>
      <c r="AA963" t="s">
        <v>18256</v>
      </c>
      <c r="AB963" t="s">
        <v>18257</v>
      </c>
      <c r="AC963" t="s">
        <v>18258</v>
      </c>
      <c r="AD963" t="s">
        <v>18259</v>
      </c>
      <c r="AE963" t="s">
        <v>18260</v>
      </c>
      <c r="AF963" t="s">
        <v>74</v>
      </c>
      <c r="AG963">
        <v>323</v>
      </c>
      <c r="AH963">
        <v>77</v>
      </c>
      <c r="AI963">
        <v>79</v>
      </c>
      <c r="AJ963">
        <v>0</v>
      </c>
      <c r="AK963">
        <v>30</v>
      </c>
      <c r="AL963" t="s">
        <v>883</v>
      </c>
      <c r="AM963" t="s">
        <v>884</v>
      </c>
      <c r="AN963" t="s">
        <v>885</v>
      </c>
      <c r="AO963" t="s">
        <v>4107</v>
      </c>
      <c r="AP963" t="s">
        <v>4108</v>
      </c>
      <c r="AQ963" t="s">
        <v>74</v>
      </c>
      <c r="AR963" t="s">
        <v>4109</v>
      </c>
      <c r="AS963" t="s">
        <v>4110</v>
      </c>
      <c r="AT963" t="s">
        <v>16741</v>
      </c>
      <c r="AU963">
        <v>2015</v>
      </c>
      <c r="AV963">
        <v>27</v>
      </c>
      <c r="AW963">
        <v>4</v>
      </c>
      <c r="AX963" t="s">
        <v>74</v>
      </c>
      <c r="AY963" t="s">
        <v>74</v>
      </c>
      <c r="AZ963" t="s">
        <v>74</v>
      </c>
      <c r="BA963" t="s">
        <v>74</v>
      </c>
      <c r="BB963">
        <v>1446</v>
      </c>
      <c r="BC963">
        <v>1473</v>
      </c>
      <c r="BD963" t="s">
        <v>74</v>
      </c>
      <c r="BE963" t="s">
        <v>18261</v>
      </c>
      <c r="BF963" t="str">
        <f>HYPERLINK("http://dx.doi.org/10.1016/j.gr.2014.01.004","http://dx.doi.org/10.1016/j.gr.2014.01.004")</f>
        <v>http://dx.doi.org/10.1016/j.gr.2014.01.004</v>
      </c>
      <c r="BG963" t="s">
        <v>74</v>
      </c>
      <c r="BH963" t="s">
        <v>74</v>
      </c>
      <c r="BI963">
        <v>28</v>
      </c>
      <c r="BJ963" t="s">
        <v>314</v>
      </c>
      <c r="BK963" t="s">
        <v>101</v>
      </c>
      <c r="BL963" t="s">
        <v>315</v>
      </c>
      <c r="BM963" t="s">
        <v>18262</v>
      </c>
      <c r="BN963" t="s">
        <v>74</v>
      </c>
      <c r="BO963" t="s">
        <v>4252</v>
      </c>
      <c r="BP963" t="s">
        <v>74</v>
      </c>
      <c r="BQ963" t="s">
        <v>74</v>
      </c>
      <c r="BR963" t="s">
        <v>103</v>
      </c>
      <c r="BS963" t="s">
        <v>18263</v>
      </c>
      <c r="BT963" t="str">
        <f>HYPERLINK("https%3A%2F%2Fwww.webofscience.com%2Fwos%2Fwoscc%2Ffull-record%2FWOS:000355024800009","View Full Record in Web of Science")</f>
        <v>View Full Record in Web of Science</v>
      </c>
    </row>
    <row r="964" spans="1:72" x14ac:dyDescent="0.15">
      <c r="A964" t="s">
        <v>72</v>
      </c>
      <c r="B964" t="s">
        <v>18264</v>
      </c>
      <c r="C964" t="s">
        <v>74</v>
      </c>
      <c r="D964" t="s">
        <v>74</v>
      </c>
      <c r="E964" t="s">
        <v>74</v>
      </c>
      <c r="F964" t="s">
        <v>18265</v>
      </c>
      <c r="G964" t="s">
        <v>74</v>
      </c>
      <c r="H964" t="s">
        <v>74</v>
      </c>
      <c r="I964" t="s">
        <v>18266</v>
      </c>
      <c r="J964" t="s">
        <v>17833</v>
      </c>
      <c r="K964" t="s">
        <v>74</v>
      </c>
      <c r="L964" t="s">
        <v>74</v>
      </c>
      <c r="M964" t="s">
        <v>78</v>
      </c>
      <c r="N964" t="s">
        <v>79</v>
      </c>
      <c r="O964" t="s">
        <v>74</v>
      </c>
      <c r="P964" t="s">
        <v>74</v>
      </c>
      <c r="Q964" t="s">
        <v>74</v>
      </c>
      <c r="R964" t="s">
        <v>74</v>
      </c>
      <c r="S964" t="s">
        <v>74</v>
      </c>
      <c r="T964" t="s">
        <v>18267</v>
      </c>
      <c r="U964" t="s">
        <v>18268</v>
      </c>
      <c r="V964" t="s">
        <v>18269</v>
      </c>
      <c r="W964" t="s">
        <v>18270</v>
      </c>
      <c r="X964" t="s">
        <v>5758</v>
      </c>
      <c r="Y964" t="s">
        <v>18271</v>
      </c>
      <c r="Z964" t="s">
        <v>18272</v>
      </c>
      <c r="AA964" t="s">
        <v>18273</v>
      </c>
      <c r="AB964" t="s">
        <v>18274</v>
      </c>
      <c r="AC964" t="s">
        <v>18275</v>
      </c>
      <c r="AD964" t="s">
        <v>3323</v>
      </c>
      <c r="AE964" t="s">
        <v>18276</v>
      </c>
      <c r="AF964" t="s">
        <v>74</v>
      </c>
      <c r="AG964">
        <v>24</v>
      </c>
      <c r="AH964">
        <v>24</v>
      </c>
      <c r="AI964">
        <v>26</v>
      </c>
      <c r="AJ964">
        <v>0</v>
      </c>
      <c r="AK964">
        <v>11</v>
      </c>
      <c r="AL964" t="s">
        <v>3146</v>
      </c>
      <c r="AM964" t="s">
        <v>3147</v>
      </c>
      <c r="AN964" t="s">
        <v>3148</v>
      </c>
      <c r="AO964" t="s">
        <v>17844</v>
      </c>
      <c r="AP964" t="s">
        <v>17845</v>
      </c>
      <c r="AQ964" t="s">
        <v>74</v>
      </c>
      <c r="AR964" t="s">
        <v>17846</v>
      </c>
      <c r="AS964" t="s">
        <v>17847</v>
      </c>
      <c r="AT964" t="s">
        <v>16741</v>
      </c>
      <c r="AU964">
        <v>2015</v>
      </c>
      <c r="AV964">
        <v>69</v>
      </c>
      <c r="AW964">
        <v>2</v>
      </c>
      <c r="AX964" t="s">
        <v>74</v>
      </c>
      <c r="AY964" t="s">
        <v>74</v>
      </c>
      <c r="AZ964" t="s">
        <v>74</v>
      </c>
      <c r="BA964" t="s">
        <v>74</v>
      </c>
      <c r="BB964">
        <v>243</v>
      </c>
      <c r="BC964">
        <v>248</v>
      </c>
      <c r="BD964" t="s">
        <v>74</v>
      </c>
      <c r="BE964" t="s">
        <v>18277</v>
      </c>
      <c r="BF964" t="str">
        <f>HYPERLINK("http://dx.doi.org/10.1007/s10152-015-0426-7","http://dx.doi.org/10.1007/s10152-015-0426-7")</f>
        <v>http://dx.doi.org/10.1007/s10152-015-0426-7</v>
      </c>
      <c r="BG964" t="s">
        <v>74</v>
      </c>
      <c r="BH964" t="s">
        <v>74</v>
      </c>
      <c r="BI964">
        <v>6</v>
      </c>
      <c r="BJ964" t="s">
        <v>478</v>
      </c>
      <c r="BK964" t="s">
        <v>101</v>
      </c>
      <c r="BL964" t="s">
        <v>478</v>
      </c>
      <c r="BM964" t="s">
        <v>17849</v>
      </c>
      <c r="BN964" t="s">
        <v>74</v>
      </c>
      <c r="BO964" t="s">
        <v>1073</v>
      </c>
      <c r="BP964" t="s">
        <v>74</v>
      </c>
      <c r="BQ964" t="s">
        <v>74</v>
      </c>
      <c r="BR964" t="s">
        <v>103</v>
      </c>
      <c r="BS964" t="s">
        <v>18278</v>
      </c>
      <c r="BT964" t="str">
        <f>HYPERLINK("https%3A%2F%2Fwww.webofscience.com%2Fwos%2Fwoscc%2Ffull-record%2FWOS:000354241700011","View Full Record in Web of Science")</f>
        <v>View Full Record in Web of Science</v>
      </c>
    </row>
    <row r="965" spans="1:72" x14ac:dyDescent="0.15">
      <c r="A965" t="s">
        <v>72</v>
      </c>
      <c r="B965" t="s">
        <v>18279</v>
      </c>
      <c r="C965" t="s">
        <v>74</v>
      </c>
      <c r="D965" t="s">
        <v>74</v>
      </c>
      <c r="E965" t="s">
        <v>74</v>
      </c>
      <c r="F965" t="s">
        <v>18280</v>
      </c>
      <c r="G965" t="s">
        <v>74</v>
      </c>
      <c r="H965" t="s">
        <v>74</v>
      </c>
      <c r="I965" t="s">
        <v>18281</v>
      </c>
      <c r="J965" t="s">
        <v>7920</v>
      </c>
      <c r="K965" t="s">
        <v>74</v>
      </c>
      <c r="L965" t="s">
        <v>74</v>
      </c>
      <c r="M965" t="s">
        <v>78</v>
      </c>
      <c r="N965" t="s">
        <v>79</v>
      </c>
      <c r="O965" t="s">
        <v>74</v>
      </c>
      <c r="P965" t="s">
        <v>74</v>
      </c>
      <c r="Q965" t="s">
        <v>74</v>
      </c>
      <c r="R965" t="s">
        <v>74</v>
      </c>
      <c r="S965" t="s">
        <v>74</v>
      </c>
      <c r="T965" t="s">
        <v>74</v>
      </c>
      <c r="U965" t="s">
        <v>18282</v>
      </c>
      <c r="V965" t="s">
        <v>18283</v>
      </c>
      <c r="W965" t="s">
        <v>18284</v>
      </c>
      <c r="X965" t="s">
        <v>18285</v>
      </c>
      <c r="Y965" t="s">
        <v>18286</v>
      </c>
      <c r="Z965" t="s">
        <v>18287</v>
      </c>
      <c r="AA965" t="s">
        <v>18288</v>
      </c>
      <c r="AB965" t="s">
        <v>18289</v>
      </c>
      <c r="AC965" t="s">
        <v>18290</v>
      </c>
      <c r="AD965" t="s">
        <v>18291</v>
      </c>
      <c r="AE965" t="s">
        <v>18292</v>
      </c>
      <c r="AF965" t="s">
        <v>74</v>
      </c>
      <c r="AG965">
        <v>81</v>
      </c>
      <c r="AH965">
        <v>10</v>
      </c>
      <c r="AI965">
        <v>11</v>
      </c>
      <c r="AJ965">
        <v>1</v>
      </c>
      <c r="AK965">
        <v>17</v>
      </c>
      <c r="AL965" t="s">
        <v>306</v>
      </c>
      <c r="AM965" t="s">
        <v>307</v>
      </c>
      <c r="AN965" t="s">
        <v>308</v>
      </c>
      <c r="AO965" t="s">
        <v>7932</v>
      </c>
      <c r="AP965" t="s">
        <v>74</v>
      </c>
      <c r="AQ965" t="s">
        <v>74</v>
      </c>
      <c r="AR965" t="s">
        <v>7933</v>
      </c>
      <c r="AS965" t="s">
        <v>7934</v>
      </c>
      <c r="AT965" t="s">
        <v>16741</v>
      </c>
      <c r="AU965">
        <v>2015</v>
      </c>
      <c r="AV965">
        <v>7</v>
      </c>
      <c r="AW965">
        <v>2</v>
      </c>
      <c r="AX965" t="s">
        <v>74</v>
      </c>
      <c r="AY965" t="s">
        <v>74</v>
      </c>
      <c r="AZ965" t="s">
        <v>74</v>
      </c>
      <c r="BA965" t="s">
        <v>74</v>
      </c>
      <c r="BB965">
        <v>806</v>
      </c>
      <c r="BC965">
        <v>822</v>
      </c>
      <c r="BD965" t="s">
        <v>74</v>
      </c>
      <c r="BE965" t="s">
        <v>18293</v>
      </c>
      <c r="BF965" t="str">
        <f>HYPERLINK("http://dx.doi.org/10.1002/2014MS000387","http://dx.doi.org/10.1002/2014MS000387")</f>
        <v>http://dx.doi.org/10.1002/2014MS000387</v>
      </c>
      <c r="BG965" t="s">
        <v>74</v>
      </c>
      <c r="BH965" t="s">
        <v>74</v>
      </c>
      <c r="BI965">
        <v>17</v>
      </c>
      <c r="BJ965" t="s">
        <v>271</v>
      </c>
      <c r="BK965" t="s">
        <v>101</v>
      </c>
      <c r="BL965" t="s">
        <v>271</v>
      </c>
      <c r="BM965" t="s">
        <v>16780</v>
      </c>
      <c r="BN965" t="s">
        <v>74</v>
      </c>
      <c r="BO965" t="s">
        <v>1404</v>
      </c>
      <c r="BP965" t="s">
        <v>74</v>
      </c>
      <c r="BQ965" t="s">
        <v>74</v>
      </c>
      <c r="BR965" t="s">
        <v>103</v>
      </c>
      <c r="BS965" t="s">
        <v>18294</v>
      </c>
      <c r="BT965" t="str">
        <f>HYPERLINK("https%3A%2F%2Fwww.webofscience.com%2Fwos%2Fwoscc%2Ffull-record%2FWOS:000360825000022","View Full Record in Web of Science")</f>
        <v>View Full Record in Web of Science</v>
      </c>
    </row>
    <row r="966" spans="1:72" x14ac:dyDescent="0.15">
      <c r="A966" t="s">
        <v>72</v>
      </c>
      <c r="B966" t="s">
        <v>18295</v>
      </c>
      <c r="C966" t="s">
        <v>74</v>
      </c>
      <c r="D966" t="s">
        <v>74</v>
      </c>
      <c r="E966" t="s">
        <v>74</v>
      </c>
      <c r="F966" t="s">
        <v>18296</v>
      </c>
      <c r="G966" t="s">
        <v>74</v>
      </c>
      <c r="H966" t="s">
        <v>74</v>
      </c>
      <c r="I966" t="s">
        <v>18297</v>
      </c>
      <c r="J966" t="s">
        <v>18298</v>
      </c>
      <c r="K966" t="s">
        <v>74</v>
      </c>
      <c r="L966" t="s">
        <v>74</v>
      </c>
      <c r="M966" t="s">
        <v>78</v>
      </c>
      <c r="N966" t="s">
        <v>79</v>
      </c>
      <c r="O966" t="s">
        <v>74</v>
      </c>
      <c r="P966" t="s">
        <v>74</v>
      </c>
      <c r="Q966" t="s">
        <v>74</v>
      </c>
      <c r="R966" t="s">
        <v>74</v>
      </c>
      <c r="S966" t="s">
        <v>74</v>
      </c>
      <c r="T966" t="s">
        <v>18299</v>
      </c>
      <c r="U966" t="s">
        <v>18300</v>
      </c>
      <c r="V966" t="s">
        <v>18301</v>
      </c>
      <c r="W966" t="s">
        <v>18302</v>
      </c>
      <c r="X966" t="s">
        <v>18303</v>
      </c>
      <c r="Y966" t="s">
        <v>18304</v>
      </c>
      <c r="Z966" t="s">
        <v>18305</v>
      </c>
      <c r="AA966" t="s">
        <v>18306</v>
      </c>
      <c r="AB966" t="s">
        <v>18307</v>
      </c>
      <c r="AC966" t="s">
        <v>18308</v>
      </c>
      <c r="AD966" t="s">
        <v>18308</v>
      </c>
      <c r="AE966" t="s">
        <v>18309</v>
      </c>
      <c r="AF966" t="s">
        <v>74</v>
      </c>
      <c r="AG966">
        <v>39</v>
      </c>
      <c r="AH966">
        <v>38</v>
      </c>
      <c r="AI966">
        <v>39</v>
      </c>
      <c r="AJ966">
        <v>4</v>
      </c>
      <c r="AK966">
        <v>191</v>
      </c>
      <c r="AL966" t="s">
        <v>208</v>
      </c>
      <c r="AM966" t="s">
        <v>209</v>
      </c>
      <c r="AN966" t="s">
        <v>210</v>
      </c>
      <c r="AO966" t="s">
        <v>18310</v>
      </c>
      <c r="AP966" t="s">
        <v>18311</v>
      </c>
      <c r="AQ966" t="s">
        <v>74</v>
      </c>
      <c r="AR966" t="s">
        <v>18312</v>
      </c>
      <c r="AS966" t="s">
        <v>18313</v>
      </c>
      <c r="AT966" t="s">
        <v>16741</v>
      </c>
      <c r="AU966">
        <v>2015</v>
      </c>
      <c r="AV966">
        <v>52</v>
      </c>
      <c r="AW966">
        <v>3</v>
      </c>
      <c r="AX966" t="s">
        <v>74</v>
      </c>
      <c r="AY966" t="s">
        <v>74</v>
      </c>
      <c r="AZ966" t="s">
        <v>74</v>
      </c>
      <c r="BA966" t="s">
        <v>74</v>
      </c>
      <c r="BB966">
        <v>774</v>
      </c>
      <c r="BC966">
        <v>783</v>
      </c>
      <c r="BD966" t="s">
        <v>74</v>
      </c>
      <c r="BE966" t="s">
        <v>18314</v>
      </c>
      <c r="BF966" t="str">
        <f>HYPERLINK("http://dx.doi.org/10.1111/1365-2664.12436","http://dx.doi.org/10.1111/1365-2664.12436")</f>
        <v>http://dx.doi.org/10.1111/1365-2664.12436</v>
      </c>
      <c r="BG966" t="s">
        <v>74</v>
      </c>
      <c r="BH966" t="s">
        <v>74</v>
      </c>
      <c r="BI966">
        <v>10</v>
      </c>
      <c r="BJ966" t="s">
        <v>4778</v>
      </c>
      <c r="BK966" t="s">
        <v>101</v>
      </c>
      <c r="BL966" t="s">
        <v>3806</v>
      </c>
      <c r="BM966" t="s">
        <v>18315</v>
      </c>
      <c r="BN966" t="s">
        <v>74</v>
      </c>
      <c r="BO966" t="s">
        <v>162</v>
      </c>
      <c r="BP966" t="s">
        <v>74</v>
      </c>
      <c r="BQ966" t="s">
        <v>74</v>
      </c>
      <c r="BR966" t="s">
        <v>103</v>
      </c>
      <c r="BS966" t="s">
        <v>18316</v>
      </c>
      <c r="BT966" t="str">
        <f>HYPERLINK("https%3A%2F%2Fwww.webofscience.com%2Fwos%2Fwoscc%2Ffull-record%2FWOS:000354811700025","View Full Record in Web of Science")</f>
        <v>View Full Record in Web of Science</v>
      </c>
    </row>
    <row r="967" spans="1:72" x14ac:dyDescent="0.15">
      <c r="A967" t="s">
        <v>72</v>
      </c>
      <c r="B967" t="s">
        <v>18317</v>
      </c>
      <c r="C967" t="s">
        <v>74</v>
      </c>
      <c r="D967" t="s">
        <v>74</v>
      </c>
      <c r="E967" t="s">
        <v>74</v>
      </c>
      <c r="F967" t="s">
        <v>18318</v>
      </c>
      <c r="G967" t="s">
        <v>74</v>
      </c>
      <c r="H967" t="s">
        <v>74</v>
      </c>
      <c r="I967" t="s">
        <v>18319</v>
      </c>
      <c r="J967" t="s">
        <v>18320</v>
      </c>
      <c r="K967" t="s">
        <v>74</v>
      </c>
      <c r="L967" t="s">
        <v>74</v>
      </c>
      <c r="M967" t="s">
        <v>78</v>
      </c>
      <c r="N967" t="s">
        <v>79</v>
      </c>
      <c r="O967" t="s">
        <v>74</v>
      </c>
      <c r="P967" t="s">
        <v>74</v>
      </c>
      <c r="Q967" t="s">
        <v>74</v>
      </c>
      <c r="R967" t="s">
        <v>74</v>
      </c>
      <c r="S967" t="s">
        <v>74</v>
      </c>
      <c r="T967" t="s">
        <v>74</v>
      </c>
      <c r="U967" t="s">
        <v>18321</v>
      </c>
      <c r="V967" t="s">
        <v>74</v>
      </c>
      <c r="W967" t="s">
        <v>18322</v>
      </c>
      <c r="X967" t="s">
        <v>18323</v>
      </c>
      <c r="Y967" t="s">
        <v>18324</v>
      </c>
      <c r="Z967" t="s">
        <v>18325</v>
      </c>
      <c r="AA967" t="s">
        <v>18326</v>
      </c>
      <c r="AB967" t="s">
        <v>18327</v>
      </c>
      <c r="AC967" t="s">
        <v>18328</v>
      </c>
      <c r="AD967" t="s">
        <v>18329</v>
      </c>
      <c r="AE967" t="s">
        <v>18330</v>
      </c>
      <c r="AF967" t="s">
        <v>74</v>
      </c>
      <c r="AG967">
        <v>183</v>
      </c>
      <c r="AH967">
        <v>36</v>
      </c>
      <c r="AI967">
        <v>40</v>
      </c>
      <c r="AJ967">
        <v>0</v>
      </c>
      <c r="AK967">
        <v>39</v>
      </c>
      <c r="AL967" t="s">
        <v>1474</v>
      </c>
      <c r="AM967" t="s">
        <v>1475</v>
      </c>
      <c r="AN967" t="s">
        <v>1476</v>
      </c>
      <c r="AO967" t="s">
        <v>18331</v>
      </c>
      <c r="AP967" t="s">
        <v>18332</v>
      </c>
      <c r="AQ967" t="s">
        <v>74</v>
      </c>
      <c r="AR967" t="s">
        <v>18333</v>
      </c>
      <c r="AS967" t="s">
        <v>18334</v>
      </c>
      <c r="AT967" t="s">
        <v>16741</v>
      </c>
      <c r="AU967">
        <v>2015</v>
      </c>
      <c r="AV967">
        <v>37</v>
      </c>
      <c r="AW967">
        <v>2</v>
      </c>
      <c r="AX967" t="s">
        <v>74</v>
      </c>
      <c r="AY967" t="s">
        <v>74</v>
      </c>
      <c r="AZ967" t="s">
        <v>74</v>
      </c>
      <c r="BA967" t="s">
        <v>74</v>
      </c>
      <c r="BB967">
        <v>128</v>
      </c>
      <c r="BC967">
        <v>146</v>
      </c>
      <c r="BD967" t="s">
        <v>74</v>
      </c>
      <c r="BE967" t="s">
        <v>18335</v>
      </c>
      <c r="BF967" t="str">
        <f>HYPERLINK("http://dx.doi.org/10.1179/1743282015Y.0000000003","http://dx.doi.org/10.1179/1743282015Y.0000000003")</f>
        <v>http://dx.doi.org/10.1179/1743282015Y.0000000003</v>
      </c>
      <c r="BG967" t="s">
        <v>74</v>
      </c>
      <c r="BH967" t="s">
        <v>74</v>
      </c>
      <c r="BI967">
        <v>19</v>
      </c>
      <c r="BJ967" t="s">
        <v>429</v>
      </c>
      <c r="BK967" t="s">
        <v>101</v>
      </c>
      <c r="BL967" t="s">
        <v>429</v>
      </c>
      <c r="BM967" t="s">
        <v>18336</v>
      </c>
      <c r="BN967" t="s">
        <v>74</v>
      </c>
      <c r="BO967" t="s">
        <v>1213</v>
      </c>
      <c r="BP967" t="s">
        <v>74</v>
      </c>
      <c r="BQ967" t="s">
        <v>74</v>
      </c>
      <c r="BR967" t="s">
        <v>103</v>
      </c>
      <c r="BS967" t="s">
        <v>18337</v>
      </c>
      <c r="BT967" t="str">
        <f>HYPERLINK("https%3A%2F%2Fwww.webofscience.com%2Fwos%2Fwoscc%2Ffull-record%2FWOS:000356440000006","View Full Record in Web of Science")</f>
        <v>View Full Record in Web of Science</v>
      </c>
    </row>
    <row r="968" spans="1:72" x14ac:dyDescent="0.15">
      <c r="A968" t="s">
        <v>72</v>
      </c>
      <c r="B968" t="s">
        <v>18338</v>
      </c>
      <c r="C968" t="s">
        <v>74</v>
      </c>
      <c r="D968" t="s">
        <v>74</v>
      </c>
      <c r="E968" t="s">
        <v>74</v>
      </c>
      <c r="F968" t="s">
        <v>18339</v>
      </c>
      <c r="G968" t="s">
        <v>74</v>
      </c>
      <c r="H968" t="s">
        <v>74</v>
      </c>
      <c r="I968" t="s">
        <v>18340</v>
      </c>
      <c r="J968" t="s">
        <v>11730</v>
      </c>
      <c r="K968" t="s">
        <v>74</v>
      </c>
      <c r="L968" t="s">
        <v>74</v>
      </c>
      <c r="M968" t="s">
        <v>78</v>
      </c>
      <c r="N968" t="s">
        <v>581</v>
      </c>
      <c r="O968" t="s">
        <v>74</v>
      </c>
      <c r="P968" t="s">
        <v>74</v>
      </c>
      <c r="Q968" t="s">
        <v>74</v>
      </c>
      <c r="R968" t="s">
        <v>74</v>
      </c>
      <c r="S968" t="s">
        <v>74</v>
      </c>
      <c r="T968" t="s">
        <v>18341</v>
      </c>
      <c r="U968" t="s">
        <v>18342</v>
      </c>
      <c r="V968" t="s">
        <v>18343</v>
      </c>
      <c r="W968" t="s">
        <v>18344</v>
      </c>
      <c r="X968" t="s">
        <v>18345</v>
      </c>
      <c r="Y968" t="s">
        <v>18346</v>
      </c>
      <c r="Z968" t="s">
        <v>18347</v>
      </c>
      <c r="AA968" t="s">
        <v>18348</v>
      </c>
      <c r="AB968" t="s">
        <v>18349</v>
      </c>
      <c r="AC968" t="s">
        <v>18350</v>
      </c>
      <c r="AD968" t="s">
        <v>13262</v>
      </c>
      <c r="AE968" t="s">
        <v>18351</v>
      </c>
      <c r="AF968" t="s">
        <v>74</v>
      </c>
      <c r="AG968">
        <v>158</v>
      </c>
      <c r="AH968">
        <v>63</v>
      </c>
      <c r="AI968">
        <v>71</v>
      </c>
      <c r="AJ968">
        <v>6</v>
      </c>
      <c r="AK968">
        <v>126</v>
      </c>
      <c r="AL968" t="s">
        <v>11743</v>
      </c>
      <c r="AM968" t="s">
        <v>5528</v>
      </c>
      <c r="AN968" t="s">
        <v>11744</v>
      </c>
      <c r="AO968" t="s">
        <v>11745</v>
      </c>
      <c r="AP968" t="s">
        <v>11746</v>
      </c>
      <c r="AQ968" t="s">
        <v>74</v>
      </c>
      <c r="AR968" t="s">
        <v>11747</v>
      </c>
      <c r="AS968" t="s">
        <v>11748</v>
      </c>
      <c r="AT968" t="s">
        <v>16741</v>
      </c>
      <c r="AU968">
        <v>2015</v>
      </c>
      <c r="AV968">
        <v>218</v>
      </c>
      <c r="AW968">
        <v>12</v>
      </c>
      <c r="AX968" t="s">
        <v>74</v>
      </c>
      <c r="AY968" t="s">
        <v>74</v>
      </c>
      <c r="AZ968" t="s">
        <v>931</v>
      </c>
      <c r="BA968" t="s">
        <v>74</v>
      </c>
      <c r="BB968">
        <v>1834</v>
      </c>
      <c r="BC968">
        <v>1845</v>
      </c>
      <c r="BD968" t="s">
        <v>74</v>
      </c>
      <c r="BE968" t="s">
        <v>18352</v>
      </c>
      <c r="BF968" t="str">
        <f>HYPERLINK("http://dx.doi.org/10.1242/jeb.116129","http://dx.doi.org/10.1242/jeb.116129")</f>
        <v>http://dx.doi.org/10.1242/jeb.116129</v>
      </c>
      <c r="BG968" t="s">
        <v>74</v>
      </c>
      <c r="BH968" t="s">
        <v>74</v>
      </c>
      <c r="BI968">
        <v>12</v>
      </c>
      <c r="BJ968" t="s">
        <v>11750</v>
      </c>
      <c r="BK968" t="s">
        <v>101</v>
      </c>
      <c r="BL968" t="s">
        <v>11751</v>
      </c>
      <c r="BM968" t="s">
        <v>18353</v>
      </c>
      <c r="BN968">
        <v>26085661</v>
      </c>
      <c r="BO968" t="s">
        <v>162</v>
      </c>
      <c r="BP968" t="s">
        <v>74</v>
      </c>
      <c r="BQ968" t="s">
        <v>74</v>
      </c>
      <c r="BR968" t="s">
        <v>103</v>
      </c>
      <c r="BS968" t="s">
        <v>18354</v>
      </c>
      <c r="BT968" t="str">
        <f>HYPERLINK("https%3A%2F%2Fwww.webofscience.com%2Fwos%2Fwoscc%2Ffull-record%2FWOS:000356497200006","View Full Record in Web of Science")</f>
        <v>View Full Record in Web of Science</v>
      </c>
    </row>
    <row r="969" spans="1:72" x14ac:dyDescent="0.15">
      <c r="A969" t="s">
        <v>72</v>
      </c>
      <c r="B969" t="s">
        <v>18355</v>
      </c>
      <c r="C969" t="s">
        <v>74</v>
      </c>
      <c r="D969" t="s">
        <v>74</v>
      </c>
      <c r="E969" t="s">
        <v>74</v>
      </c>
      <c r="F969" t="s">
        <v>18356</v>
      </c>
      <c r="G969" t="s">
        <v>74</v>
      </c>
      <c r="H969" t="s">
        <v>74</v>
      </c>
      <c r="I969" t="s">
        <v>18357</v>
      </c>
      <c r="J969" t="s">
        <v>11730</v>
      </c>
      <c r="K969" t="s">
        <v>74</v>
      </c>
      <c r="L969" t="s">
        <v>74</v>
      </c>
      <c r="M969" t="s">
        <v>78</v>
      </c>
      <c r="N969" t="s">
        <v>581</v>
      </c>
      <c r="O969" t="s">
        <v>74</v>
      </c>
      <c r="P969" t="s">
        <v>74</v>
      </c>
      <c r="Q969" t="s">
        <v>74</v>
      </c>
      <c r="R969" t="s">
        <v>74</v>
      </c>
      <c r="S969" t="s">
        <v>74</v>
      </c>
      <c r="T969" t="s">
        <v>18358</v>
      </c>
      <c r="U969" t="s">
        <v>18359</v>
      </c>
      <c r="V969" t="s">
        <v>18360</v>
      </c>
      <c r="W969" t="s">
        <v>18361</v>
      </c>
      <c r="X969" t="s">
        <v>18362</v>
      </c>
      <c r="Y969" t="s">
        <v>18363</v>
      </c>
      <c r="Z969" t="s">
        <v>18364</v>
      </c>
      <c r="AA969" t="s">
        <v>74</v>
      </c>
      <c r="AB969" t="s">
        <v>74</v>
      </c>
      <c r="AC969" t="s">
        <v>74</v>
      </c>
      <c r="AD969" t="s">
        <v>74</v>
      </c>
      <c r="AE969" t="s">
        <v>74</v>
      </c>
      <c r="AF969" t="s">
        <v>74</v>
      </c>
      <c r="AG969">
        <v>177</v>
      </c>
      <c r="AH969">
        <v>105</v>
      </c>
      <c r="AI969">
        <v>124</v>
      </c>
      <c r="AJ969">
        <v>2</v>
      </c>
      <c r="AK969">
        <v>206</v>
      </c>
      <c r="AL969" t="s">
        <v>18365</v>
      </c>
      <c r="AM969" t="s">
        <v>5528</v>
      </c>
      <c r="AN969" t="s">
        <v>18366</v>
      </c>
      <c r="AO969" t="s">
        <v>11745</v>
      </c>
      <c r="AP969" t="s">
        <v>11746</v>
      </c>
      <c r="AQ969" t="s">
        <v>74</v>
      </c>
      <c r="AR969" t="s">
        <v>11747</v>
      </c>
      <c r="AS969" t="s">
        <v>11748</v>
      </c>
      <c r="AT969" t="s">
        <v>16741</v>
      </c>
      <c r="AU969">
        <v>2015</v>
      </c>
      <c r="AV969">
        <v>218</v>
      </c>
      <c r="AW969">
        <v>12</v>
      </c>
      <c r="AX969" t="s">
        <v>74</v>
      </c>
      <c r="AY969" t="s">
        <v>74</v>
      </c>
      <c r="AZ969" t="s">
        <v>931</v>
      </c>
      <c r="BA969" t="s">
        <v>74</v>
      </c>
      <c r="BB969">
        <v>1846</v>
      </c>
      <c r="BC969">
        <v>1855</v>
      </c>
      <c r="BD969" t="s">
        <v>74</v>
      </c>
      <c r="BE969" t="s">
        <v>18367</v>
      </c>
      <c r="BF969" t="str">
        <f>HYPERLINK("http://dx.doi.org/10.1242/jeb.116905","http://dx.doi.org/10.1242/jeb.116905")</f>
        <v>http://dx.doi.org/10.1242/jeb.116905</v>
      </c>
      <c r="BG969" t="s">
        <v>74</v>
      </c>
      <c r="BH969" t="s">
        <v>74</v>
      </c>
      <c r="BI969">
        <v>10</v>
      </c>
      <c r="BJ969" t="s">
        <v>11750</v>
      </c>
      <c r="BK969" t="s">
        <v>101</v>
      </c>
      <c r="BL969" t="s">
        <v>11751</v>
      </c>
      <c r="BM969" t="s">
        <v>18353</v>
      </c>
      <c r="BN969">
        <v>26085662</v>
      </c>
      <c r="BO969" t="s">
        <v>162</v>
      </c>
      <c r="BP969" t="s">
        <v>74</v>
      </c>
      <c r="BQ969" t="s">
        <v>74</v>
      </c>
      <c r="BR969" t="s">
        <v>103</v>
      </c>
      <c r="BS969" t="s">
        <v>18368</v>
      </c>
      <c r="BT969" t="str">
        <f>HYPERLINK("https%3A%2F%2Fwww.webofscience.com%2Fwos%2Fwoscc%2Ffull-record%2FWOS:000356497200007","View Full Record in Web of Science")</f>
        <v>View Full Record in Web of Science</v>
      </c>
    </row>
    <row r="970" spans="1:72" x14ac:dyDescent="0.15">
      <c r="A970" t="s">
        <v>72</v>
      </c>
      <c r="B970" t="s">
        <v>18369</v>
      </c>
      <c r="C970" t="s">
        <v>74</v>
      </c>
      <c r="D970" t="s">
        <v>74</v>
      </c>
      <c r="E970" t="s">
        <v>74</v>
      </c>
      <c r="F970" t="s">
        <v>18370</v>
      </c>
      <c r="G970" t="s">
        <v>74</v>
      </c>
      <c r="H970" t="s">
        <v>74</v>
      </c>
      <c r="I970" t="s">
        <v>18371</v>
      </c>
      <c r="J970" t="s">
        <v>11730</v>
      </c>
      <c r="K970" t="s">
        <v>74</v>
      </c>
      <c r="L970" t="s">
        <v>74</v>
      </c>
      <c r="M970" t="s">
        <v>78</v>
      </c>
      <c r="N970" t="s">
        <v>581</v>
      </c>
      <c r="O970" t="s">
        <v>74</v>
      </c>
      <c r="P970" t="s">
        <v>74</v>
      </c>
      <c r="Q970" t="s">
        <v>74</v>
      </c>
      <c r="R970" t="s">
        <v>74</v>
      </c>
      <c r="S970" t="s">
        <v>74</v>
      </c>
      <c r="T970" t="s">
        <v>18372</v>
      </c>
      <c r="U970" t="s">
        <v>18373</v>
      </c>
      <c r="V970" t="s">
        <v>18374</v>
      </c>
      <c r="W970" t="s">
        <v>18375</v>
      </c>
      <c r="X970" t="s">
        <v>18376</v>
      </c>
      <c r="Y970" t="s">
        <v>18377</v>
      </c>
      <c r="Z970" t="s">
        <v>18378</v>
      </c>
      <c r="AA970" t="s">
        <v>18379</v>
      </c>
      <c r="AB970" t="s">
        <v>18380</v>
      </c>
      <c r="AC970" t="s">
        <v>18381</v>
      </c>
      <c r="AD970" t="s">
        <v>5572</v>
      </c>
      <c r="AE970" t="s">
        <v>18382</v>
      </c>
      <c r="AF970" t="s">
        <v>74</v>
      </c>
      <c r="AG970">
        <v>96</v>
      </c>
      <c r="AH970">
        <v>111</v>
      </c>
      <c r="AI970">
        <v>123</v>
      </c>
      <c r="AJ970">
        <v>5</v>
      </c>
      <c r="AK970">
        <v>120</v>
      </c>
      <c r="AL970" t="s">
        <v>18365</v>
      </c>
      <c r="AM970" t="s">
        <v>5528</v>
      </c>
      <c r="AN970" t="s">
        <v>18366</v>
      </c>
      <c r="AO970" t="s">
        <v>11745</v>
      </c>
      <c r="AP970" t="s">
        <v>11746</v>
      </c>
      <c r="AQ970" t="s">
        <v>74</v>
      </c>
      <c r="AR970" t="s">
        <v>11747</v>
      </c>
      <c r="AS970" t="s">
        <v>11748</v>
      </c>
      <c r="AT970" t="s">
        <v>16741</v>
      </c>
      <c r="AU970">
        <v>2015</v>
      </c>
      <c r="AV970">
        <v>218</v>
      </c>
      <c r="AW970">
        <v>12</v>
      </c>
      <c r="AX970" t="s">
        <v>74</v>
      </c>
      <c r="AY970" t="s">
        <v>74</v>
      </c>
      <c r="AZ970" t="s">
        <v>931</v>
      </c>
      <c r="BA970" t="s">
        <v>74</v>
      </c>
      <c r="BB970">
        <v>1915</v>
      </c>
      <c r="BC970">
        <v>1924</v>
      </c>
      <c r="BD970" t="s">
        <v>74</v>
      </c>
      <c r="BE970" t="s">
        <v>18383</v>
      </c>
      <c r="BF970" t="str">
        <f>HYPERLINK("http://dx.doi.org/10.1242/jeb.114397","http://dx.doi.org/10.1242/jeb.114397")</f>
        <v>http://dx.doi.org/10.1242/jeb.114397</v>
      </c>
      <c r="BG970" t="s">
        <v>74</v>
      </c>
      <c r="BH970" t="s">
        <v>74</v>
      </c>
      <c r="BI970">
        <v>10</v>
      </c>
      <c r="BJ970" t="s">
        <v>11750</v>
      </c>
      <c r="BK970" t="s">
        <v>101</v>
      </c>
      <c r="BL970" t="s">
        <v>11751</v>
      </c>
      <c r="BM970" t="s">
        <v>18353</v>
      </c>
      <c r="BN970">
        <v>26085668</v>
      </c>
      <c r="BO970" t="s">
        <v>162</v>
      </c>
      <c r="BP970" t="s">
        <v>74</v>
      </c>
      <c r="BQ970" t="s">
        <v>74</v>
      </c>
      <c r="BR970" t="s">
        <v>103</v>
      </c>
      <c r="BS970" t="s">
        <v>18384</v>
      </c>
      <c r="BT970" t="str">
        <f>HYPERLINK("https%3A%2F%2Fwww.webofscience.com%2Fwos%2Fwoscc%2Ffull-record%2FWOS:000356497200013","View Full Record in Web of Science")</f>
        <v>View Full Record in Web of Science</v>
      </c>
    </row>
    <row r="971" spans="1:72" x14ac:dyDescent="0.15">
      <c r="A971" t="s">
        <v>72</v>
      </c>
      <c r="B971" t="s">
        <v>18385</v>
      </c>
      <c r="C971" t="s">
        <v>74</v>
      </c>
      <c r="D971" t="s">
        <v>74</v>
      </c>
      <c r="E971" t="s">
        <v>74</v>
      </c>
      <c r="F971" t="s">
        <v>18386</v>
      </c>
      <c r="G971" t="s">
        <v>74</v>
      </c>
      <c r="H971" t="s">
        <v>74</v>
      </c>
      <c r="I971" t="s">
        <v>18387</v>
      </c>
      <c r="J971" t="s">
        <v>11730</v>
      </c>
      <c r="K971" t="s">
        <v>74</v>
      </c>
      <c r="L971" t="s">
        <v>74</v>
      </c>
      <c r="M971" t="s">
        <v>78</v>
      </c>
      <c r="N971" t="s">
        <v>581</v>
      </c>
      <c r="O971" t="s">
        <v>74</v>
      </c>
      <c r="P971" t="s">
        <v>74</v>
      </c>
      <c r="Q971" t="s">
        <v>74</v>
      </c>
      <c r="R971" t="s">
        <v>74</v>
      </c>
      <c r="S971" t="s">
        <v>74</v>
      </c>
      <c r="T971" t="s">
        <v>18388</v>
      </c>
      <c r="U971" t="s">
        <v>18389</v>
      </c>
      <c r="V971" t="s">
        <v>18390</v>
      </c>
      <c r="W971" t="s">
        <v>18391</v>
      </c>
      <c r="X971" t="s">
        <v>18392</v>
      </c>
      <c r="Y971" t="s">
        <v>18393</v>
      </c>
      <c r="Z971" t="s">
        <v>18394</v>
      </c>
      <c r="AA971" t="s">
        <v>74</v>
      </c>
      <c r="AB971" t="s">
        <v>74</v>
      </c>
      <c r="AC971" t="s">
        <v>18395</v>
      </c>
      <c r="AD971" t="s">
        <v>18395</v>
      </c>
      <c r="AE971" t="s">
        <v>18396</v>
      </c>
      <c r="AF971" t="s">
        <v>74</v>
      </c>
      <c r="AG971">
        <v>121</v>
      </c>
      <c r="AH971">
        <v>84</v>
      </c>
      <c r="AI971">
        <v>103</v>
      </c>
      <c r="AJ971">
        <v>4</v>
      </c>
      <c r="AK971">
        <v>90</v>
      </c>
      <c r="AL971" t="s">
        <v>11743</v>
      </c>
      <c r="AM971" t="s">
        <v>5528</v>
      </c>
      <c r="AN971" t="s">
        <v>11744</v>
      </c>
      <c r="AO971" t="s">
        <v>11745</v>
      </c>
      <c r="AP971" t="s">
        <v>11746</v>
      </c>
      <c r="AQ971" t="s">
        <v>74</v>
      </c>
      <c r="AR971" t="s">
        <v>11747</v>
      </c>
      <c r="AS971" t="s">
        <v>11748</v>
      </c>
      <c r="AT971" t="s">
        <v>16741</v>
      </c>
      <c r="AU971">
        <v>2015</v>
      </c>
      <c r="AV971">
        <v>218</v>
      </c>
      <c r="AW971">
        <v>12</v>
      </c>
      <c r="AX971" t="s">
        <v>74</v>
      </c>
      <c r="AY971" t="s">
        <v>74</v>
      </c>
      <c r="AZ971" t="s">
        <v>931</v>
      </c>
      <c r="BA971" t="s">
        <v>74</v>
      </c>
      <c r="BB971">
        <v>1925</v>
      </c>
      <c r="BC971">
        <v>1935</v>
      </c>
      <c r="BD971" t="s">
        <v>74</v>
      </c>
      <c r="BE971" t="s">
        <v>18397</v>
      </c>
      <c r="BF971" t="str">
        <f>HYPERLINK("http://dx.doi.org/10.1242/jeb.114306","http://dx.doi.org/10.1242/jeb.114306")</f>
        <v>http://dx.doi.org/10.1242/jeb.114306</v>
      </c>
      <c r="BG971" t="s">
        <v>74</v>
      </c>
      <c r="BH971" t="s">
        <v>74</v>
      </c>
      <c r="BI971">
        <v>11</v>
      </c>
      <c r="BJ971" t="s">
        <v>11750</v>
      </c>
      <c r="BK971" t="s">
        <v>101</v>
      </c>
      <c r="BL971" t="s">
        <v>11751</v>
      </c>
      <c r="BM971" t="s">
        <v>18353</v>
      </c>
      <c r="BN971">
        <v>26085669</v>
      </c>
      <c r="BO971" t="s">
        <v>162</v>
      </c>
      <c r="BP971" t="s">
        <v>74</v>
      </c>
      <c r="BQ971" t="s">
        <v>74</v>
      </c>
      <c r="BR971" t="s">
        <v>103</v>
      </c>
      <c r="BS971" t="s">
        <v>18398</v>
      </c>
      <c r="BT971" t="str">
        <f>HYPERLINK("https%3A%2F%2Fwww.webofscience.com%2Fwos%2Fwoscc%2Ffull-record%2FWOS:000356497200014","View Full Record in Web of Science")</f>
        <v>View Full Record in Web of Science</v>
      </c>
    </row>
    <row r="972" spans="1:72" x14ac:dyDescent="0.15">
      <c r="A972" t="s">
        <v>72</v>
      </c>
      <c r="B972" t="s">
        <v>18399</v>
      </c>
      <c r="C972" t="s">
        <v>74</v>
      </c>
      <c r="D972" t="s">
        <v>74</v>
      </c>
      <c r="E972" t="s">
        <v>74</v>
      </c>
      <c r="F972" t="s">
        <v>18400</v>
      </c>
      <c r="G972" t="s">
        <v>74</v>
      </c>
      <c r="H972" t="s">
        <v>74</v>
      </c>
      <c r="I972" t="s">
        <v>18401</v>
      </c>
      <c r="J972" t="s">
        <v>18402</v>
      </c>
      <c r="K972" t="s">
        <v>74</v>
      </c>
      <c r="L972" t="s">
        <v>74</v>
      </c>
      <c r="M972" t="s">
        <v>78</v>
      </c>
      <c r="N972" t="s">
        <v>79</v>
      </c>
      <c r="O972" t="s">
        <v>74</v>
      </c>
      <c r="P972" t="s">
        <v>74</v>
      </c>
      <c r="Q972" t="s">
        <v>74</v>
      </c>
      <c r="R972" t="s">
        <v>74</v>
      </c>
      <c r="S972" t="s">
        <v>74</v>
      </c>
      <c r="T972" t="s">
        <v>74</v>
      </c>
      <c r="U972" t="s">
        <v>18403</v>
      </c>
      <c r="V972" t="s">
        <v>18404</v>
      </c>
      <c r="W972" t="s">
        <v>18405</v>
      </c>
      <c r="X972" t="s">
        <v>18406</v>
      </c>
      <c r="Y972" t="s">
        <v>9082</v>
      </c>
      <c r="Z972" t="s">
        <v>9083</v>
      </c>
      <c r="AA972" t="s">
        <v>9084</v>
      </c>
      <c r="AB972" t="s">
        <v>74</v>
      </c>
      <c r="AC972" t="s">
        <v>18407</v>
      </c>
      <c r="AD972" t="s">
        <v>18408</v>
      </c>
      <c r="AE972" t="s">
        <v>18409</v>
      </c>
      <c r="AF972" t="s">
        <v>74</v>
      </c>
      <c r="AG972">
        <v>37</v>
      </c>
      <c r="AH972">
        <v>0</v>
      </c>
      <c r="AI972">
        <v>0</v>
      </c>
      <c r="AJ972">
        <v>0</v>
      </c>
      <c r="AK972">
        <v>8</v>
      </c>
      <c r="AL972" t="s">
        <v>18410</v>
      </c>
      <c r="AM972" t="s">
        <v>180</v>
      </c>
      <c r="AN972" t="s">
        <v>18411</v>
      </c>
      <c r="AO972" t="s">
        <v>18412</v>
      </c>
      <c r="AP972" t="s">
        <v>18413</v>
      </c>
      <c r="AQ972" t="s">
        <v>74</v>
      </c>
      <c r="AR972" t="s">
        <v>18414</v>
      </c>
      <c r="AS972" t="s">
        <v>18415</v>
      </c>
      <c r="AT972" t="s">
        <v>16741</v>
      </c>
      <c r="AU972">
        <v>2015</v>
      </c>
      <c r="AV972">
        <v>38</v>
      </c>
      <c r="AW972">
        <v>3</v>
      </c>
      <c r="AX972" t="s">
        <v>74</v>
      </c>
      <c r="AY972" t="s">
        <v>74</v>
      </c>
      <c r="AZ972" t="s">
        <v>74</v>
      </c>
      <c r="BA972" t="s">
        <v>74</v>
      </c>
      <c r="BB972">
        <v>213</v>
      </c>
      <c r="BC972">
        <v>220</v>
      </c>
      <c r="BD972" t="s">
        <v>74</v>
      </c>
      <c r="BE972" t="s">
        <v>18416</v>
      </c>
      <c r="BF972" t="str">
        <f>HYPERLINK("http://dx.doi.org/10.1111/jfq.12134","http://dx.doi.org/10.1111/jfq.12134")</f>
        <v>http://dx.doi.org/10.1111/jfq.12134</v>
      </c>
      <c r="BG972" t="s">
        <v>74</v>
      </c>
      <c r="BH972" t="s">
        <v>74</v>
      </c>
      <c r="BI972">
        <v>8</v>
      </c>
      <c r="BJ972" t="s">
        <v>2309</v>
      </c>
      <c r="BK972" t="s">
        <v>101</v>
      </c>
      <c r="BL972" t="s">
        <v>2309</v>
      </c>
      <c r="BM972" t="s">
        <v>18417</v>
      </c>
      <c r="BN972" t="s">
        <v>74</v>
      </c>
      <c r="BO972" t="s">
        <v>74</v>
      </c>
      <c r="BP972" t="s">
        <v>74</v>
      </c>
      <c r="BQ972" t="s">
        <v>74</v>
      </c>
      <c r="BR972" t="s">
        <v>103</v>
      </c>
      <c r="BS972" t="s">
        <v>18418</v>
      </c>
      <c r="BT972" t="str">
        <f>HYPERLINK("https%3A%2F%2Fwww.webofscience.com%2Fwos%2Fwoscc%2Ffull-record%2FWOS:000355750800007","View Full Record in Web of Science")</f>
        <v>View Full Record in Web of Science</v>
      </c>
    </row>
    <row r="973" spans="1:72" x14ac:dyDescent="0.15">
      <c r="A973" t="s">
        <v>72</v>
      </c>
      <c r="B973" t="s">
        <v>18419</v>
      </c>
      <c r="C973" t="s">
        <v>74</v>
      </c>
      <c r="D973" t="s">
        <v>74</v>
      </c>
      <c r="E973" t="s">
        <v>74</v>
      </c>
      <c r="F973" t="s">
        <v>18420</v>
      </c>
      <c r="G973" t="s">
        <v>74</v>
      </c>
      <c r="H973" t="s">
        <v>74</v>
      </c>
      <c r="I973" t="s">
        <v>18421</v>
      </c>
      <c r="J973" t="s">
        <v>322</v>
      </c>
      <c r="K973" t="s">
        <v>74</v>
      </c>
      <c r="L973" t="s">
        <v>74</v>
      </c>
      <c r="M973" t="s">
        <v>78</v>
      </c>
      <c r="N973" t="s">
        <v>79</v>
      </c>
      <c r="O973" t="s">
        <v>74</v>
      </c>
      <c r="P973" t="s">
        <v>74</v>
      </c>
      <c r="Q973" t="s">
        <v>74</v>
      </c>
      <c r="R973" t="s">
        <v>74</v>
      </c>
      <c r="S973" t="s">
        <v>74</v>
      </c>
      <c r="T973" t="s">
        <v>18422</v>
      </c>
      <c r="U973" t="s">
        <v>18423</v>
      </c>
      <c r="V973" t="s">
        <v>18424</v>
      </c>
      <c r="W973" t="s">
        <v>18425</v>
      </c>
      <c r="X973" t="s">
        <v>18426</v>
      </c>
      <c r="Y973" t="s">
        <v>18427</v>
      </c>
      <c r="Z973" t="s">
        <v>18428</v>
      </c>
      <c r="AA973" t="s">
        <v>18429</v>
      </c>
      <c r="AB973" t="s">
        <v>18430</v>
      </c>
      <c r="AC973" t="s">
        <v>18431</v>
      </c>
      <c r="AD973" t="s">
        <v>18432</v>
      </c>
      <c r="AE973" t="s">
        <v>18433</v>
      </c>
      <c r="AF973" t="s">
        <v>74</v>
      </c>
      <c r="AG973">
        <v>82</v>
      </c>
      <c r="AH973">
        <v>43</v>
      </c>
      <c r="AI973">
        <v>48</v>
      </c>
      <c r="AJ973">
        <v>0</v>
      </c>
      <c r="AK973">
        <v>49</v>
      </c>
      <c r="AL973" t="s">
        <v>306</v>
      </c>
      <c r="AM973" t="s">
        <v>307</v>
      </c>
      <c r="AN973" t="s">
        <v>308</v>
      </c>
      <c r="AO973" t="s">
        <v>334</v>
      </c>
      <c r="AP973" t="s">
        <v>335</v>
      </c>
      <c r="AQ973" t="s">
        <v>74</v>
      </c>
      <c r="AR973" t="s">
        <v>336</v>
      </c>
      <c r="AS973" t="s">
        <v>337</v>
      </c>
      <c r="AT973" t="s">
        <v>16741</v>
      </c>
      <c r="AU973">
        <v>2015</v>
      </c>
      <c r="AV973">
        <v>120</v>
      </c>
      <c r="AW973">
        <v>6</v>
      </c>
      <c r="AX973" t="s">
        <v>74</v>
      </c>
      <c r="AY973" t="s">
        <v>74</v>
      </c>
      <c r="AZ973" t="s">
        <v>74</v>
      </c>
      <c r="BA973" t="s">
        <v>74</v>
      </c>
      <c r="BB973">
        <v>3896</v>
      </c>
      <c r="BC973">
        <v>3912</v>
      </c>
      <c r="BD973" t="s">
        <v>74</v>
      </c>
      <c r="BE973" t="s">
        <v>18434</v>
      </c>
      <c r="BF973" t="str">
        <f>HYPERLINK("http://dx.doi.org/10.1002/2015JC010700","http://dx.doi.org/10.1002/2015JC010700")</f>
        <v>http://dx.doi.org/10.1002/2015JC010700</v>
      </c>
      <c r="BG973" t="s">
        <v>74</v>
      </c>
      <c r="BH973" t="s">
        <v>74</v>
      </c>
      <c r="BI973">
        <v>17</v>
      </c>
      <c r="BJ973" t="s">
        <v>339</v>
      </c>
      <c r="BK973" t="s">
        <v>101</v>
      </c>
      <c r="BL973" t="s">
        <v>339</v>
      </c>
      <c r="BM973" t="s">
        <v>16829</v>
      </c>
      <c r="BN973" t="s">
        <v>74</v>
      </c>
      <c r="BO973" t="s">
        <v>455</v>
      </c>
      <c r="BP973" t="s">
        <v>74</v>
      </c>
      <c r="BQ973" t="s">
        <v>74</v>
      </c>
      <c r="BR973" t="s">
        <v>103</v>
      </c>
      <c r="BS973" t="s">
        <v>18435</v>
      </c>
      <c r="BT973" t="str">
        <f>HYPERLINK("https%3A%2F%2Fwww.webofscience.com%2Fwos%2Fwoscc%2Ffull-record%2FWOS:000358124100002","View Full Record in Web of Science")</f>
        <v>View Full Record in Web of Science</v>
      </c>
    </row>
    <row r="974" spans="1:72" x14ac:dyDescent="0.15">
      <c r="A974" t="s">
        <v>72</v>
      </c>
      <c r="B974" t="s">
        <v>18436</v>
      </c>
      <c r="C974" t="s">
        <v>74</v>
      </c>
      <c r="D974" t="s">
        <v>74</v>
      </c>
      <c r="E974" t="s">
        <v>74</v>
      </c>
      <c r="F974" t="s">
        <v>18437</v>
      </c>
      <c r="G974" t="s">
        <v>74</v>
      </c>
      <c r="H974" t="s">
        <v>74</v>
      </c>
      <c r="I974" t="s">
        <v>18438</v>
      </c>
      <c r="J974" t="s">
        <v>322</v>
      </c>
      <c r="K974" t="s">
        <v>74</v>
      </c>
      <c r="L974" t="s">
        <v>74</v>
      </c>
      <c r="M974" t="s">
        <v>78</v>
      </c>
      <c r="N974" t="s">
        <v>79</v>
      </c>
      <c r="O974" t="s">
        <v>74</v>
      </c>
      <c r="P974" t="s">
        <v>74</v>
      </c>
      <c r="Q974" t="s">
        <v>74</v>
      </c>
      <c r="R974" t="s">
        <v>74</v>
      </c>
      <c r="S974" t="s">
        <v>74</v>
      </c>
      <c r="T974" t="s">
        <v>18439</v>
      </c>
      <c r="U974" t="s">
        <v>18440</v>
      </c>
      <c r="V974" t="s">
        <v>18441</v>
      </c>
      <c r="W974" t="s">
        <v>18442</v>
      </c>
      <c r="X974" t="s">
        <v>18443</v>
      </c>
      <c r="Y974" t="s">
        <v>18444</v>
      </c>
      <c r="Z974" t="s">
        <v>18445</v>
      </c>
      <c r="AA974" t="s">
        <v>74</v>
      </c>
      <c r="AB974" t="s">
        <v>18446</v>
      </c>
      <c r="AC974" t="s">
        <v>18447</v>
      </c>
      <c r="AD974" t="s">
        <v>18448</v>
      </c>
      <c r="AE974" t="s">
        <v>18449</v>
      </c>
      <c r="AF974" t="s">
        <v>74</v>
      </c>
      <c r="AG974">
        <v>67</v>
      </c>
      <c r="AH974">
        <v>43</v>
      </c>
      <c r="AI974">
        <v>45</v>
      </c>
      <c r="AJ974">
        <v>4</v>
      </c>
      <c r="AK974">
        <v>70</v>
      </c>
      <c r="AL974" t="s">
        <v>306</v>
      </c>
      <c r="AM974" t="s">
        <v>307</v>
      </c>
      <c r="AN974" t="s">
        <v>308</v>
      </c>
      <c r="AO974" t="s">
        <v>334</v>
      </c>
      <c r="AP974" t="s">
        <v>335</v>
      </c>
      <c r="AQ974" t="s">
        <v>74</v>
      </c>
      <c r="AR974" t="s">
        <v>336</v>
      </c>
      <c r="AS974" t="s">
        <v>337</v>
      </c>
      <c r="AT974" t="s">
        <v>16741</v>
      </c>
      <c r="AU974">
        <v>2015</v>
      </c>
      <c r="AV974">
        <v>120</v>
      </c>
      <c r="AW974">
        <v>6</v>
      </c>
      <c r="AX974" t="s">
        <v>74</v>
      </c>
      <c r="AY974" t="s">
        <v>74</v>
      </c>
      <c r="AZ974" t="s">
        <v>74</v>
      </c>
      <c r="BA974" t="s">
        <v>74</v>
      </c>
      <c r="BB974">
        <v>4108</v>
      </c>
      <c r="BC974">
        <v>4128</v>
      </c>
      <c r="BD974" t="s">
        <v>74</v>
      </c>
      <c r="BE974" t="s">
        <v>18450</v>
      </c>
      <c r="BF974" t="str">
        <f>HYPERLINK("http://dx.doi.org/10.1002/2014JC010519","http://dx.doi.org/10.1002/2014JC010519")</f>
        <v>http://dx.doi.org/10.1002/2014JC010519</v>
      </c>
      <c r="BG974" t="s">
        <v>74</v>
      </c>
      <c r="BH974" t="s">
        <v>74</v>
      </c>
      <c r="BI974">
        <v>21</v>
      </c>
      <c r="BJ974" t="s">
        <v>339</v>
      </c>
      <c r="BK974" t="s">
        <v>101</v>
      </c>
      <c r="BL974" t="s">
        <v>339</v>
      </c>
      <c r="BM974" t="s">
        <v>16829</v>
      </c>
      <c r="BN974" t="s">
        <v>74</v>
      </c>
      <c r="BO974" t="s">
        <v>908</v>
      </c>
      <c r="BP974" t="s">
        <v>74</v>
      </c>
      <c r="BQ974" t="s">
        <v>74</v>
      </c>
      <c r="BR974" t="s">
        <v>103</v>
      </c>
      <c r="BS974" t="s">
        <v>18451</v>
      </c>
      <c r="BT974" t="str">
        <f>HYPERLINK("https%3A%2F%2Fwww.webofscience.com%2Fwos%2Fwoscc%2Ffull-record%2FWOS:000358124100013","View Full Record in Web of Science")</f>
        <v>View Full Record in Web of Science</v>
      </c>
    </row>
    <row r="975" spans="1:72" x14ac:dyDescent="0.15">
      <c r="A975" t="s">
        <v>72</v>
      </c>
      <c r="B975" t="s">
        <v>18452</v>
      </c>
      <c r="C975" t="s">
        <v>74</v>
      </c>
      <c r="D975" t="s">
        <v>74</v>
      </c>
      <c r="E975" t="s">
        <v>74</v>
      </c>
      <c r="F975" t="s">
        <v>18453</v>
      </c>
      <c r="G975" t="s">
        <v>74</v>
      </c>
      <c r="H975" t="s">
        <v>74</v>
      </c>
      <c r="I975" t="s">
        <v>18454</v>
      </c>
      <c r="J975" t="s">
        <v>322</v>
      </c>
      <c r="K975" t="s">
        <v>74</v>
      </c>
      <c r="L975" t="s">
        <v>74</v>
      </c>
      <c r="M975" t="s">
        <v>78</v>
      </c>
      <c r="N975" t="s">
        <v>79</v>
      </c>
      <c r="O975" t="s">
        <v>74</v>
      </c>
      <c r="P975" t="s">
        <v>74</v>
      </c>
      <c r="Q975" t="s">
        <v>74</v>
      </c>
      <c r="R975" t="s">
        <v>74</v>
      </c>
      <c r="S975" t="s">
        <v>74</v>
      </c>
      <c r="T975" t="s">
        <v>18455</v>
      </c>
      <c r="U975" t="s">
        <v>18456</v>
      </c>
      <c r="V975" t="s">
        <v>18457</v>
      </c>
      <c r="W975" t="s">
        <v>18458</v>
      </c>
      <c r="X975" t="s">
        <v>18459</v>
      </c>
      <c r="Y975" t="s">
        <v>18460</v>
      </c>
      <c r="Z975" t="s">
        <v>18461</v>
      </c>
      <c r="AA975" t="s">
        <v>74</v>
      </c>
      <c r="AB975" t="s">
        <v>74</v>
      </c>
      <c r="AC975" t="s">
        <v>18462</v>
      </c>
      <c r="AD975" t="s">
        <v>18463</v>
      </c>
      <c r="AE975" t="s">
        <v>18464</v>
      </c>
      <c r="AF975" t="s">
        <v>74</v>
      </c>
      <c r="AG975">
        <v>43</v>
      </c>
      <c r="AH975">
        <v>11</v>
      </c>
      <c r="AI975">
        <v>11</v>
      </c>
      <c r="AJ975">
        <v>1</v>
      </c>
      <c r="AK975">
        <v>16</v>
      </c>
      <c r="AL975" t="s">
        <v>306</v>
      </c>
      <c r="AM975" t="s">
        <v>307</v>
      </c>
      <c r="AN975" t="s">
        <v>308</v>
      </c>
      <c r="AO975" t="s">
        <v>334</v>
      </c>
      <c r="AP975" t="s">
        <v>335</v>
      </c>
      <c r="AQ975" t="s">
        <v>74</v>
      </c>
      <c r="AR975" t="s">
        <v>336</v>
      </c>
      <c r="AS975" t="s">
        <v>337</v>
      </c>
      <c r="AT975" t="s">
        <v>16741</v>
      </c>
      <c r="AU975">
        <v>2015</v>
      </c>
      <c r="AV975">
        <v>120</v>
      </c>
      <c r="AW975">
        <v>6</v>
      </c>
      <c r="AX975" t="s">
        <v>74</v>
      </c>
      <c r="AY975" t="s">
        <v>74</v>
      </c>
      <c r="AZ975" t="s">
        <v>74</v>
      </c>
      <c r="BA975" t="s">
        <v>74</v>
      </c>
      <c r="BB975">
        <v>4260</v>
      </c>
      <c r="BC975">
        <v>4287</v>
      </c>
      <c r="BD975" t="s">
        <v>74</v>
      </c>
      <c r="BE975" t="s">
        <v>18465</v>
      </c>
      <c r="BF975" t="str">
        <f>HYPERLINK("http://dx.doi.org/10.1002/2015JC010815","http://dx.doi.org/10.1002/2015JC010815")</f>
        <v>http://dx.doi.org/10.1002/2015JC010815</v>
      </c>
      <c r="BG975" t="s">
        <v>74</v>
      </c>
      <c r="BH975" t="s">
        <v>74</v>
      </c>
      <c r="BI975">
        <v>28</v>
      </c>
      <c r="BJ975" t="s">
        <v>339</v>
      </c>
      <c r="BK975" t="s">
        <v>101</v>
      </c>
      <c r="BL975" t="s">
        <v>339</v>
      </c>
      <c r="BM975" t="s">
        <v>16829</v>
      </c>
      <c r="BN975" t="s">
        <v>74</v>
      </c>
      <c r="BO975" t="s">
        <v>162</v>
      </c>
      <c r="BP975" t="s">
        <v>74</v>
      </c>
      <c r="BQ975" t="s">
        <v>74</v>
      </c>
      <c r="BR975" t="s">
        <v>103</v>
      </c>
      <c r="BS975" t="s">
        <v>18466</v>
      </c>
      <c r="BT975" t="str">
        <f>HYPERLINK("https%3A%2F%2Fwww.webofscience.com%2Fwos%2Fwoscc%2Ffull-record%2FWOS:000358124100021","View Full Record in Web of Science")</f>
        <v>View Full Record in Web of Science</v>
      </c>
    </row>
    <row r="976" spans="1:72" x14ac:dyDescent="0.15">
      <c r="A976" t="s">
        <v>72</v>
      </c>
      <c r="B976" t="s">
        <v>18467</v>
      </c>
      <c r="C976" t="s">
        <v>74</v>
      </c>
      <c r="D976" t="s">
        <v>74</v>
      </c>
      <c r="E976" t="s">
        <v>74</v>
      </c>
      <c r="F976" t="s">
        <v>18468</v>
      </c>
      <c r="G976" t="s">
        <v>74</v>
      </c>
      <c r="H976" t="s">
        <v>74</v>
      </c>
      <c r="I976" t="s">
        <v>18469</v>
      </c>
      <c r="J976" t="s">
        <v>361</v>
      </c>
      <c r="K976" t="s">
        <v>74</v>
      </c>
      <c r="L976" t="s">
        <v>74</v>
      </c>
      <c r="M976" t="s">
        <v>78</v>
      </c>
      <c r="N976" t="s">
        <v>79</v>
      </c>
      <c r="O976" t="s">
        <v>74</v>
      </c>
      <c r="P976" t="s">
        <v>74</v>
      </c>
      <c r="Q976" t="s">
        <v>74</v>
      </c>
      <c r="R976" t="s">
        <v>74</v>
      </c>
      <c r="S976" t="s">
        <v>74</v>
      </c>
      <c r="T976" t="s">
        <v>18470</v>
      </c>
      <c r="U976" t="s">
        <v>18471</v>
      </c>
      <c r="V976" t="s">
        <v>18472</v>
      </c>
      <c r="W976" t="s">
        <v>18473</v>
      </c>
      <c r="X976" t="s">
        <v>18474</v>
      </c>
      <c r="Y976" t="s">
        <v>18475</v>
      </c>
      <c r="Z976" t="s">
        <v>18476</v>
      </c>
      <c r="AA976" t="s">
        <v>18477</v>
      </c>
      <c r="AB976" t="s">
        <v>18478</v>
      </c>
      <c r="AC976" t="s">
        <v>18479</v>
      </c>
      <c r="AD976" t="s">
        <v>18480</v>
      </c>
      <c r="AE976" t="s">
        <v>18481</v>
      </c>
      <c r="AF976" t="s">
        <v>74</v>
      </c>
      <c r="AG976">
        <v>53</v>
      </c>
      <c r="AH976">
        <v>57</v>
      </c>
      <c r="AI976">
        <v>61</v>
      </c>
      <c r="AJ976">
        <v>1</v>
      </c>
      <c r="AK976">
        <v>21</v>
      </c>
      <c r="AL976" t="s">
        <v>306</v>
      </c>
      <c r="AM976" t="s">
        <v>307</v>
      </c>
      <c r="AN976" t="s">
        <v>308</v>
      </c>
      <c r="AO976" t="s">
        <v>373</v>
      </c>
      <c r="AP976" t="s">
        <v>374</v>
      </c>
      <c r="AQ976" t="s">
        <v>74</v>
      </c>
      <c r="AR976" t="s">
        <v>375</v>
      </c>
      <c r="AS976" t="s">
        <v>376</v>
      </c>
      <c r="AT976" t="s">
        <v>16741</v>
      </c>
      <c r="AU976">
        <v>2015</v>
      </c>
      <c r="AV976">
        <v>120</v>
      </c>
      <c r="AW976">
        <v>6</v>
      </c>
      <c r="AX976" t="s">
        <v>74</v>
      </c>
      <c r="AY976" t="s">
        <v>74</v>
      </c>
      <c r="AZ976" t="s">
        <v>74</v>
      </c>
      <c r="BA976" t="s">
        <v>74</v>
      </c>
      <c r="BB976">
        <v>4519</v>
      </c>
      <c r="BC976">
        <v>4530</v>
      </c>
      <c r="BD976" t="s">
        <v>74</v>
      </c>
      <c r="BE976" t="s">
        <v>18482</v>
      </c>
      <c r="BF976" t="str">
        <f>HYPERLINK("http://dx.doi.org/10.1002/2015JA021172","http://dx.doi.org/10.1002/2015JA021172")</f>
        <v>http://dx.doi.org/10.1002/2015JA021172</v>
      </c>
      <c r="BG976" t="s">
        <v>74</v>
      </c>
      <c r="BH976" t="s">
        <v>74</v>
      </c>
      <c r="BI976">
        <v>12</v>
      </c>
      <c r="BJ976" t="s">
        <v>378</v>
      </c>
      <c r="BK976" t="s">
        <v>101</v>
      </c>
      <c r="BL976" t="s">
        <v>378</v>
      </c>
      <c r="BM976" t="s">
        <v>16879</v>
      </c>
      <c r="BN976" t="s">
        <v>74</v>
      </c>
      <c r="BO976" t="s">
        <v>18483</v>
      </c>
      <c r="BP976" t="s">
        <v>74</v>
      </c>
      <c r="BQ976" t="s">
        <v>74</v>
      </c>
      <c r="BR976" t="s">
        <v>103</v>
      </c>
      <c r="BS976" t="s">
        <v>18484</v>
      </c>
      <c r="BT976" t="str">
        <f>HYPERLINK("https%3A%2F%2Fwww.webofscience.com%2Fwos%2Fwoscc%2Ffull-record%2FWOS:000358199100033","View Full Record in Web of Science")</f>
        <v>View Full Record in Web of Science</v>
      </c>
    </row>
    <row r="977" spans="1:72" x14ac:dyDescent="0.15">
      <c r="A977" t="s">
        <v>72</v>
      </c>
      <c r="B977" t="s">
        <v>18485</v>
      </c>
      <c r="C977" t="s">
        <v>74</v>
      </c>
      <c r="D977" t="s">
        <v>74</v>
      </c>
      <c r="E977" t="s">
        <v>74</v>
      </c>
      <c r="F977" t="s">
        <v>18486</v>
      </c>
      <c r="G977" t="s">
        <v>74</v>
      </c>
      <c r="H977" t="s">
        <v>74</v>
      </c>
      <c r="I977" t="s">
        <v>18487</v>
      </c>
      <c r="J977" t="s">
        <v>361</v>
      </c>
      <c r="K977" t="s">
        <v>74</v>
      </c>
      <c r="L977" t="s">
        <v>74</v>
      </c>
      <c r="M977" t="s">
        <v>78</v>
      </c>
      <c r="N977" t="s">
        <v>79</v>
      </c>
      <c r="O977" t="s">
        <v>74</v>
      </c>
      <c r="P977" t="s">
        <v>74</v>
      </c>
      <c r="Q977" t="s">
        <v>74</v>
      </c>
      <c r="R977" t="s">
        <v>74</v>
      </c>
      <c r="S977" t="s">
        <v>74</v>
      </c>
      <c r="T977" t="s">
        <v>18488</v>
      </c>
      <c r="U977" t="s">
        <v>18489</v>
      </c>
      <c r="V977" t="s">
        <v>18490</v>
      </c>
      <c r="W977" t="s">
        <v>18491</v>
      </c>
      <c r="X977" t="s">
        <v>18492</v>
      </c>
      <c r="Y977" t="s">
        <v>18493</v>
      </c>
      <c r="Z977" t="s">
        <v>18494</v>
      </c>
      <c r="AA977" t="s">
        <v>18495</v>
      </c>
      <c r="AB977" t="s">
        <v>18496</v>
      </c>
      <c r="AC977" t="s">
        <v>18497</v>
      </c>
      <c r="AD977" t="s">
        <v>18498</v>
      </c>
      <c r="AE977" t="s">
        <v>18499</v>
      </c>
      <c r="AF977" t="s">
        <v>74</v>
      </c>
      <c r="AG977">
        <v>42</v>
      </c>
      <c r="AH977">
        <v>64</v>
      </c>
      <c r="AI977">
        <v>68</v>
      </c>
      <c r="AJ977">
        <v>2</v>
      </c>
      <c r="AK977">
        <v>12</v>
      </c>
      <c r="AL977" t="s">
        <v>306</v>
      </c>
      <c r="AM977" t="s">
        <v>307</v>
      </c>
      <c r="AN977" t="s">
        <v>308</v>
      </c>
      <c r="AO977" t="s">
        <v>373</v>
      </c>
      <c r="AP977" t="s">
        <v>374</v>
      </c>
      <c r="AQ977" t="s">
        <v>74</v>
      </c>
      <c r="AR977" t="s">
        <v>375</v>
      </c>
      <c r="AS977" t="s">
        <v>376</v>
      </c>
      <c r="AT977" t="s">
        <v>16741</v>
      </c>
      <c r="AU977">
        <v>2015</v>
      </c>
      <c r="AV977">
        <v>120</v>
      </c>
      <c r="AW977">
        <v>6</v>
      </c>
      <c r="AX977" t="s">
        <v>74</v>
      </c>
      <c r="AY977" t="s">
        <v>74</v>
      </c>
      <c r="AZ977" t="s">
        <v>74</v>
      </c>
      <c r="BA977" t="s">
        <v>74</v>
      </c>
      <c r="BB977">
        <v>4922</v>
      </c>
      <c r="BC977">
        <v>4935</v>
      </c>
      <c r="BD977" t="s">
        <v>74</v>
      </c>
      <c r="BE977" t="s">
        <v>18500</v>
      </c>
      <c r="BF977" t="str">
        <f>HYPERLINK("http://dx.doi.org/10.1002/2014JA020874","http://dx.doi.org/10.1002/2014JA020874")</f>
        <v>http://dx.doi.org/10.1002/2014JA020874</v>
      </c>
      <c r="BG977" t="s">
        <v>74</v>
      </c>
      <c r="BH977" t="s">
        <v>74</v>
      </c>
      <c r="BI977">
        <v>14</v>
      </c>
      <c r="BJ977" t="s">
        <v>378</v>
      </c>
      <c r="BK977" t="s">
        <v>101</v>
      </c>
      <c r="BL977" t="s">
        <v>378</v>
      </c>
      <c r="BM977" t="s">
        <v>16879</v>
      </c>
      <c r="BN977">
        <v>26937330</v>
      </c>
      <c r="BO977" t="s">
        <v>4252</v>
      </c>
      <c r="BP977" t="s">
        <v>74</v>
      </c>
      <c r="BQ977" t="s">
        <v>74</v>
      </c>
      <c r="BR977" t="s">
        <v>103</v>
      </c>
      <c r="BS977" t="s">
        <v>18501</v>
      </c>
      <c r="BT977" t="str">
        <f>HYPERLINK("https%3A%2F%2Fwww.webofscience.com%2Fwos%2Fwoscc%2Ffull-record%2FWOS:000358199100062","View Full Record in Web of Science")</f>
        <v>View Full Record in Web of Science</v>
      </c>
    </row>
    <row r="978" spans="1:72" x14ac:dyDescent="0.15">
      <c r="A978" t="s">
        <v>72</v>
      </c>
      <c r="B978" t="s">
        <v>18502</v>
      </c>
      <c r="C978" t="s">
        <v>74</v>
      </c>
      <c r="D978" t="s">
        <v>74</v>
      </c>
      <c r="E978" t="s">
        <v>74</v>
      </c>
      <c r="F978" t="s">
        <v>18503</v>
      </c>
      <c r="G978" t="s">
        <v>74</v>
      </c>
      <c r="H978" t="s">
        <v>74</v>
      </c>
      <c r="I978" t="s">
        <v>18504</v>
      </c>
      <c r="J978" t="s">
        <v>361</v>
      </c>
      <c r="K978" t="s">
        <v>74</v>
      </c>
      <c r="L978" t="s">
        <v>74</v>
      </c>
      <c r="M978" t="s">
        <v>78</v>
      </c>
      <c r="N978" t="s">
        <v>79</v>
      </c>
      <c r="O978" t="s">
        <v>74</v>
      </c>
      <c r="P978" t="s">
        <v>74</v>
      </c>
      <c r="Q978" t="s">
        <v>74</v>
      </c>
      <c r="R978" t="s">
        <v>74</v>
      </c>
      <c r="S978" t="s">
        <v>74</v>
      </c>
      <c r="T978" t="s">
        <v>18505</v>
      </c>
      <c r="U978" t="s">
        <v>18506</v>
      </c>
      <c r="V978" t="s">
        <v>18507</v>
      </c>
      <c r="W978" t="s">
        <v>18508</v>
      </c>
      <c r="X978" t="s">
        <v>18509</v>
      </c>
      <c r="Y978" t="s">
        <v>18510</v>
      </c>
      <c r="Z978" t="s">
        <v>18511</v>
      </c>
      <c r="AA978" t="s">
        <v>18512</v>
      </c>
      <c r="AB978" t="s">
        <v>18513</v>
      </c>
      <c r="AC978" t="s">
        <v>18514</v>
      </c>
      <c r="AD978" t="s">
        <v>18515</v>
      </c>
      <c r="AE978" t="s">
        <v>18516</v>
      </c>
      <c r="AF978" t="s">
        <v>74</v>
      </c>
      <c r="AG978">
        <v>44</v>
      </c>
      <c r="AH978">
        <v>20</v>
      </c>
      <c r="AI978">
        <v>22</v>
      </c>
      <c r="AJ978">
        <v>0</v>
      </c>
      <c r="AK978">
        <v>12</v>
      </c>
      <c r="AL978" t="s">
        <v>306</v>
      </c>
      <c r="AM978" t="s">
        <v>307</v>
      </c>
      <c r="AN978" t="s">
        <v>308</v>
      </c>
      <c r="AO978" t="s">
        <v>373</v>
      </c>
      <c r="AP978" t="s">
        <v>374</v>
      </c>
      <c r="AQ978" t="s">
        <v>74</v>
      </c>
      <c r="AR978" t="s">
        <v>375</v>
      </c>
      <c r="AS978" t="s">
        <v>376</v>
      </c>
      <c r="AT978" t="s">
        <v>16741</v>
      </c>
      <c r="AU978">
        <v>2015</v>
      </c>
      <c r="AV978">
        <v>120</v>
      </c>
      <c r="AW978">
        <v>6</v>
      </c>
      <c r="AX978" t="s">
        <v>74</v>
      </c>
      <c r="AY978" t="s">
        <v>74</v>
      </c>
      <c r="AZ978" t="s">
        <v>74</v>
      </c>
      <c r="BA978" t="s">
        <v>74</v>
      </c>
      <c r="BB978">
        <v>5226</v>
      </c>
      <c r="BC978">
        <v>5240</v>
      </c>
      <c r="BD978" t="s">
        <v>74</v>
      </c>
      <c r="BE978" t="s">
        <v>18517</v>
      </c>
      <c r="BF978" t="str">
        <f>HYPERLINK("http://dx.doi.org/10.1002/2015JA021269","http://dx.doi.org/10.1002/2015JA021269")</f>
        <v>http://dx.doi.org/10.1002/2015JA021269</v>
      </c>
      <c r="BG978" t="s">
        <v>74</v>
      </c>
      <c r="BH978" t="s">
        <v>74</v>
      </c>
      <c r="BI978">
        <v>15</v>
      </c>
      <c r="BJ978" t="s">
        <v>378</v>
      </c>
      <c r="BK978" t="s">
        <v>101</v>
      </c>
      <c r="BL978" t="s">
        <v>378</v>
      </c>
      <c r="BM978" t="s">
        <v>16879</v>
      </c>
      <c r="BN978" t="s">
        <v>74</v>
      </c>
      <c r="BO978" t="s">
        <v>2686</v>
      </c>
      <c r="BP978" t="s">
        <v>74</v>
      </c>
      <c r="BQ978" t="s">
        <v>74</v>
      </c>
      <c r="BR978" t="s">
        <v>103</v>
      </c>
      <c r="BS978" t="s">
        <v>18518</v>
      </c>
      <c r="BT978" t="str">
        <f>HYPERLINK("https%3A%2F%2Fwww.webofscience.com%2Fwos%2Fwoscc%2Ffull-record%2FWOS:000358199100082","View Full Record in Web of Science")</f>
        <v>View Full Record in Web of Science</v>
      </c>
    </row>
    <row r="979" spans="1:72" x14ac:dyDescent="0.15">
      <c r="A979" t="s">
        <v>72</v>
      </c>
      <c r="B979" t="s">
        <v>18519</v>
      </c>
      <c r="C979" t="s">
        <v>74</v>
      </c>
      <c r="D979" t="s">
        <v>74</v>
      </c>
      <c r="E979" t="s">
        <v>74</v>
      </c>
      <c r="F979" t="s">
        <v>18520</v>
      </c>
      <c r="G979" t="s">
        <v>74</v>
      </c>
      <c r="H979" t="s">
        <v>74</v>
      </c>
      <c r="I979" t="s">
        <v>18521</v>
      </c>
      <c r="J979" t="s">
        <v>18522</v>
      </c>
      <c r="K979" t="s">
        <v>74</v>
      </c>
      <c r="L979" t="s">
        <v>74</v>
      </c>
      <c r="M979" t="s">
        <v>78</v>
      </c>
      <c r="N979" t="s">
        <v>79</v>
      </c>
      <c r="O979" t="s">
        <v>74</v>
      </c>
      <c r="P979" t="s">
        <v>74</v>
      </c>
      <c r="Q979" t="s">
        <v>74</v>
      </c>
      <c r="R979" t="s">
        <v>74</v>
      </c>
      <c r="S979" t="s">
        <v>74</v>
      </c>
      <c r="T979" t="s">
        <v>18523</v>
      </c>
      <c r="U979" t="s">
        <v>74</v>
      </c>
      <c r="V979" t="s">
        <v>18524</v>
      </c>
      <c r="W979" t="s">
        <v>18525</v>
      </c>
      <c r="X979" t="s">
        <v>18526</v>
      </c>
      <c r="Y979" t="s">
        <v>18527</v>
      </c>
      <c r="Z979" t="s">
        <v>18528</v>
      </c>
      <c r="AA979" t="s">
        <v>18529</v>
      </c>
      <c r="AB979" t="s">
        <v>18530</v>
      </c>
      <c r="AC979" t="s">
        <v>18531</v>
      </c>
      <c r="AD979" t="s">
        <v>18532</v>
      </c>
      <c r="AE979" t="s">
        <v>18533</v>
      </c>
      <c r="AF979" t="s">
        <v>74</v>
      </c>
      <c r="AG979">
        <v>39</v>
      </c>
      <c r="AH979">
        <v>20</v>
      </c>
      <c r="AI979">
        <v>20</v>
      </c>
      <c r="AJ979">
        <v>0</v>
      </c>
      <c r="AK979">
        <v>5</v>
      </c>
      <c r="AL979" t="s">
        <v>6460</v>
      </c>
      <c r="AM979" t="s">
        <v>3041</v>
      </c>
      <c r="AN979" t="s">
        <v>6461</v>
      </c>
      <c r="AO979" t="s">
        <v>18534</v>
      </c>
      <c r="AP979" t="s">
        <v>74</v>
      </c>
      <c r="AQ979" t="s">
        <v>74</v>
      </c>
      <c r="AR979" t="s">
        <v>18535</v>
      </c>
      <c r="AS979" t="s">
        <v>18536</v>
      </c>
      <c r="AT979" t="s">
        <v>16741</v>
      </c>
      <c r="AU979">
        <v>2015</v>
      </c>
      <c r="AV979">
        <v>3</v>
      </c>
      <c r="AW979">
        <v>2</v>
      </c>
      <c r="AX979" t="s">
        <v>74</v>
      </c>
      <c r="AY979" t="s">
        <v>74</v>
      </c>
      <c r="AZ979" t="s">
        <v>74</v>
      </c>
      <c r="BA979" t="s">
        <v>74</v>
      </c>
      <c r="BB979">
        <v>154</v>
      </c>
      <c r="BC979">
        <v>174</v>
      </c>
      <c r="BD979" t="s">
        <v>74</v>
      </c>
      <c r="BE979" t="s">
        <v>18537</v>
      </c>
      <c r="BF979" t="str">
        <f>HYPERLINK("http://dx.doi.org/10.3390/jmse3020154","http://dx.doi.org/10.3390/jmse3020154")</f>
        <v>http://dx.doi.org/10.3390/jmse3020154</v>
      </c>
      <c r="BG979" t="s">
        <v>74</v>
      </c>
      <c r="BH979" t="s">
        <v>74</v>
      </c>
      <c r="BI979">
        <v>21</v>
      </c>
      <c r="BJ979" t="s">
        <v>18538</v>
      </c>
      <c r="BK979" t="s">
        <v>831</v>
      </c>
      <c r="BL979" t="s">
        <v>8398</v>
      </c>
      <c r="BM979" t="s">
        <v>18539</v>
      </c>
      <c r="BN979" t="s">
        <v>74</v>
      </c>
      <c r="BO979" t="s">
        <v>2600</v>
      </c>
      <c r="BP979" t="s">
        <v>74</v>
      </c>
      <c r="BQ979" t="s">
        <v>74</v>
      </c>
      <c r="BR979" t="s">
        <v>103</v>
      </c>
      <c r="BS979" t="s">
        <v>18540</v>
      </c>
      <c r="BT979" t="str">
        <f>HYPERLINK("https%3A%2F%2Fwww.webofscience.com%2Fwos%2Fwoscc%2Ffull-record%2FWOS:000435676800001","View Full Record in Web of Science")</f>
        <v>View Full Record in Web of Science</v>
      </c>
    </row>
    <row r="980" spans="1:72" x14ac:dyDescent="0.15">
      <c r="A980" t="s">
        <v>72</v>
      </c>
      <c r="B980" t="s">
        <v>18541</v>
      </c>
      <c r="C980" t="s">
        <v>74</v>
      </c>
      <c r="D980" t="s">
        <v>74</v>
      </c>
      <c r="E980" t="s">
        <v>74</v>
      </c>
      <c r="F980" t="s">
        <v>18542</v>
      </c>
      <c r="G980" t="s">
        <v>74</v>
      </c>
      <c r="H980" t="s">
        <v>74</v>
      </c>
      <c r="I980" t="s">
        <v>18543</v>
      </c>
      <c r="J980" t="s">
        <v>4365</v>
      </c>
      <c r="K980" t="s">
        <v>74</v>
      </c>
      <c r="L980" t="s">
        <v>74</v>
      </c>
      <c r="M980" t="s">
        <v>78</v>
      </c>
      <c r="N980" t="s">
        <v>79</v>
      </c>
      <c r="O980" t="s">
        <v>74</v>
      </c>
      <c r="P980" t="s">
        <v>74</v>
      </c>
      <c r="Q980" t="s">
        <v>74</v>
      </c>
      <c r="R980" t="s">
        <v>74</v>
      </c>
      <c r="S980" t="s">
        <v>74</v>
      </c>
      <c r="T980" t="s">
        <v>18544</v>
      </c>
      <c r="U980" t="s">
        <v>18545</v>
      </c>
      <c r="V980" t="s">
        <v>18546</v>
      </c>
      <c r="W980" t="s">
        <v>18547</v>
      </c>
      <c r="X980" t="s">
        <v>18548</v>
      </c>
      <c r="Y980" t="s">
        <v>18549</v>
      </c>
      <c r="Z980" t="s">
        <v>18550</v>
      </c>
      <c r="AA980" t="s">
        <v>18551</v>
      </c>
      <c r="AB980" t="s">
        <v>18552</v>
      </c>
      <c r="AC980" t="s">
        <v>18553</v>
      </c>
      <c r="AD980" t="s">
        <v>18554</v>
      </c>
      <c r="AE980" t="s">
        <v>18555</v>
      </c>
      <c r="AF980" t="s">
        <v>74</v>
      </c>
      <c r="AG980">
        <v>36</v>
      </c>
      <c r="AH980">
        <v>11</v>
      </c>
      <c r="AI980">
        <v>12</v>
      </c>
      <c r="AJ980">
        <v>0</v>
      </c>
      <c r="AK980">
        <v>14</v>
      </c>
      <c r="AL980" t="s">
        <v>263</v>
      </c>
      <c r="AM980" t="s">
        <v>264</v>
      </c>
      <c r="AN980" t="s">
        <v>265</v>
      </c>
      <c r="AO980" t="s">
        <v>4378</v>
      </c>
      <c r="AP980" t="s">
        <v>4379</v>
      </c>
      <c r="AQ980" t="s">
        <v>74</v>
      </c>
      <c r="AR980" t="s">
        <v>4380</v>
      </c>
      <c r="AS980" t="s">
        <v>4381</v>
      </c>
      <c r="AT980" t="s">
        <v>16741</v>
      </c>
      <c r="AU980">
        <v>2015</v>
      </c>
      <c r="AV980">
        <v>45</v>
      </c>
      <c r="AW980">
        <v>6</v>
      </c>
      <c r="AX980" t="s">
        <v>74</v>
      </c>
      <c r="AY980" t="s">
        <v>74</v>
      </c>
      <c r="AZ980" t="s">
        <v>74</v>
      </c>
      <c r="BA980" t="s">
        <v>74</v>
      </c>
      <c r="BB980">
        <v>1610</v>
      </c>
      <c r="BC980">
        <v>1631</v>
      </c>
      <c r="BD980" t="s">
        <v>74</v>
      </c>
      <c r="BE980" t="s">
        <v>18556</v>
      </c>
      <c r="BF980" t="str">
        <f>HYPERLINK("http://dx.doi.org/10.1175/JPO-D-14-0047.1","http://dx.doi.org/10.1175/JPO-D-14-0047.1")</f>
        <v>http://dx.doi.org/10.1175/JPO-D-14-0047.1</v>
      </c>
      <c r="BG980" t="s">
        <v>74</v>
      </c>
      <c r="BH980" t="s">
        <v>74</v>
      </c>
      <c r="BI980">
        <v>22</v>
      </c>
      <c r="BJ980" t="s">
        <v>339</v>
      </c>
      <c r="BK980" t="s">
        <v>101</v>
      </c>
      <c r="BL980" t="s">
        <v>339</v>
      </c>
      <c r="BM980" t="s">
        <v>17376</v>
      </c>
      <c r="BN980" t="s">
        <v>74</v>
      </c>
      <c r="BO980" t="s">
        <v>2946</v>
      </c>
      <c r="BP980" t="s">
        <v>74</v>
      </c>
      <c r="BQ980" t="s">
        <v>74</v>
      </c>
      <c r="BR980" t="s">
        <v>103</v>
      </c>
      <c r="BS980" t="s">
        <v>18557</v>
      </c>
      <c r="BT980" t="str">
        <f>HYPERLINK("https%3A%2F%2Fwww.webofscience.com%2Fwos%2Fwoscc%2Ffull-record%2FWOS:000356227700009","View Full Record in Web of Science")</f>
        <v>View Full Record in Web of Science</v>
      </c>
    </row>
    <row r="981" spans="1:72" x14ac:dyDescent="0.15">
      <c r="A981" t="s">
        <v>72</v>
      </c>
      <c r="B981" t="s">
        <v>18558</v>
      </c>
      <c r="C981" t="s">
        <v>74</v>
      </c>
      <c r="D981" t="s">
        <v>74</v>
      </c>
      <c r="E981" t="s">
        <v>74</v>
      </c>
      <c r="F981" t="s">
        <v>18559</v>
      </c>
      <c r="G981" t="s">
        <v>74</v>
      </c>
      <c r="H981" t="s">
        <v>74</v>
      </c>
      <c r="I981" t="s">
        <v>18560</v>
      </c>
      <c r="J981" t="s">
        <v>18561</v>
      </c>
      <c r="K981" t="s">
        <v>74</v>
      </c>
      <c r="L981" t="s">
        <v>74</v>
      </c>
      <c r="M981" t="s">
        <v>4437</v>
      </c>
      <c r="N981" t="s">
        <v>79</v>
      </c>
      <c r="O981" t="s">
        <v>74</v>
      </c>
      <c r="P981" t="s">
        <v>74</v>
      </c>
      <c r="Q981" t="s">
        <v>74</v>
      </c>
      <c r="R981" t="s">
        <v>74</v>
      </c>
      <c r="S981" t="s">
        <v>74</v>
      </c>
      <c r="T981" t="s">
        <v>18562</v>
      </c>
      <c r="U981" t="s">
        <v>74</v>
      </c>
      <c r="V981" t="s">
        <v>18563</v>
      </c>
      <c r="W981" t="s">
        <v>18564</v>
      </c>
      <c r="X981" t="s">
        <v>18565</v>
      </c>
      <c r="Y981" t="s">
        <v>18566</v>
      </c>
      <c r="Z981" t="s">
        <v>18567</v>
      </c>
      <c r="AA981" t="s">
        <v>74</v>
      </c>
      <c r="AB981" t="s">
        <v>74</v>
      </c>
      <c r="AC981" t="s">
        <v>74</v>
      </c>
      <c r="AD981" t="s">
        <v>74</v>
      </c>
      <c r="AE981" t="s">
        <v>74</v>
      </c>
      <c r="AF981" t="s">
        <v>74</v>
      </c>
      <c r="AG981">
        <v>28</v>
      </c>
      <c r="AH981">
        <v>16</v>
      </c>
      <c r="AI981">
        <v>16</v>
      </c>
      <c r="AJ981">
        <v>2</v>
      </c>
      <c r="AK981">
        <v>5</v>
      </c>
      <c r="AL981" t="s">
        <v>18568</v>
      </c>
      <c r="AM981" t="s">
        <v>4445</v>
      </c>
      <c r="AN981" t="s">
        <v>18569</v>
      </c>
      <c r="AO981" t="s">
        <v>18570</v>
      </c>
      <c r="AP981" t="s">
        <v>18571</v>
      </c>
      <c r="AQ981" t="s">
        <v>74</v>
      </c>
      <c r="AR981" t="s">
        <v>18572</v>
      </c>
      <c r="AS981" t="s">
        <v>18573</v>
      </c>
      <c r="AT981" t="s">
        <v>16741</v>
      </c>
      <c r="AU981">
        <v>2015</v>
      </c>
      <c r="AV981">
        <v>51</v>
      </c>
      <c r="AW981">
        <v>3</v>
      </c>
      <c r="AX981" t="s">
        <v>74</v>
      </c>
      <c r="AY981" t="s">
        <v>74</v>
      </c>
      <c r="AZ981" t="s">
        <v>74</v>
      </c>
      <c r="BA981" t="s">
        <v>74</v>
      </c>
      <c r="BB981">
        <v>343</v>
      </c>
      <c r="BC981">
        <v>355</v>
      </c>
      <c r="BD981" t="s">
        <v>74</v>
      </c>
      <c r="BE981" t="s">
        <v>18574</v>
      </c>
      <c r="BF981" t="str">
        <f>HYPERLINK("http://dx.doi.org/10.14770/jgsk.2015.51.3.343","http://dx.doi.org/10.14770/jgsk.2015.51.3.343")</f>
        <v>http://dx.doi.org/10.14770/jgsk.2015.51.3.343</v>
      </c>
      <c r="BG981" t="s">
        <v>74</v>
      </c>
      <c r="BH981" t="s">
        <v>74</v>
      </c>
      <c r="BI981">
        <v>13</v>
      </c>
      <c r="BJ981" t="s">
        <v>314</v>
      </c>
      <c r="BK981" t="s">
        <v>831</v>
      </c>
      <c r="BL981" t="s">
        <v>315</v>
      </c>
      <c r="BM981" t="s">
        <v>18575</v>
      </c>
      <c r="BN981" t="s">
        <v>74</v>
      </c>
      <c r="BO981" t="s">
        <v>74</v>
      </c>
      <c r="BP981" t="s">
        <v>74</v>
      </c>
      <c r="BQ981" t="s">
        <v>74</v>
      </c>
      <c r="BR981" t="s">
        <v>103</v>
      </c>
      <c r="BS981" t="s">
        <v>18576</v>
      </c>
      <c r="BT981" t="str">
        <f>HYPERLINK("https%3A%2F%2Fwww.webofscience.com%2Fwos%2Fwoscc%2Ffull-record%2FWOS:000454034000009","View Full Record in Web of Science")</f>
        <v>View Full Record in Web of Science</v>
      </c>
    </row>
    <row r="982" spans="1:72" x14ac:dyDescent="0.15">
      <c r="A982" t="s">
        <v>72</v>
      </c>
      <c r="B982" t="s">
        <v>18577</v>
      </c>
      <c r="C982" t="s">
        <v>74</v>
      </c>
      <c r="D982" t="s">
        <v>74</v>
      </c>
      <c r="E982" t="s">
        <v>74</v>
      </c>
      <c r="F982" t="s">
        <v>18578</v>
      </c>
      <c r="G982" t="s">
        <v>74</v>
      </c>
      <c r="H982" t="s">
        <v>74</v>
      </c>
      <c r="I982" t="s">
        <v>18579</v>
      </c>
      <c r="J982" t="s">
        <v>6786</v>
      </c>
      <c r="K982" t="s">
        <v>74</v>
      </c>
      <c r="L982" t="s">
        <v>74</v>
      </c>
      <c r="M982" t="s">
        <v>78</v>
      </c>
      <c r="N982" t="s">
        <v>581</v>
      </c>
      <c r="O982" t="s">
        <v>74</v>
      </c>
      <c r="P982" t="s">
        <v>74</v>
      </c>
      <c r="Q982" t="s">
        <v>74</v>
      </c>
      <c r="R982" t="s">
        <v>74</v>
      </c>
      <c r="S982" t="s">
        <v>74</v>
      </c>
      <c r="T982" t="s">
        <v>18580</v>
      </c>
      <c r="U982" t="s">
        <v>18581</v>
      </c>
      <c r="V982" t="s">
        <v>18582</v>
      </c>
      <c r="W982" t="s">
        <v>18583</v>
      </c>
      <c r="X982" t="s">
        <v>18584</v>
      </c>
      <c r="Y982" t="s">
        <v>18585</v>
      </c>
      <c r="Z982" t="s">
        <v>18586</v>
      </c>
      <c r="AA982" t="s">
        <v>18587</v>
      </c>
      <c r="AB982" t="s">
        <v>18588</v>
      </c>
      <c r="AC982" t="s">
        <v>18589</v>
      </c>
      <c r="AD982" t="s">
        <v>6614</v>
      </c>
      <c r="AE982" t="s">
        <v>18590</v>
      </c>
      <c r="AF982" t="s">
        <v>74</v>
      </c>
      <c r="AG982">
        <v>162</v>
      </c>
      <c r="AH982">
        <v>60</v>
      </c>
      <c r="AI982">
        <v>65</v>
      </c>
      <c r="AJ982">
        <v>0</v>
      </c>
      <c r="AK982">
        <v>86</v>
      </c>
      <c r="AL982" t="s">
        <v>6460</v>
      </c>
      <c r="AM982" t="s">
        <v>3041</v>
      </c>
      <c r="AN982" t="s">
        <v>6461</v>
      </c>
      <c r="AO982" t="s">
        <v>74</v>
      </c>
      <c r="AP982" t="s">
        <v>6799</v>
      </c>
      <c r="AQ982" t="s">
        <v>74</v>
      </c>
      <c r="AR982" t="s">
        <v>6800</v>
      </c>
      <c r="AS982" t="s">
        <v>6801</v>
      </c>
      <c r="AT982" t="s">
        <v>16741</v>
      </c>
      <c r="AU982">
        <v>2015</v>
      </c>
      <c r="AV982">
        <v>13</v>
      </c>
      <c r="AW982">
        <v>6</v>
      </c>
      <c r="AX982" t="s">
        <v>74</v>
      </c>
      <c r="AY982" t="s">
        <v>74</v>
      </c>
      <c r="AZ982" t="s">
        <v>74</v>
      </c>
      <c r="BA982" t="s">
        <v>74</v>
      </c>
      <c r="BB982">
        <v>3672</v>
      </c>
      <c r="BC982">
        <v>3709</v>
      </c>
      <c r="BD982" t="s">
        <v>74</v>
      </c>
      <c r="BE982" t="s">
        <v>18591</v>
      </c>
      <c r="BF982" t="str">
        <f>HYPERLINK("http://dx.doi.org/10.3390/md13063672","http://dx.doi.org/10.3390/md13063672")</f>
        <v>http://dx.doi.org/10.3390/md13063672</v>
      </c>
      <c r="BG982" t="s">
        <v>74</v>
      </c>
      <c r="BH982" t="s">
        <v>74</v>
      </c>
      <c r="BI982">
        <v>38</v>
      </c>
      <c r="BJ982" t="s">
        <v>6803</v>
      </c>
      <c r="BK982" t="s">
        <v>101</v>
      </c>
      <c r="BL982" t="s">
        <v>6804</v>
      </c>
      <c r="BM982" t="s">
        <v>18592</v>
      </c>
      <c r="BN982">
        <v>26065408</v>
      </c>
      <c r="BO982" t="s">
        <v>1430</v>
      </c>
      <c r="BP982" t="s">
        <v>74</v>
      </c>
      <c r="BQ982" t="s">
        <v>74</v>
      </c>
      <c r="BR982" t="s">
        <v>103</v>
      </c>
      <c r="BS982" t="s">
        <v>18593</v>
      </c>
      <c r="BT982" t="str">
        <f>HYPERLINK("https%3A%2F%2Fwww.webofscience.com%2Fwos%2Fwoscc%2Ffull-record%2FWOS:000357279900025","View Full Record in Web of Science")</f>
        <v>View Full Record in Web of Science</v>
      </c>
    </row>
    <row r="983" spans="1:72" x14ac:dyDescent="0.15">
      <c r="A983" t="s">
        <v>72</v>
      </c>
      <c r="B983" t="s">
        <v>18594</v>
      </c>
      <c r="C983" t="s">
        <v>74</v>
      </c>
      <c r="D983" t="s">
        <v>74</v>
      </c>
      <c r="E983" t="s">
        <v>74</v>
      </c>
      <c r="F983" t="s">
        <v>18595</v>
      </c>
      <c r="G983" t="s">
        <v>74</v>
      </c>
      <c r="H983" t="s">
        <v>74</v>
      </c>
      <c r="I983" t="s">
        <v>18596</v>
      </c>
      <c r="J983" t="s">
        <v>18597</v>
      </c>
      <c r="K983" t="s">
        <v>74</v>
      </c>
      <c r="L983" t="s">
        <v>74</v>
      </c>
      <c r="M983" t="s">
        <v>78</v>
      </c>
      <c r="N983" t="s">
        <v>79</v>
      </c>
      <c r="O983" t="s">
        <v>74</v>
      </c>
      <c r="P983" t="s">
        <v>74</v>
      </c>
      <c r="Q983" t="s">
        <v>74</v>
      </c>
      <c r="R983" t="s">
        <v>74</v>
      </c>
      <c r="S983" t="s">
        <v>74</v>
      </c>
      <c r="T983" t="s">
        <v>18598</v>
      </c>
      <c r="U983" t="s">
        <v>18599</v>
      </c>
      <c r="V983" t="s">
        <v>18600</v>
      </c>
      <c r="W983" t="s">
        <v>18601</v>
      </c>
      <c r="X983" t="s">
        <v>13681</v>
      </c>
      <c r="Y983" t="s">
        <v>18602</v>
      </c>
      <c r="Z983" t="s">
        <v>18603</v>
      </c>
      <c r="AA983" t="s">
        <v>74</v>
      </c>
      <c r="AB983" t="s">
        <v>18604</v>
      </c>
      <c r="AC983" t="s">
        <v>18605</v>
      </c>
      <c r="AD983" t="s">
        <v>18606</v>
      </c>
      <c r="AE983" t="s">
        <v>18607</v>
      </c>
      <c r="AF983" t="s">
        <v>74</v>
      </c>
      <c r="AG983">
        <v>51</v>
      </c>
      <c r="AH983">
        <v>22</v>
      </c>
      <c r="AI983">
        <v>23</v>
      </c>
      <c r="AJ983">
        <v>0</v>
      </c>
      <c r="AK983">
        <v>10</v>
      </c>
      <c r="AL983" t="s">
        <v>883</v>
      </c>
      <c r="AM983" t="s">
        <v>884</v>
      </c>
      <c r="AN983" t="s">
        <v>885</v>
      </c>
      <c r="AO983" t="s">
        <v>18608</v>
      </c>
      <c r="AP983" t="s">
        <v>18609</v>
      </c>
      <c r="AQ983" t="s">
        <v>74</v>
      </c>
      <c r="AR983" t="s">
        <v>18610</v>
      </c>
      <c r="AS983" t="s">
        <v>18611</v>
      </c>
      <c r="AT983" t="s">
        <v>16741</v>
      </c>
      <c r="AU983">
        <v>2015</v>
      </c>
      <c r="AV983">
        <v>118</v>
      </c>
      <c r="AW983" t="s">
        <v>74</v>
      </c>
      <c r="AX983" t="s">
        <v>74</v>
      </c>
      <c r="AY983" t="s">
        <v>74</v>
      </c>
      <c r="AZ983" t="s">
        <v>74</v>
      </c>
      <c r="BA983" t="s">
        <v>74</v>
      </c>
      <c r="BB983">
        <v>34</v>
      </c>
      <c r="BC983">
        <v>49</v>
      </c>
      <c r="BD983" t="s">
        <v>74</v>
      </c>
      <c r="BE983" t="s">
        <v>18612</v>
      </c>
      <c r="BF983" t="str">
        <f>HYPERLINK("http://dx.doi.org/10.1016/j.marmicro.2015.05.002","http://dx.doi.org/10.1016/j.marmicro.2015.05.002")</f>
        <v>http://dx.doi.org/10.1016/j.marmicro.2015.05.002</v>
      </c>
      <c r="BG983" t="s">
        <v>74</v>
      </c>
      <c r="BH983" t="s">
        <v>74</v>
      </c>
      <c r="BI983">
        <v>16</v>
      </c>
      <c r="BJ983" t="s">
        <v>2149</v>
      </c>
      <c r="BK983" t="s">
        <v>101</v>
      </c>
      <c r="BL983" t="s">
        <v>2149</v>
      </c>
      <c r="BM983" t="s">
        <v>18613</v>
      </c>
      <c r="BN983" t="s">
        <v>74</v>
      </c>
      <c r="BO983" t="s">
        <v>74</v>
      </c>
      <c r="BP983" t="s">
        <v>74</v>
      </c>
      <c r="BQ983" t="s">
        <v>74</v>
      </c>
      <c r="BR983" t="s">
        <v>103</v>
      </c>
      <c r="BS983" t="s">
        <v>18614</v>
      </c>
      <c r="BT983" t="str">
        <f>HYPERLINK("https%3A%2F%2Fwww.webofscience.com%2Fwos%2Fwoscc%2Ffull-record%2FWOS:000360515400003","View Full Record in Web of Science")</f>
        <v>View Full Record in Web of Science</v>
      </c>
    </row>
    <row r="984" spans="1:72" x14ac:dyDescent="0.15">
      <c r="A984" t="s">
        <v>72</v>
      </c>
      <c r="B984" t="s">
        <v>18615</v>
      </c>
      <c r="C984" t="s">
        <v>74</v>
      </c>
      <c r="D984" t="s">
        <v>74</v>
      </c>
      <c r="E984" t="s">
        <v>74</v>
      </c>
      <c r="F984" t="s">
        <v>18616</v>
      </c>
      <c r="G984" t="s">
        <v>74</v>
      </c>
      <c r="H984" t="s">
        <v>74</v>
      </c>
      <c r="I984" t="s">
        <v>18617</v>
      </c>
      <c r="J984" t="s">
        <v>4501</v>
      </c>
      <c r="K984" t="s">
        <v>74</v>
      </c>
      <c r="L984" t="s">
        <v>74</v>
      </c>
      <c r="M984" t="s">
        <v>78</v>
      </c>
      <c r="N984" t="s">
        <v>79</v>
      </c>
      <c r="O984" t="s">
        <v>74</v>
      </c>
      <c r="P984" t="s">
        <v>74</v>
      </c>
      <c r="Q984" t="s">
        <v>74</v>
      </c>
      <c r="R984" t="s">
        <v>74</v>
      </c>
      <c r="S984" t="s">
        <v>74</v>
      </c>
      <c r="T984" t="s">
        <v>18618</v>
      </c>
      <c r="U984" t="s">
        <v>18619</v>
      </c>
      <c r="V984" t="s">
        <v>18620</v>
      </c>
      <c r="W984" t="s">
        <v>18621</v>
      </c>
      <c r="X984" t="s">
        <v>18622</v>
      </c>
      <c r="Y984" t="s">
        <v>18623</v>
      </c>
      <c r="Z984" t="s">
        <v>18624</v>
      </c>
      <c r="AA984" t="s">
        <v>18625</v>
      </c>
      <c r="AB984" t="s">
        <v>18626</v>
      </c>
      <c r="AC984" t="s">
        <v>18627</v>
      </c>
      <c r="AD984" t="s">
        <v>18628</v>
      </c>
      <c r="AE984" t="s">
        <v>18629</v>
      </c>
      <c r="AF984" t="s">
        <v>74</v>
      </c>
      <c r="AG984">
        <v>52</v>
      </c>
      <c r="AH984">
        <v>44</v>
      </c>
      <c r="AI984">
        <v>51</v>
      </c>
      <c r="AJ984">
        <v>1</v>
      </c>
      <c r="AK984">
        <v>25</v>
      </c>
      <c r="AL984" t="s">
        <v>208</v>
      </c>
      <c r="AM984" t="s">
        <v>209</v>
      </c>
      <c r="AN984" t="s">
        <v>210</v>
      </c>
      <c r="AO984" t="s">
        <v>4511</v>
      </c>
      <c r="AP984" t="s">
        <v>4512</v>
      </c>
      <c r="AQ984" t="s">
        <v>74</v>
      </c>
      <c r="AR984" t="s">
        <v>4513</v>
      </c>
      <c r="AS984" t="s">
        <v>4514</v>
      </c>
      <c r="AT984" t="s">
        <v>16741</v>
      </c>
      <c r="AU984">
        <v>2015</v>
      </c>
      <c r="AV984">
        <v>6</v>
      </c>
      <c r="AW984">
        <v>6</v>
      </c>
      <c r="AX984" t="s">
        <v>74</v>
      </c>
      <c r="AY984" t="s">
        <v>74</v>
      </c>
      <c r="AZ984" t="s">
        <v>74</v>
      </c>
      <c r="BA984" t="s">
        <v>74</v>
      </c>
      <c r="BB984">
        <v>668</v>
      </c>
      <c r="BC984">
        <v>677</v>
      </c>
      <c r="BD984" t="s">
        <v>74</v>
      </c>
      <c r="BE984" t="s">
        <v>18630</v>
      </c>
      <c r="BF984" t="str">
        <f>HYPERLINK("http://dx.doi.org/10.1111/2041-210X.12358","http://dx.doi.org/10.1111/2041-210X.12358")</f>
        <v>http://dx.doi.org/10.1111/2041-210X.12358</v>
      </c>
      <c r="BG984" t="s">
        <v>74</v>
      </c>
      <c r="BH984" t="s">
        <v>74</v>
      </c>
      <c r="BI984">
        <v>10</v>
      </c>
      <c r="BJ984" t="s">
        <v>643</v>
      </c>
      <c r="BK984" t="s">
        <v>101</v>
      </c>
      <c r="BL984" t="s">
        <v>644</v>
      </c>
      <c r="BM984" t="s">
        <v>18631</v>
      </c>
      <c r="BN984" t="s">
        <v>74</v>
      </c>
      <c r="BO984" t="s">
        <v>1213</v>
      </c>
      <c r="BP984" t="s">
        <v>74</v>
      </c>
      <c r="BQ984" t="s">
        <v>74</v>
      </c>
      <c r="BR984" t="s">
        <v>103</v>
      </c>
      <c r="BS984" t="s">
        <v>18632</v>
      </c>
      <c r="BT984" t="str">
        <f>HYPERLINK("https%3A%2F%2Fwww.webofscience.com%2Fwos%2Fwoscc%2Ffull-record%2FWOS:000356718500005","View Full Record in Web of Science")</f>
        <v>View Full Record in Web of Science</v>
      </c>
    </row>
    <row r="985" spans="1:72" x14ac:dyDescent="0.15">
      <c r="A985" t="s">
        <v>72</v>
      </c>
      <c r="B985" t="s">
        <v>18633</v>
      </c>
      <c r="C985" t="s">
        <v>74</v>
      </c>
      <c r="D985" t="s">
        <v>74</v>
      </c>
      <c r="E985" t="s">
        <v>74</v>
      </c>
      <c r="F985" t="s">
        <v>18634</v>
      </c>
      <c r="G985" t="s">
        <v>74</v>
      </c>
      <c r="H985" t="s">
        <v>74</v>
      </c>
      <c r="I985" t="s">
        <v>18635</v>
      </c>
      <c r="J985" t="s">
        <v>4521</v>
      </c>
      <c r="K985" t="s">
        <v>74</v>
      </c>
      <c r="L985" t="s">
        <v>74</v>
      </c>
      <c r="M985" t="s">
        <v>78</v>
      </c>
      <c r="N985" t="s">
        <v>79</v>
      </c>
      <c r="O985" t="s">
        <v>74</v>
      </c>
      <c r="P985" t="s">
        <v>74</v>
      </c>
      <c r="Q985" t="s">
        <v>74</v>
      </c>
      <c r="R985" t="s">
        <v>74</v>
      </c>
      <c r="S985" t="s">
        <v>74</v>
      </c>
      <c r="T985" t="s">
        <v>18636</v>
      </c>
      <c r="U985" t="s">
        <v>18637</v>
      </c>
      <c r="V985" t="s">
        <v>18638</v>
      </c>
      <c r="W985" t="s">
        <v>18639</v>
      </c>
      <c r="X985" t="s">
        <v>18640</v>
      </c>
      <c r="Y985" t="s">
        <v>18641</v>
      </c>
      <c r="Z985" t="s">
        <v>18642</v>
      </c>
      <c r="AA985" t="s">
        <v>18643</v>
      </c>
      <c r="AB985" t="s">
        <v>18644</v>
      </c>
      <c r="AC985" t="s">
        <v>18645</v>
      </c>
      <c r="AD985" t="s">
        <v>18646</v>
      </c>
      <c r="AE985" t="s">
        <v>18647</v>
      </c>
      <c r="AF985" t="s">
        <v>74</v>
      </c>
      <c r="AG985">
        <v>97</v>
      </c>
      <c r="AH985">
        <v>15</v>
      </c>
      <c r="AI985">
        <v>16</v>
      </c>
      <c r="AJ985">
        <v>0</v>
      </c>
      <c r="AK985">
        <v>40</v>
      </c>
      <c r="AL985" t="s">
        <v>208</v>
      </c>
      <c r="AM985" t="s">
        <v>209</v>
      </c>
      <c r="AN985" t="s">
        <v>210</v>
      </c>
      <c r="AO985" t="s">
        <v>4528</v>
      </c>
      <c r="AP985" t="s">
        <v>4529</v>
      </c>
      <c r="AQ985" t="s">
        <v>74</v>
      </c>
      <c r="AR985" t="s">
        <v>4530</v>
      </c>
      <c r="AS985" t="s">
        <v>4531</v>
      </c>
      <c r="AT985" t="s">
        <v>16741</v>
      </c>
      <c r="AU985">
        <v>2015</v>
      </c>
      <c r="AV985">
        <v>24</v>
      </c>
      <c r="AW985">
        <v>12</v>
      </c>
      <c r="AX985" t="s">
        <v>74</v>
      </c>
      <c r="AY985" t="s">
        <v>74</v>
      </c>
      <c r="AZ985" t="s">
        <v>74</v>
      </c>
      <c r="BA985" t="s">
        <v>74</v>
      </c>
      <c r="BB985">
        <v>3122</v>
      </c>
      <c r="BC985">
        <v>3137</v>
      </c>
      <c r="BD985" t="s">
        <v>74</v>
      </c>
      <c r="BE985" t="s">
        <v>18648</v>
      </c>
      <c r="BF985" t="str">
        <f>HYPERLINK("http://dx.doi.org/10.1111/mec.13212","http://dx.doi.org/10.1111/mec.13212")</f>
        <v>http://dx.doi.org/10.1111/mec.13212</v>
      </c>
      <c r="BG985" t="s">
        <v>74</v>
      </c>
      <c r="BH985" t="s">
        <v>74</v>
      </c>
      <c r="BI985">
        <v>16</v>
      </c>
      <c r="BJ985" t="s">
        <v>4533</v>
      </c>
      <c r="BK985" t="s">
        <v>101</v>
      </c>
      <c r="BL985" t="s">
        <v>4534</v>
      </c>
      <c r="BM985" t="s">
        <v>18649</v>
      </c>
      <c r="BN985">
        <v>25903359</v>
      </c>
      <c r="BO985" t="s">
        <v>74</v>
      </c>
      <c r="BP985" t="s">
        <v>74</v>
      </c>
      <c r="BQ985" t="s">
        <v>74</v>
      </c>
      <c r="BR985" t="s">
        <v>103</v>
      </c>
      <c r="BS985" t="s">
        <v>18650</v>
      </c>
      <c r="BT985" t="str">
        <f>HYPERLINK("https%3A%2F%2Fwww.webofscience.com%2Fwos%2Fwoscc%2Ffull-record%2FWOS:000356615200016","View Full Record in Web of Science")</f>
        <v>View Full Record in Web of Science</v>
      </c>
    </row>
    <row r="986" spans="1:72" x14ac:dyDescent="0.15">
      <c r="A986" t="s">
        <v>72</v>
      </c>
      <c r="B986" t="s">
        <v>18651</v>
      </c>
      <c r="C986" t="s">
        <v>74</v>
      </c>
      <c r="D986" t="s">
        <v>74</v>
      </c>
      <c r="E986" t="s">
        <v>74</v>
      </c>
      <c r="F986" t="s">
        <v>18652</v>
      </c>
      <c r="G986" t="s">
        <v>74</v>
      </c>
      <c r="H986" t="s">
        <v>74</v>
      </c>
      <c r="I986" t="s">
        <v>18653</v>
      </c>
      <c r="J986" t="s">
        <v>4521</v>
      </c>
      <c r="K986" t="s">
        <v>74</v>
      </c>
      <c r="L986" t="s">
        <v>74</v>
      </c>
      <c r="M986" t="s">
        <v>78</v>
      </c>
      <c r="N986" t="s">
        <v>79</v>
      </c>
      <c r="O986" t="s">
        <v>74</v>
      </c>
      <c r="P986" t="s">
        <v>74</v>
      </c>
      <c r="Q986" t="s">
        <v>74</v>
      </c>
      <c r="R986" t="s">
        <v>74</v>
      </c>
      <c r="S986" t="s">
        <v>74</v>
      </c>
      <c r="T986" t="s">
        <v>18654</v>
      </c>
      <c r="U986" t="s">
        <v>18655</v>
      </c>
      <c r="V986" t="s">
        <v>18656</v>
      </c>
      <c r="W986" t="s">
        <v>18657</v>
      </c>
      <c r="X986" t="s">
        <v>18658</v>
      </c>
      <c r="Y986" t="s">
        <v>18659</v>
      </c>
      <c r="Z986" t="s">
        <v>18660</v>
      </c>
      <c r="AA986" t="s">
        <v>18661</v>
      </c>
      <c r="AB986" t="s">
        <v>18662</v>
      </c>
      <c r="AC986" t="s">
        <v>18663</v>
      </c>
      <c r="AD986" t="s">
        <v>18664</v>
      </c>
      <c r="AE986" t="s">
        <v>18665</v>
      </c>
      <c r="AF986" t="s">
        <v>74</v>
      </c>
      <c r="AG986">
        <v>49</v>
      </c>
      <c r="AH986">
        <v>20</v>
      </c>
      <c r="AI986">
        <v>21</v>
      </c>
      <c r="AJ986">
        <v>0</v>
      </c>
      <c r="AK986">
        <v>45</v>
      </c>
      <c r="AL986" t="s">
        <v>208</v>
      </c>
      <c r="AM986" t="s">
        <v>209</v>
      </c>
      <c r="AN986" t="s">
        <v>210</v>
      </c>
      <c r="AO986" t="s">
        <v>4528</v>
      </c>
      <c r="AP986" t="s">
        <v>4529</v>
      </c>
      <c r="AQ986" t="s">
        <v>74</v>
      </c>
      <c r="AR986" t="s">
        <v>4530</v>
      </c>
      <c r="AS986" t="s">
        <v>4531</v>
      </c>
      <c r="AT986" t="s">
        <v>16741</v>
      </c>
      <c r="AU986">
        <v>2015</v>
      </c>
      <c r="AV986">
        <v>24</v>
      </c>
      <c r="AW986">
        <v>12</v>
      </c>
      <c r="AX986" t="s">
        <v>74</v>
      </c>
      <c r="AY986" t="s">
        <v>74</v>
      </c>
      <c r="AZ986" t="s">
        <v>74</v>
      </c>
      <c r="BA986" t="s">
        <v>74</v>
      </c>
      <c r="BB986">
        <v>3194</v>
      </c>
      <c r="BC986">
        <v>3205</v>
      </c>
      <c r="BD986" t="s">
        <v>74</v>
      </c>
      <c r="BE986" t="s">
        <v>18666</v>
      </c>
      <c r="BF986" t="str">
        <f>HYPERLINK("http://dx.doi.org/10.1111/mec.13229","http://dx.doi.org/10.1111/mec.13229")</f>
        <v>http://dx.doi.org/10.1111/mec.13229</v>
      </c>
      <c r="BG986" t="s">
        <v>74</v>
      </c>
      <c r="BH986" t="s">
        <v>74</v>
      </c>
      <c r="BI986">
        <v>12</v>
      </c>
      <c r="BJ986" t="s">
        <v>4533</v>
      </c>
      <c r="BK986" t="s">
        <v>101</v>
      </c>
      <c r="BL986" t="s">
        <v>4534</v>
      </c>
      <c r="BM986" t="s">
        <v>18649</v>
      </c>
      <c r="BN986">
        <v>25943906</v>
      </c>
      <c r="BO986" t="s">
        <v>1801</v>
      </c>
      <c r="BP986" t="s">
        <v>74</v>
      </c>
      <c r="BQ986" t="s">
        <v>74</v>
      </c>
      <c r="BR986" t="s">
        <v>103</v>
      </c>
      <c r="BS986" t="s">
        <v>18667</v>
      </c>
      <c r="BT986" t="str">
        <f>HYPERLINK("https%3A%2F%2Fwww.webofscience.com%2Fwos%2Fwoscc%2Ffull-record%2FWOS:000356615200021","View Full Record in Web of Science")</f>
        <v>View Full Record in Web of Science</v>
      </c>
    </row>
    <row r="987" spans="1:72" x14ac:dyDescent="0.15">
      <c r="A987" t="s">
        <v>72</v>
      </c>
      <c r="B987" t="s">
        <v>18668</v>
      </c>
      <c r="C987" t="s">
        <v>74</v>
      </c>
      <c r="D987" t="s">
        <v>74</v>
      </c>
      <c r="E987" t="s">
        <v>74</v>
      </c>
      <c r="F987" t="s">
        <v>18669</v>
      </c>
      <c r="G987" t="s">
        <v>74</v>
      </c>
      <c r="H987" t="s">
        <v>74</v>
      </c>
      <c r="I987" t="s">
        <v>18670</v>
      </c>
      <c r="J987" t="s">
        <v>18671</v>
      </c>
      <c r="K987" t="s">
        <v>74</v>
      </c>
      <c r="L987" t="s">
        <v>74</v>
      </c>
      <c r="M987" t="s">
        <v>78</v>
      </c>
      <c r="N987" t="s">
        <v>79</v>
      </c>
      <c r="O987" t="s">
        <v>74</v>
      </c>
      <c r="P987" t="s">
        <v>74</v>
      </c>
      <c r="Q987" t="s">
        <v>74</v>
      </c>
      <c r="R987" t="s">
        <v>74</v>
      </c>
      <c r="S987" t="s">
        <v>74</v>
      </c>
      <c r="T987" t="s">
        <v>74</v>
      </c>
      <c r="U987" t="s">
        <v>18672</v>
      </c>
      <c r="V987" t="s">
        <v>18673</v>
      </c>
      <c r="W987" t="s">
        <v>18674</v>
      </c>
      <c r="X987" t="s">
        <v>18675</v>
      </c>
      <c r="Y987" t="s">
        <v>18676</v>
      </c>
      <c r="Z987" t="s">
        <v>18677</v>
      </c>
      <c r="AA987" t="s">
        <v>18678</v>
      </c>
      <c r="AB987" t="s">
        <v>18679</v>
      </c>
      <c r="AC987" t="s">
        <v>18680</v>
      </c>
      <c r="AD987" t="s">
        <v>18681</v>
      </c>
      <c r="AE987" t="s">
        <v>18682</v>
      </c>
      <c r="AF987" t="s">
        <v>74</v>
      </c>
      <c r="AG987">
        <v>26</v>
      </c>
      <c r="AH987">
        <v>79</v>
      </c>
      <c r="AI987">
        <v>87</v>
      </c>
      <c r="AJ987">
        <v>5</v>
      </c>
      <c r="AK987">
        <v>83</v>
      </c>
      <c r="AL987" t="s">
        <v>4641</v>
      </c>
      <c r="AM987" t="s">
        <v>524</v>
      </c>
      <c r="AN987" t="s">
        <v>525</v>
      </c>
      <c r="AO987" t="s">
        <v>18683</v>
      </c>
      <c r="AP987" t="s">
        <v>18684</v>
      </c>
      <c r="AQ987" t="s">
        <v>74</v>
      </c>
      <c r="AR987" t="s">
        <v>18685</v>
      </c>
      <c r="AS987" t="s">
        <v>18686</v>
      </c>
      <c r="AT987" t="s">
        <v>16741</v>
      </c>
      <c r="AU987">
        <v>2015</v>
      </c>
      <c r="AV987">
        <v>5</v>
      </c>
      <c r="AW987">
        <v>6</v>
      </c>
      <c r="AX987" t="s">
        <v>74</v>
      </c>
      <c r="AY987" t="s">
        <v>74</v>
      </c>
      <c r="AZ987" t="s">
        <v>74</v>
      </c>
      <c r="BA987" t="s">
        <v>74</v>
      </c>
      <c r="BB987">
        <v>569</v>
      </c>
      <c r="BC987" t="s">
        <v>556</v>
      </c>
      <c r="BD987" t="s">
        <v>74</v>
      </c>
      <c r="BE987" t="s">
        <v>18687</v>
      </c>
      <c r="BF987" t="str">
        <f>HYPERLINK("http://dx.doi.org/10.1038/nclimate2607","http://dx.doi.org/10.1038/nclimate2607")</f>
        <v>http://dx.doi.org/10.1038/nclimate2607</v>
      </c>
      <c r="BG987" t="s">
        <v>74</v>
      </c>
      <c r="BH987" t="s">
        <v>74</v>
      </c>
      <c r="BI987">
        <v>6</v>
      </c>
      <c r="BJ987" t="s">
        <v>18688</v>
      </c>
      <c r="BK987" t="s">
        <v>1482</v>
      </c>
      <c r="BL987" t="s">
        <v>1838</v>
      </c>
      <c r="BM987" t="s">
        <v>18689</v>
      </c>
      <c r="BN987" t="s">
        <v>74</v>
      </c>
      <c r="BO987" t="s">
        <v>290</v>
      </c>
      <c r="BP987" t="s">
        <v>74</v>
      </c>
      <c r="BQ987" t="s">
        <v>74</v>
      </c>
      <c r="BR987" t="s">
        <v>103</v>
      </c>
      <c r="BS987" t="s">
        <v>18690</v>
      </c>
      <c r="BT987" t="str">
        <f>HYPERLINK("https%3A%2F%2Fwww.webofscience.com%2Fwos%2Fwoscc%2Ffull-record%2FWOS:000356814800034","View Full Record in Web of Science")</f>
        <v>View Full Record in Web of Science</v>
      </c>
    </row>
    <row r="988" spans="1:72" x14ac:dyDescent="0.15">
      <c r="A988" t="s">
        <v>72</v>
      </c>
      <c r="B988" t="s">
        <v>18691</v>
      </c>
      <c r="C988" t="s">
        <v>74</v>
      </c>
      <c r="D988" t="s">
        <v>74</v>
      </c>
      <c r="E988" t="s">
        <v>74</v>
      </c>
      <c r="F988" t="s">
        <v>18692</v>
      </c>
      <c r="G988" t="s">
        <v>74</v>
      </c>
      <c r="H988" t="s">
        <v>74</v>
      </c>
      <c r="I988" t="s">
        <v>18693</v>
      </c>
      <c r="J988" t="s">
        <v>538</v>
      </c>
      <c r="K988" t="s">
        <v>74</v>
      </c>
      <c r="L988" t="s">
        <v>74</v>
      </c>
      <c r="M988" t="s">
        <v>78</v>
      </c>
      <c r="N988" t="s">
        <v>581</v>
      </c>
      <c r="O988" t="s">
        <v>74</v>
      </c>
      <c r="P988" t="s">
        <v>74</v>
      </c>
      <c r="Q988" t="s">
        <v>74</v>
      </c>
      <c r="R988" t="s">
        <v>74</v>
      </c>
      <c r="S988" t="s">
        <v>74</v>
      </c>
      <c r="T988" t="s">
        <v>74</v>
      </c>
      <c r="U988" t="s">
        <v>18694</v>
      </c>
      <c r="V988" t="s">
        <v>18695</v>
      </c>
      <c r="W988" t="s">
        <v>18696</v>
      </c>
      <c r="X988" t="s">
        <v>18697</v>
      </c>
      <c r="Y988" t="s">
        <v>18698</v>
      </c>
      <c r="Z988" t="s">
        <v>18699</v>
      </c>
      <c r="AA988" t="s">
        <v>18700</v>
      </c>
      <c r="AB988" t="s">
        <v>18701</v>
      </c>
      <c r="AC988" t="s">
        <v>18702</v>
      </c>
      <c r="AD988" t="s">
        <v>18703</v>
      </c>
      <c r="AE988" t="s">
        <v>18704</v>
      </c>
      <c r="AF988" t="s">
        <v>74</v>
      </c>
      <c r="AG988">
        <v>100</v>
      </c>
      <c r="AH988">
        <v>469</v>
      </c>
      <c r="AI988">
        <v>507</v>
      </c>
      <c r="AJ988">
        <v>17</v>
      </c>
      <c r="AK988">
        <v>292</v>
      </c>
      <c r="AL988" t="s">
        <v>179</v>
      </c>
      <c r="AM988" t="s">
        <v>550</v>
      </c>
      <c r="AN988" t="s">
        <v>551</v>
      </c>
      <c r="AO988" t="s">
        <v>552</v>
      </c>
      <c r="AP988" t="s">
        <v>553</v>
      </c>
      <c r="AQ988" t="s">
        <v>74</v>
      </c>
      <c r="AR988" t="s">
        <v>554</v>
      </c>
      <c r="AS988" t="s">
        <v>555</v>
      </c>
      <c r="AT988" t="s">
        <v>16741</v>
      </c>
      <c r="AU988">
        <v>2015</v>
      </c>
      <c r="AV988">
        <v>8</v>
      </c>
      <c r="AW988">
        <v>6</v>
      </c>
      <c r="AX988" t="s">
        <v>74</v>
      </c>
      <c r="AY988" t="s">
        <v>74</v>
      </c>
      <c r="AZ988" t="s">
        <v>74</v>
      </c>
      <c r="BA988" t="s">
        <v>74</v>
      </c>
      <c r="BB988">
        <v>433</v>
      </c>
      <c r="BC988">
        <v>440</v>
      </c>
      <c r="BD988" t="s">
        <v>74</v>
      </c>
      <c r="BE988" t="s">
        <v>18705</v>
      </c>
      <c r="BF988" t="str">
        <f>HYPERLINK("http://dx.doi.org/10.1038/NGEO2424","http://dx.doi.org/10.1038/NGEO2424")</f>
        <v>http://dx.doi.org/10.1038/NGEO2424</v>
      </c>
      <c r="BG988" t="s">
        <v>74</v>
      </c>
      <c r="BH988" t="s">
        <v>74</v>
      </c>
      <c r="BI988">
        <v>8</v>
      </c>
      <c r="BJ988" t="s">
        <v>314</v>
      </c>
      <c r="BK988" t="s">
        <v>101</v>
      </c>
      <c r="BL988" t="s">
        <v>315</v>
      </c>
      <c r="BM988" t="s">
        <v>18706</v>
      </c>
      <c r="BN988" t="s">
        <v>74</v>
      </c>
      <c r="BO988" t="s">
        <v>74</v>
      </c>
      <c r="BP988" t="s">
        <v>1736</v>
      </c>
      <c r="BQ988" t="s">
        <v>1737</v>
      </c>
      <c r="BR988" t="s">
        <v>103</v>
      </c>
      <c r="BS988" t="s">
        <v>18707</v>
      </c>
      <c r="BT988" t="str">
        <f>HYPERLINK("https%3A%2F%2Fwww.webofscience.com%2Fwos%2Fwoscc%2Ffull-record%2FWOS:000355236500013","View Full Record in Web of Science")</f>
        <v>View Full Record in Web of Science</v>
      </c>
    </row>
    <row r="989" spans="1:72" x14ac:dyDescent="0.15">
      <c r="A989" t="s">
        <v>72</v>
      </c>
      <c r="B989" t="s">
        <v>18708</v>
      </c>
      <c r="C989" t="s">
        <v>74</v>
      </c>
      <c r="D989" t="s">
        <v>74</v>
      </c>
      <c r="E989" t="s">
        <v>74</v>
      </c>
      <c r="F989" t="s">
        <v>18709</v>
      </c>
      <c r="G989" t="s">
        <v>74</v>
      </c>
      <c r="H989" t="s">
        <v>74</v>
      </c>
      <c r="I989" t="s">
        <v>18710</v>
      </c>
      <c r="J989" t="s">
        <v>538</v>
      </c>
      <c r="K989" t="s">
        <v>74</v>
      </c>
      <c r="L989" t="s">
        <v>74</v>
      </c>
      <c r="M989" t="s">
        <v>78</v>
      </c>
      <c r="N989" t="s">
        <v>79</v>
      </c>
      <c r="O989" t="s">
        <v>74</v>
      </c>
      <c r="P989" t="s">
        <v>74</v>
      </c>
      <c r="Q989" t="s">
        <v>74</v>
      </c>
      <c r="R989" t="s">
        <v>74</v>
      </c>
      <c r="S989" t="s">
        <v>74</v>
      </c>
      <c r="T989" t="s">
        <v>74</v>
      </c>
      <c r="U989" t="s">
        <v>18711</v>
      </c>
      <c r="V989" t="s">
        <v>18712</v>
      </c>
      <c r="W989" t="s">
        <v>18713</v>
      </c>
      <c r="X989" t="s">
        <v>18714</v>
      </c>
      <c r="Y989" t="s">
        <v>18715</v>
      </c>
      <c r="Z989" t="s">
        <v>18716</v>
      </c>
      <c r="AA989" t="s">
        <v>18717</v>
      </c>
      <c r="AB989" t="s">
        <v>18718</v>
      </c>
      <c r="AC989" t="s">
        <v>18719</v>
      </c>
      <c r="AD989" t="s">
        <v>18720</v>
      </c>
      <c r="AE989" t="s">
        <v>18721</v>
      </c>
      <c r="AF989" t="s">
        <v>74</v>
      </c>
      <c r="AG989">
        <v>30</v>
      </c>
      <c r="AH989">
        <v>85</v>
      </c>
      <c r="AI989">
        <v>97</v>
      </c>
      <c r="AJ989">
        <v>6</v>
      </c>
      <c r="AK989">
        <v>89</v>
      </c>
      <c r="AL989" t="s">
        <v>179</v>
      </c>
      <c r="AM989" t="s">
        <v>550</v>
      </c>
      <c r="AN989" t="s">
        <v>551</v>
      </c>
      <c r="AO989" t="s">
        <v>552</v>
      </c>
      <c r="AP989" t="s">
        <v>553</v>
      </c>
      <c r="AQ989" t="s">
        <v>74</v>
      </c>
      <c r="AR989" t="s">
        <v>554</v>
      </c>
      <c r="AS989" t="s">
        <v>555</v>
      </c>
      <c r="AT989" t="s">
        <v>16741</v>
      </c>
      <c r="AU989">
        <v>2015</v>
      </c>
      <c r="AV989">
        <v>8</v>
      </c>
      <c r="AW989">
        <v>6</v>
      </c>
      <c r="AX989" t="s">
        <v>74</v>
      </c>
      <c r="AY989" t="s">
        <v>74</v>
      </c>
      <c r="AZ989" t="s">
        <v>74</v>
      </c>
      <c r="BA989" t="s">
        <v>74</v>
      </c>
      <c r="BB989">
        <v>479</v>
      </c>
      <c r="BC989" t="s">
        <v>18722</v>
      </c>
      <c r="BD989" t="s">
        <v>74</v>
      </c>
      <c r="BE989" t="s">
        <v>18723</v>
      </c>
      <c r="BF989" t="str">
        <f>HYPERLINK("http://dx.doi.org/10.1038/NGEO2437","http://dx.doi.org/10.1038/NGEO2437")</f>
        <v>http://dx.doi.org/10.1038/NGEO2437</v>
      </c>
      <c r="BG989" t="s">
        <v>74</v>
      </c>
      <c r="BH989" t="s">
        <v>74</v>
      </c>
      <c r="BI989">
        <v>6</v>
      </c>
      <c r="BJ989" t="s">
        <v>314</v>
      </c>
      <c r="BK989" t="s">
        <v>101</v>
      </c>
      <c r="BL989" t="s">
        <v>315</v>
      </c>
      <c r="BM989" t="s">
        <v>18706</v>
      </c>
      <c r="BN989" t="s">
        <v>74</v>
      </c>
      <c r="BO989" t="s">
        <v>74</v>
      </c>
      <c r="BP989" t="s">
        <v>74</v>
      </c>
      <c r="BQ989" t="s">
        <v>74</v>
      </c>
      <c r="BR989" t="s">
        <v>103</v>
      </c>
      <c r="BS989" t="s">
        <v>18724</v>
      </c>
      <c r="BT989" t="str">
        <f>HYPERLINK("https%3A%2F%2Fwww.webofscience.com%2Fwos%2Fwoscc%2Ffull-record%2FWOS:000355236500023","View Full Record in Web of Science")</f>
        <v>View Full Record in Web of Science</v>
      </c>
    </row>
    <row r="990" spans="1:72" x14ac:dyDescent="0.15">
      <c r="A990" t="s">
        <v>72</v>
      </c>
      <c r="B990" t="s">
        <v>18725</v>
      </c>
      <c r="C990" t="s">
        <v>74</v>
      </c>
      <c r="D990" t="s">
        <v>74</v>
      </c>
      <c r="E990" t="s">
        <v>74</v>
      </c>
      <c r="F990" t="s">
        <v>18726</v>
      </c>
      <c r="G990" t="s">
        <v>74</v>
      </c>
      <c r="H990" t="s">
        <v>74</v>
      </c>
      <c r="I990" t="s">
        <v>18727</v>
      </c>
      <c r="J990" t="s">
        <v>650</v>
      </c>
      <c r="K990" t="s">
        <v>74</v>
      </c>
      <c r="L990" t="s">
        <v>74</v>
      </c>
      <c r="M990" t="s">
        <v>78</v>
      </c>
      <c r="N990" t="s">
        <v>79</v>
      </c>
      <c r="O990" t="s">
        <v>74</v>
      </c>
      <c r="P990" t="s">
        <v>74</v>
      </c>
      <c r="Q990" t="s">
        <v>74</v>
      </c>
      <c r="R990" t="s">
        <v>74</v>
      </c>
      <c r="S990" t="s">
        <v>74</v>
      </c>
      <c r="T990" t="s">
        <v>18728</v>
      </c>
      <c r="U990" t="s">
        <v>18729</v>
      </c>
      <c r="V990" t="s">
        <v>18730</v>
      </c>
      <c r="W990" t="s">
        <v>18731</v>
      </c>
      <c r="X990" t="s">
        <v>18732</v>
      </c>
      <c r="Y990" t="s">
        <v>18733</v>
      </c>
      <c r="Z990" t="s">
        <v>18734</v>
      </c>
      <c r="AA990" t="s">
        <v>18735</v>
      </c>
      <c r="AB990" t="s">
        <v>18736</v>
      </c>
      <c r="AC990" t="s">
        <v>18737</v>
      </c>
      <c r="AD990" t="s">
        <v>206</v>
      </c>
      <c r="AE990" t="s">
        <v>18738</v>
      </c>
      <c r="AF990" t="s">
        <v>74</v>
      </c>
      <c r="AG990">
        <v>98</v>
      </c>
      <c r="AH990">
        <v>27</v>
      </c>
      <c r="AI990">
        <v>28</v>
      </c>
      <c r="AJ990">
        <v>1</v>
      </c>
      <c r="AK990">
        <v>59</v>
      </c>
      <c r="AL990" t="s">
        <v>306</v>
      </c>
      <c r="AM990" t="s">
        <v>307</v>
      </c>
      <c r="AN990" t="s">
        <v>308</v>
      </c>
      <c r="AO990" t="s">
        <v>661</v>
      </c>
      <c r="AP990" t="s">
        <v>662</v>
      </c>
      <c r="AQ990" t="s">
        <v>74</v>
      </c>
      <c r="AR990" t="s">
        <v>650</v>
      </c>
      <c r="AS990" t="s">
        <v>663</v>
      </c>
      <c r="AT990" t="s">
        <v>16741</v>
      </c>
      <c r="AU990">
        <v>2015</v>
      </c>
      <c r="AV990">
        <v>30</v>
      </c>
      <c r="AW990">
        <v>6</v>
      </c>
      <c r="AX990" t="s">
        <v>74</v>
      </c>
      <c r="AY990" t="s">
        <v>74</v>
      </c>
      <c r="AZ990" t="s">
        <v>74</v>
      </c>
      <c r="BA990" t="s">
        <v>74</v>
      </c>
      <c r="BB990">
        <v>621</v>
      </c>
      <c r="BC990">
        <v>641</v>
      </c>
      <c r="BD990" t="s">
        <v>74</v>
      </c>
      <c r="BE990" t="s">
        <v>18739</v>
      </c>
      <c r="BF990" t="str">
        <f>HYPERLINK("http://dx.doi.org/10.1002/2014PA002707","http://dx.doi.org/10.1002/2014PA002707")</f>
        <v>http://dx.doi.org/10.1002/2014PA002707</v>
      </c>
      <c r="BG990" t="s">
        <v>74</v>
      </c>
      <c r="BH990" t="s">
        <v>74</v>
      </c>
      <c r="BI990">
        <v>21</v>
      </c>
      <c r="BJ990" t="s">
        <v>665</v>
      </c>
      <c r="BK990" t="s">
        <v>101</v>
      </c>
      <c r="BL990" t="s">
        <v>666</v>
      </c>
      <c r="BM990" t="s">
        <v>17000</v>
      </c>
      <c r="BN990" t="s">
        <v>74</v>
      </c>
      <c r="BO990" t="s">
        <v>18740</v>
      </c>
      <c r="BP990" t="s">
        <v>74</v>
      </c>
      <c r="BQ990" t="s">
        <v>74</v>
      </c>
      <c r="BR990" t="s">
        <v>103</v>
      </c>
      <c r="BS990" t="s">
        <v>18741</v>
      </c>
      <c r="BT990" t="str">
        <f>HYPERLINK("https%3A%2F%2Fwww.webofscience.com%2Fwos%2Fwoscc%2Ffull-record%2FWOS:000358041400004","View Full Record in Web of Science")</f>
        <v>View Full Record in Web of Science</v>
      </c>
    </row>
    <row r="991" spans="1:72" x14ac:dyDescent="0.15">
      <c r="A991" t="s">
        <v>72</v>
      </c>
      <c r="B991" t="s">
        <v>18742</v>
      </c>
      <c r="C991" t="s">
        <v>74</v>
      </c>
      <c r="D991" t="s">
        <v>74</v>
      </c>
      <c r="E991" t="s">
        <v>74</v>
      </c>
      <c r="F991" t="s">
        <v>18743</v>
      </c>
      <c r="G991" t="s">
        <v>74</v>
      </c>
      <c r="H991" t="s">
        <v>74</v>
      </c>
      <c r="I991" t="s">
        <v>18744</v>
      </c>
      <c r="J991" t="s">
        <v>1078</v>
      </c>
      <c r="K991" t="s">
        <v>74</v>
      </c>
      <c r="L991" t="s">
        <v>74</v>
      </c>
      <c r="M991" t="s">
        <v>78</v>
      </c>
      <c r="N991" t="s">
        <v>79</v>
      </c>
      <c r="O991" t="s">
        <v>74</v>
      </c>
      <c r="P991" t="s">
        <v>74</v>
      </c>
      <c r="Q991" t="s">
        <v>74</v>
      </c>
      <c r="R991" t="s">
        <v>74</v>
      </c>
      <c r="S991" t="s">
        <v>74</v>
      </c>
      <c r="T991" t="s">
        <v>74</v>
      </c>
      <c r="U991" t="s">
        <v>18745</v>
      </c>
      <c r="V991" t="s">
        <v>18746</v>
      </c>
      <c r="W991" t="s">
        <v>18747</v>
      </c>
      <c r="X991" t="s">
        <v>18748</v>
      </c>
      <c r="Y991" t="s">
        <v>18749</v>
      </c>
      <c r="Z991" t="s">
        <v>18750</v>
      </c>
      <c r="AA991" t="s">
        <v>18751</v>
      </c>
      <c r="AB991" t="s">
        <v>18752</v>
      </c>
      <c r="AC991" t="s">
        <v>18753</v>
      </c>
      <c r="AD991" t="s">
        <v>18754</v>
      </c>
      <c r="AE991" t="s">
        <v>18755</v>
      </c>
      <c r="AF991" t="s">
        <v>74</v>
      </c>
      <c r="AG991">
        <v>96</v>
      </c>
      <c r="AH991">
        <v>14</v>
      </c>
      <c r="AI991">
        <v>14</v>
      </c>
      <c r="AJ991">
        <v>2</v>
      </c>
      <c r="AK991">
        <v>39</v>
      </c>
      <c r="AL991" t="s">
        <v>1089</v>
      </c>
      <c r="AM991" t="s">
        <v>1090</v>
      </c>
      <c r="AN991" t="s">
        <v>1091</v>
      </c>
      <c r="AO991" t="s">
        <v>1092</v>
      </c>
      <c r="AP991" t="s">
        <v>74</v>
      </c>
      <c r="AQ991" t="s">
        <v>74</v>
      </c>
      <c r="AR991" t="s">
        <v>1078</v>
      </c>
      <c r="AS991" t="s">
        <v>1093</v>
      </c>
      <c r="AT991" t="s">
        <v>17740</v>
      </c>
      <c r="AU991">
        <v>2015</v>
      </c>
      <c r="AV991">
        <v>10</v>
      </c>
      <c r="AW991">
        <v>6</v>
      </c>
      <c r="AX991" t="s">
        <v>74</v>
      </c>
      <c r="AY991" t="s">
        <v>74</v>
      </c>
      <c r="AZ991" t="s">
        <v>74</v>
      </c>
      <c r="BA991" t="s">
        <v>74</v>
      </c>
      <c r="BB991" t="s">
        <v>74</v>
      </c>
      <c r="BC991" t="s">
        <v>74</v>
      </c>
      <c r="BD991" t="s">
        <v>18756</v>
      </c>
      <c r="BE991" t="s">
        <v>18757</v>
      </c>
      <c r="BF991" t="str">
        <f>HYPERLINK("http://dx.doi.org/10.1371/journal.pone.0128776","http://dx.doi.org/10.1371/journal.pone.0128776")</f>
        <v>http://dx.doi.org/10.1371/journal.pone.0128776</v>
      </c>
      <c r="BG991" t="s">
        <v>74</v>
      </c>
      <c r="BH991" t="s">
        <v>74</v>
      </c>
      <c r="BI991">
        <v>16</v>
      </c>
      <c r="BJ991" t="s">
        <v>530</v>
      </c>
      <c r="BK991" t="s">
        <v>101</v>
      </c>
      <c r="BL991" t="s">
        <v>531</v>
      </c>
      <c r="BM991" t="s">
        <v>18758</v>
      </c>
      <c r="BN991">
        <v>26030824</v>
      </c>
      <c r="BO991" t="s">
        <v>1097</v>
      </c>
      <c r="BP991" t="s">
        <v>74</v>
      </c>
      <c r="BQ991" t="s">
        <v>74</v>
      </c>
      <c r="BR991" t="s">
        <v>103</v>
      </c>
      <c r="BS991" t="s">
        <v>18759</v>
      </c>
      <c r="BT991" t="str">
        <f>HYPERLINK("https%3A%2F%2Fwww.webofscience.com%2Fwos%2Fwoscc%2Ffull-record%2FWOS:000356630900190","View Full Record in Web of Science")</f>
        <v>View Full Record in Web of Science</v>
      </c>
    </row>
    <row r="992" spans="1:72" x14ac:dyDescent="0.15">
      <c r="A992" t="s">
        <v>72</v>
      </c>
      <c r="B992" t="s">
        <v>18760</v>
      </c>
      <c r="C992" t="s">
        <v>74</v>
      </c>
      <c r="D992" t="s">
        <v>74</v>
      </c>
      <c r="E992" t="s">
        <v>74</v>
      </c>
      <c r="F992" t="s">
        <v>18761</v>
      </c>
      <c r="G992" t="s">
        <v>74</v>
      </c>
      <c r="H992" t="s">
        <v>74</v>
      </c>
      <c r="I992" t="s">
        <v>18762</v>
      </c>
      <c r="J992" t="s">
        <v>4759</v>
      </c>
      <c r="K992" t="s">
        <v>74</v>
      </c>
      <c r="L992" t="s">
        <v>74</v>
      </c>
      <c r="M992" t="s">
        <v>78</v>
      </c>
      <c r="N992" t="s">
        <v>79</v>
      </c>
      <c r="O992" t="s">
        <v>74</v>
      </c>
      <c r="P992" t="s">
        <v>74</v>
      </c>
      <c r="Q992" t="s">
        <v>74</v>
      </c>
      <c r="R992" t="s">
        <v>74</v>
      </c>
      <c r="S992" t="s">
        <v>74</v>
      </c>
      <c r="T992" t="s">
        <v>18763</v>
      </c>
      <c r="U992" t="s">
        <v>18764</v>
      </c>
      <c r="V992" t="s">
        <v>18765</v>
      </c>
      <c r="W992" t="s">
        <v>18766</v>
      </c>
      <c r="X992" t="s">
        <v>18767</v>
      </c>
      <c r="Y992" t="s">
        <v>18768</v>
      </c>
      <c r="Z992" t="s">
        <v>18769</v>
      </c>
      <c r="AA992" t="s">
        <v>18770</v>
      </c>
      <c r="AB992" t="s">
        <v>18771</v>
      </c>
      <c r="AC992" t="s">
        <v>74</v>
      </c>
      <c r="AD992" t="s">
        <v>74</v>
      </c>
      <c r="AE992" t="s">
        <v>74</v>
      </c>
      <c r="AF992" t="s">
        <v>74</v>
      </c>
      <c r="AG992">
        <v>38</v>
      </c>
      <c r="AH992">
        <v>22</v>
      </c>
      <c r="AI992">
        <v>25</v>
      </c>
      <c r="AJ992">
        <v>0</v>
      </c>
      <c r="AK992">
        <v>69</v>
      </c>
      <c r="AL992" t="s">
        <v>92</v>
      </c>
      <c r="AM992" t="s">
        <v>550</v>
      </c>
      <c r="AN992" t="s">
        <v>1398</v>
      </c>
      <c r="AO992" t="s">
        <v>4773</v>
      </c>
      <c r="AP992" t="s">
        <v>4774</v>
      </c>
      <c r="AQ992" t="s">
        <v>74</v>
      </c>
      <c r="AR992" t="s">
        <v>4775</v>
      </c>
      <c r="AS992" t="s">
        <v>4776</v>
      </c>
      <c r="AT992" t="s">
        <v>16741</v>
      </c>
      <c r="AU992">
        <v>2015</v>
      </c>
      <c r="AV992">
        <v>38</v>
      </c>
      <c r="AW992">
        <v>6</v>
      </c>
      <c r="AX992" t="s">
        <v>74</v>
      </c>
      <c r="AY992" t="s">
        <v>74</v>
      </c>
      <c r="AZ992" t="s">
        <v>74</v>
      </c>
      <c r="BA992" t="s">
        <v>74</v>
      </c>
      <c r="BB992">
        <v>919</v>
      </c>
      <c r="BC992">
        <v>925</v>
      </c>
      <c r="BD992" t="s">
        <v>74</v>
      </c>
      <c r="BE992" t="s">
        <v>18772</v>
      </c>
      <c r="BF992" t="str">
        <f>HYPERLINK("http://dx.doi.org/10.1007/s00300-015-1649-4","http://dx.doi.org/10.1007/s00300-015-1649-4")</f>
        <v>http://dx.doi.org/10.1007/s00300-015-1649-4</v>
      </c>
      <c r="BG992" t="s">
        <v>74</v>
      </c>
      <c r="BH992" t="s">
        <v>74</v>
      </c>
      <c r="BI992">
        <v>7</v>
      </c>
      <c r="BJ992" t="s">
        <v>4778</v>
      </c>
      <c r="BK992" t="s">
        <v>101</v>
      </c>
      <c r="BL992" t="s">
        <v>3806</v>
      </c>
      <c r="BM992" t="s">
        <v>17899</v>
      </c>
      <c r="BN992" t="s">
        <v>74</v>
      </c>
      <c r="BO992" t="s">
        <v>559</v>
      </c>
      <c r="BP992" t="s">
        <v>74</v>
      </c>
      <c r="BQ992" t="s">
        <v>74</v>
      </c>
      <c r="BR992" t="s">
        <v>103</v>
      </c>
      <c r="BS992" t="s">
        <v>18773</v>
      </c>
      <c r="BT992" t="str">
        <f>HYPERLINK("https%3A%2F%2Fwww.webofscience.com%2Fwos%2Fwoscc%2Ffull-record%2FWOS:000354806300013","View Full Record in Web of Science")</f>
        <v>View Full Record in Web of Science</v>
      </c>
    </row>
    <row r="993" spans="1:72" x14ac:dyDescent="0.15">
      <c r="A993" t="s">
        <v>72</v>
      </c>
      <c r="B993" t="s">
        <v>18774</v>
      </c>
      <c r="C993" t="s">
        <v>74</v>
      </c>
      <c r="D993" t="s">
        <v>74</v>
      </c>
      <c r="E993" t="s">
        <v>74</v>
      </c>
      <c r="F993" t="s">
        <v>18775</v>
      </c>
      <c r="G993" t="s">
        <v>74</v>
      </c>
      <c r="H993" t="s">
        <v>74</v>
      </c>
      <c r="I993" t="s">
        <v>18776</v>
      </c>
      <c r="J993" t="s">
        <v>8535</v>
      </c>
      <c r="K993" t="s">
        <v>74</v>
      </c>
      <c r="L993" t="s">
        <v>74</v>
      </c>
      <c r="M993" t="s">
        <v>78</v>
      </c>
      <c r="N993" t="s">
        <v>754</v>
      </c>
      <c r="O993" t="s">
        <v>74</v>
      </c>
      <c r="P993" t="s">
        <v>74</v>
      </c>
      <c r="Q993" t="s">
        <v>74</v>
      </c>
      <c r="R993" t="s">
        <v>74</v>
      </c>
      <c r="S993" t="s">
        <v>74</v>
      </c>
      <c r="T993" t="s">
        <v>18777</v>
      </c>
      <c r="U993" t="s">
        <v>18778</v>
      </c>
      <c r="V993" t="s">
        <v>74</v>
      </c>
      <c r="W993" t="s">
        <v>18779</v>
      </c>
      <c r="X993" t="s">
        <v>18780</v>
      </c>
      <c r="Y993" t="s">
        <v>18781</v>
      </c>
      <c r="Z993" t="s">
        <v>18782</v>
      </c>
      <c r="AA993" t="s">
        <v>18783</v>
      </c>
      <c r="AB993" t="s">
        <v>18784</v>
      </c>
      <c r="AC993" t="s">
        <v>74</v>
      </c>
      <c r="AD993" t="s">
        <v>74</v>
      </c>
      <c r="AE993" t="s">
        <v>74</v>
      </c>
      <c r="AF993" t="s">
        <v>74</v>
      </c>
      <c r="AG993">
        <v>34</v>
      </c>
      <c r="AH993">
        <v>3</v>
      </c>
      <c r="AI993">
        <v>3</v>
      </c>
      <c r="AJ993">
        <v>0</v>
      </c>
      <c r="AK993">
        <v>12</v>
      </c>
      <c r="AL993" t="s">
        <v>883</v>
      </c>
      <c r="AM993" t="s">
        <v>884</v>
      </c>
      <c r="AN993" t="s">
        <v>885</v>
      </c>
      <c r="AO993" t="s">
        <v>8547</v>
      </c>
      <c r="AP993" t="s">
        <v>8548</v>
      </c>
      <c r="AQ993" t="s">
        <v>74</v>
      </c>
      <c r="AR993" t="s">
        <v>8549</v>
      </c>
      <c r="AS993" t="s">
        <v>8550</v>
      </c>
      <c r="AT993" t="s">
        <v>16741</v>
      </c>
      <c r="AU993">
        <v>2015</v>
      </c>
      <c r="AV993">
        <v>262</v>
      </c>
      <c r="AW993" t="s">
        <v>74</v>
      </c>
      <c r="AX993" t="s">
        <v>74</v>
      </c>
      <c r="AY993" t="s">
        <v>74</v>
      </c>
      <c r="AZ993" t="s">
        <v>74</v>
      </c>
      <c r="BA993" t="s">
        <v>74</v>
      </c>
      <c r="BB993">
        <v>127</v>
      </c>
      <c r="BC993">
        <v>130</v>
      </c>
      <c r="BD993" t="s">
        <v>74</v>
      </c>
      <c r="BE993" t="s">
        <v>18785</v>
      </c>
      <c r="BF993" t="str">
        <f>HYPERLINK("http://dx.doi.org/10.1016/j.precamres.2015.02.018","http://dx.doi.org/10.1016/j.precamres.2015.02.018")</f>
        <v>http://dx.doi.org/10.1016/j.precamres.2015.02.018</v>
      </c>
      <c r="BG993" t="s">
        <v>74</v>
      </c>
      <c r="BH993" t="s">
        <v>74</v>
      </c>
      <c r="BI993">
        <v>4</v>
      </c>
      <c r="BJ993" t="s">
        <v>314</v>
      </c>
      <c r="BK993" t="s">
        <v>101</v>
      </c>
      <c r="BL993" t="s">
        <v>315</v>
      </c>
      <c r="BM993" t="s">
        <v>18786</v>
      </c>
      <c r="BN993" t="s">
        <v>74</v>
      </c>
      <c r="BO993" t="s">
        <v>74</v>
      </c>
      <c r="BP993" t="s">
        <v>74</v>
      </c>
      <c r="BQ993" t="s">
        <v>74</v>
      </c>
      <c r="BR993" t="s">
        <v>103</v>
      </c>
      <c r="BS993" t="s">
        <v>18787</v>
      </c>
      <c r="BT993" t="str">
        <f>HYPERLINK("https%3A%2F%2Fwww.webofscience.com%2Fwos%2Fwoscc%2Ffull-record%2FWOS:000352667200010","View Full Record in Web of Science")</f>
        <v>View Full Record in Web of Science</v>
      </c>
    </row>
    <row r="994" spans="1:72" x14ac:dyDescent="0.15">
      <c r="A994" t="s">
        <v>72</v>
      </c>
      <c r="B994" t="s">
        <v>18788</v>
      </c>
      <c r="C994" t="s">
        <v>74</v>
      </c>
      <c r="D994" t="s">
        <v>74</v>
      </c>
      <c r="E994" t="s">
        <v>74</v>
      </c>
      <c r="F994" t="s">
        <v>18789</v>
      </c>
      <c r="G994" t="s">
        <v>74</v>
      </c>
      <c r="H994" t="s">
        <v>74</v>
      </c>
      <c r="I994" t="s">
        <v>18790</v>
      </c>
      <c r="J994" t="s">
        <v>8557</v>
      </c>
      <c r="K994" t="s">
        <v>74</v>
      </c>
      <c r="L994" t="s">
        <v>74</v>
      </c>
      <c r="M994" t="s">
        <v>78</v>
      </c>
      <c r="N994" t="s">
        <v>581</v>
      </c>
      <c r="O994" t="s">
        <v>74</v>
      </c>
      <c r="P994" t="s">
        <v>74</v>
      </c>
      <c r="Q994" t="s">
        <v>74</v>
      </c>
      <c r="R994" t="s">
        <v>74</v>
      </c>
      <c r="S994" t="s">
        <v>74</v>
      </c>
      <c r="T994" t="s">
        <v>74</v>
      </c>
      <c r="U994" t="s">
        <v>18791</v>
      </c>
      <c r="V994" t="s">
        <v>18792</v>
      </c>
      <c r="W994" t="s">
        <v>18793</v>
      </c>
      <c r="X994" t="s">
        <v>18794</v>
      </c>
      <c r="Y994" t="s">
        <v>18795</v>
      </c>
      <c r="Z994" t="s">
        <v>18796</v>
      </c>
      <c r="AA994" t="s">
        <v>18797</v>
      </c>
      <c r="AB994" t="s">
        <v>18798</v>
      </c>
      <c r="AC994" t="s">
        <v>18799</v>
      </c>
      <c r="AD994" t="s">
        <v>18799</v>
      </c>
      <c r="AE994" t="s">
        <v>18800</v>
      </c>
      <c r="AF994" t="s">
        <v>74</v>
      </c>
      <c r="AG994">
        <v>55</v>
      </c>
      <c r="AH994">
        <v>21</v>
      </c>
      <c r="AI994">
        <v>22</v>
      </c>
      <c r="AJ994">
        <v>3</v>
      </c>
      <c r="AK994">
        <v>52</v>
      </c>
      <c r="AL994" t="s">
        <v>397</v>
      </c>
      <c r="AM994" t="s">
        <v>398</v>
      </c>
      <c r="AN994" t="s">
        <v>399</v>
      </c>
      <c r="AO994" t="s">
        <v>8569</v>
      </c>
      <c r="AP994" t="s">
        <v>74</v>
      </c>
      <c r="AQ994" t="s">
        <v>74</v>
      </c>
      <c r="AR994" t="s">
        <v>8570</v>
      </c>
      <c r="AS994" t="s">
        <v>8571</v>
      </c>
      <c r="AT994" t="s">
        <v>16741</v>
      </c>
      <c r="AU994">
        <v>2015</v>
      </c>
      <c r="AV994">
        <v>135</v>
      </c>
      <c r="AW994" t="s">
        <v>74</v>
      </c>
      <c r="AX994" t="s">
        <v>74</v>
      </c>
      <c r="AY994" t="s">
        <v>74</v>
      </c>
      <c r="AZ994" t="s">
        <v>74</v>
      </c>
      <c r="BA994" t="s">
        <v>74</v>
      </c>
      <c r="BB994">
        <v>168</v>
      </c>
      <c r="BC994">
        <v>175</v>
      </c>
      <c r="BD994" t="s">
        <v>74</v>
      </c>
      <c r="BE994" t="s">
        <v>18801</v>
      </c>
      <c r="BF994" t="str">
        <f>HYPERLINK("http://dx.doi.org/10.1016/j.pocean.2015.05.019","http://dx.doi.org/10.1016/j.pocean.2015.05.019")</f>
        <v>http://dx.doi.org/10.1016/j.pocean.2015.05.019</v>
      </c>
      <c r="BG994" t="s">
        <v>74</v>
      </c>
      <c r="BH994" t="s">
        <v>74</v>
      </c>
      <c r="BI994">
        <v>8</v>
      </c>
      <c r="BJ994" t="s">
        <v>339</v>
      </c>
      <c r="BK994" t="s">
        <v>101</v>
      </c>
      <c r="BL994" t="s">
        <v>339</v>
      </c>
      <c r="BM994" t="s">
        <v>18802</v>
      </c>
      <c r="BN994" t="s">
        <v>74</v>
      </c>
      <c r="BO994" t="s">
        <v>74</v>
      </c>
      <c r="BP994" t="s">
        <v>74</v>
      </c>
      <c r="BQ994" t="s">
        <v>74</v>
      </c>
      <c r="BR994" t="s">
        <v>103</v>
      </c>
      <c r="BS994" t="s">
        <v>18803</v>
      </c>
      <c r="BT994" t="str">
        <f>HYPERLINK("https%3A%2F%2Fwww.webofscience.com%2Fwos%2Fwoscc%2Ffull-record%2FWOS:000356552100013","View Full Record in Web of Science")</f>
        <v>View Full Record in Web of Science</v>
      </c>
    </row>
    <row r="995" spans="1:72" x14ac:dyDescent="0.15">
      <c r="A995" t="s">
        <v>72</v>
      </c>
      <c r="B995" t="s">
        <v>18804</v>
      </c>
      <c r="C995" t="s">
        <v>74</v>
      </c>
      <c r="D995" t="s">
        <v>74</v>
      </c>
      <c r="E995" t="s">
        <v>74</v>
      </c>
      <c r="F995" t="s">
        <v>18805</v>
      </c>
      <c r="G995" t="s">
        <v>74</v>
      </c>
      <c r="H995" t="s">
        <v>74</v>
      </c>
      <c r="I995" t="s">
        <v>18806</v>
      </c>
      <c r="J995" t="s">
        <v>18807</v>
      </c>
      <c r="K995" t="s">
        <v>74</v>
      </c>
      <c r="L995" t="s">
        <v>74</v>
      </c>
      <c r="M995" t="s">
        <v>78</v>
      </c>
      <c r="N995" t="s">
        <v>79</v>
      </c>
      <c r="O995" t="s">
        <v>74</v>
      </c>
      <c r="P995" t="s">
        <v>74</v>
      </c>
      <c r="Q995" t="s">
        <v>74</v>
      </c>
      <c r="R995" t="s">
        <v>74</v>
      </c>
      <c r="S995" t="s">
        <v>74</v>
      </c>
      <c r="T995" t="s">
        <v>18808</v>
      </c>
      <c r="U995" t="s">
        <v>18809</v>
      </c>
      <c r="V995" t="s">
        <v>18810</v>
      </c>
      <c r="W995" t="s">
        <v>18811</v>
      </c>
      <c r="X995" t="s">
        <v>18812</v>
      </c>
      <c r="Y995" t="s">
        <v>18813</v>
      </c>
      <c r="Z995" t="s">
        <v>18814</v>
      </c>
      <c r="AA995" t="s">
        <v>18815</v>
      </c>
      <c r="AB995" t="s">
        <v>18816</v>
      </c>
      <c r="AC995" t="s">
        <v>18817</v>
      </c>
      <c r="AD995" t="s">
        <v>18818</v>
      </c>
      <c r="AE995" t="s">
        <v>18819</v>
      </c>
      <c r="AF995" t="s">
        <v>74</v>
      </c>
      <c r="AG995">
        <v>30</v>
      </c>
      <c r="AH995">
        <v>2</v>
      </c>
      <c r="AI995">
        <v>4</v>
      </c>
      <c r="AJ995">
        <v>0</v>
      </c>
      <c r="AK995">
        <v>5</v>
      </c>
      <c r="AL995" t="s">
        <v>18807</v>
      </c>
      <c r="AM995" t="s">
        <v>18820</v>
      </c>
      <c r="AN995" t="s">
        <v>18821</v>
      </c>
      <c r="AO995" t="s">
        <v>74</v>
      </c>
      <c r="AP995" t="s">
        <v>18822</v>
      </c>
      <c r="AQ995" t="s">
        <v>74</v>
      </c>
      <c r="AR995" t="s">
        <v>18823</v>
      </c>
      <c r="AS995" t="s">
        <v>18824</v>
      </c>
      <c r="AT995" t="s">
        <v>16741</v>
      </c>
      <c r="AU995">
        <v>2015</v>
      </c>
      <c r="AV995">
        <v>63</v>
      </c>
      <c r="AW995" t="s">
        <v>74</v>
      </c>
      <c r="AX995" t="s">
        <v>74</v>
      </c>
      <c r="AY995">
        <v>2</v>
      </c>
      <c r="AZ995" t="s">
        <v>74</v>
      </c>
      <c r="BA995" t="s">
        <v>74</v>
      </c>
      <c r="BB995">
        <v>115</v>
      </c>
      <c r="BC995">
        <v>120</v>
      </c>
      <c r="BD995" t="s">
        <v>74</v>
      </c>
      <c r="BE995" t="s">
        <v>74</v>
      </c>
      <c r="BF995" t="s">
        <v>74</v>
      </c>
      <c r="BG995" t="s">
        <v>74</v>
      </c>
      <c r="BH995" t="s">
        <v>74</v>
      </c>
      <c r="BI995">
        <v>6</v>
      </c>
      <c r="BJ995" t="s">
        <v>11750</v>
      </c>
      <c r="BK995" t="s">
        <v>101</v>
      </c>
      <c r="BL995" t="s">
        <v>11751</v>
      </c>
      <c r="BM995" t="s">
        <v>18825</v>
      </c>
      <c r="BN995" t="s">
        <v>74</v>
      </c>
      <c r="BO995" t="s">
        <v>74</v>
      </c>
      <c r="BP995" t="s">
        <v>74</v>
      </c>
      <c r="BQ995" t="s">
        <v>74</v>
      </c>
      <c r="BR995" t="s">
        <v>103</v>
      </c>
      <c r="BS995" t="s">
        <v>18826</v>
      </c>
      <c r="BT995" t="str">
        <f>HYPERLINK("https%3A%2F%2Fwww.webofscience.com%2Fwos%2Fwoscc%2Ffull-record%2FWOS:000380019300011","View Full Record in Web of Science")</f>
        <v>View Full Record in Web of Science</v>
      </c>
    </row>
    <row r="996" spans="1:72" x14ac:dyDescent="0.15">
      <c r="A996" t="s">
        <v>72</v>
      </c>
      <c r="B996" t="s">
        <v>18827</v>
      </c>
      <c r="C996" t="s">
        <v>74</v>
      </c>
      <c r="D996" t="s">
        <v>74</v>
      </c>
      <c r="E996" t="s">
        <v>74</v>
      </c>
      <c r="F996" t="s">
        <v>18828</v>
      </c>
      <c r="G996" t="s">
        <v>74</v>
      </c>
      <c r="H996" t="s">
        <v>74</v>
      </c>
      <c r="I996" t="s">
        <v>18829</v>
      </c>
      <c r="J996" t="s">
        <v>18807</v>
      </c>
      <c r="K996" t="s">
        <v>74</v>
      </c>
      <c r="L996" t="s">
        <v>74</v>
      </c>
      <c r="M996" t="s">
        <v>78</v>
      </c>
      <c r="N996" t="s">
        <v>79</v>
      </c>
      <c r="O996" t="s">
        <v>74</v>
      </c>
      <c r="P996" t="s">
        <v>74</v>
      </c>
      <c r="Q996" t="s">
        <v>74</v>
      </c>
      <c r="R996" t="s">
        <v>74</v>
      </c>
      <c r="S996" t="s">
        <v>74</v>
      </c>
      <c r="T996" t="s">
        <v>18830</v>
      </c>
      <c r="U996" t="s">
        <v>18831</v>
      </c>
      <c r="V996" t="s">
        <v>18832</v>
      </c>
      <c r="W996" t="s">
        <v>18833</v>
      </c>
      <c r="X996" t="s">
        <v>18834</v>
      </c>
      <c r="Y996" t="s">
        <v>18835</v>
      </c>
      <c r="Z996" t="s">
        <v>18836</v>
      </c>
      <c r="AA996" t="s">
        <v>18837</v>
      </c>
      <c r="AB996" t="s">
        <v>18838</v>
      </c>
      <c r="AC996" t="s">
        <v>18839</v>
      </c>
      <c r="AD996" t="s">
        <v>18840</v>
      </c>
      <c r="AE996" t="s">
        <v>18841</v>
      </c>
      <c r="AF996" t="s">
        <v>74</v>
      </c>
      <c r="AG996">
        <v>38</v>
      </c>
      <c r="AH996">
        <v>14</v>
      </c>
      <c r="AI996">
        <v>16</v>
      </c>
      <c r="AJ996">
        <v>0</v>
      </c>
      <c r="AK996">
        <v>10</v>
      </c>
      <c r="AL996" t="s">
        <v>18807</v>
      </c>
      <c r="AM996" t="s">
        <v>18820</v>
      </c>
      <c r="AN996" t="s">
        <v>18821</v>
      </c>
      <c r="AO996" t="s">
        <v>18842</v>
      </c>
      <c r="AP996" t="s">
        <v>18822</v>
      </c>
      <c r="AQ996" t="s">
        <v>74</v>
      </c>
      <c r="AR996" t="s">
        <v>18823</v>
      </c>
      <c r="AS996" t="s">
        <v>18824</v>
      </c>
      <c r="AT996" t="s">
        <v>16741</v>
      </c>
      <c r="AU996">
        <v>2015</v>
      </c>
      <c r="AV996">
        <v>63</v>
      </c>
      <c r="AW996" t="s">
        <v>74</v>
      </c>
      <c r="AX996" t="s">
        <v>74</v>
      </c>
      <c r="AY996">
        <v>2</v>
      </c>
      <c r="AZ996" t="s">
        <v>74</v>
      </c>
      <c r="BA996" t="s">
        <v>74</v>
      </c>
      <c r="BB996">
        <v>309</v>
      </c>
      <c r="BC996">
        <v>320</v>
      </c>
      <c r="BD996" t="s">
        <v>74</v>
      </c>
      <c r="BE996" t="s">
        <v>74</v>
      </c>
      <c r="BF996" t="s">
        <v>74</v>
      </c>
      <c r="BG996" t="s">
        <v>74</v>
      </c>
      <c r="BH996" t="s">
        <v>74</v>
      </c>
      <c r="BI996">
        <v>12</v>
      </c>
      <c r="BJ996" t="s">
        <v>11750</v>
      </c>
      <c r="BK996" t="s">
        <v>101</v>
      </c>
      <c r="BL996" t="s">
        <v>11751</v>
      </c>
      <c r="BM996" t="s">
        <v>18825</v>
      </c>
      <c r="BN996" t="s">
        <v>74</v>
      </c>
      <c r="BO996" t="s">
        <v>74</v>
      </c>
      <c r="BP996" t="s">
        <v>74</v>
      </c>
      <c r="BQ996" t="s">
        <v>74</v>
      </c>
      <c r="BR996" t="s">
        <v>103</v>
      </c>
      <c r="BS996" t="s">
        <v>18843</v>
      </c>
      <c r="BT996" t="str">
        <f>HYPERLINK("https%3A%2F%2Fwww.webofscience.com%2Fwos%2Fwoscc%2Ffull-record%2FWOS:000380019300027","View Full Record in Web of Science")</f>
        <v>View Full Record in Web of Science</v>
      </c>
    </row>
    <row r="997" spans="1:72" x14ac:dyDescent="0.15">
      <c r="A997" t="s">
        <v>72</v>
      </c>
      <c r="B997" t="s">
        <v>18844</v>
      </c>
      <c r="C997" t="s">
        <v>74</v>
      </c>
      <c r="D997" t="s">
        <v>74</v>
      </c>
      <c r="E997" t="s">
        <v>74</v>
      </c>
      <c r="F997" t="s">
        <v>18845</v>
      </c>
      <c r="G997" t="s">
        <v>74</v>
      </c>
      <c r="H997" t="s">
        <v>74</v>
      </c>
      <c r="I997" t="s">
        <v>18846</v>
      </c>
      <c r="J997" t="s">
        <v>764</v>
      </c>
      <c r="K997" t="s">
        <v>74</v>
      </c>
      <c r="L997" t="s">
        <v>74</v>
      </c>
      <c r="M997" t="s">
        <v>78</v>
      </c>
      <c r="N997" t="s">
        <v>79</v>
      </c>
      <c r="O997" t="s">
        <v>74</v>
      </c>
      <c r="P997" t="s">
        <v>74</v>
      </c>
      <c r="Q997" t="s">
        <v>74</v>
      </c>
      <c r="R997" t="s">
        <v>74</v>
      </c>
      <c r="S997" t="s">
        <v>74</v>
      </c>
      <c r="T997" t="s">
        <v>74</v>
      </c>
      <c r="U997" t="s">
        <v>18847</v>
      </c>
      <c r="V997" t="s">
        <v>18848</v>
      </c>
      <c r="W997" t="s">
        <v>18849</v>
      </c>
      <c r="X997" t="s">
        <v>18850</v>
      </c>
      <c r="Y997" t="s">
        <v>18851</v>
      </c>
      <c r="Z997" t="s">
        <v>4546</v>
      </c>
      <c r="AA997" t="s">
        <v>18852</v>
      </c>
      <c r="AB997" t="s">
        <v>18853</v>
      </c>
      <c r="AC997" t="s">
        <v>18854</v>
      </c>
      <c r="AD997" t="s">
        <v>18855</v>
      </c>
      <c r="AE997" t="s">
        <v>18856</v>
      </c>
      <c r="AF997" t="s">
        <v>74</v>
      </c>
      <c r="AG997">
        <v>57</v>
      </c>
      <c r="AH997">
        <v>67</v>
      </c>
      <c r="AI997">
        <v>73</v>
      </c>
      <c r="AJ997">
        <v>5</v>
      </c>
      <c r="AK997">
        <v>42</v>
      </c>
      <c r="AL997" t="s">
        <v>776</v>
      </c>
      <c r="AM997" t="s">
        <v>307</v>
      </c>
      <c r="AN997" t="s">
        <v>777</v>
      </c>
      <c r="AO997" t="s">
        <v>778</v>
      </c>
      <c r="AP997" t="s">
        <v>74</v>
      </c>
      <c r="AQ997" t="s">
        <v>74</v>
      </c>
      <c r="AR997" t="s">
        <v>779</v>
      </c>
      <c r="AS997" t="s">
        <v>780</v>
      </c>
      <c r="AT997" t="s">
        <v>16741</v>
      </c>
      <c r="AU997">
        <v>2015</v>
      </c>
      <c r="AV997">
        <v>1</v>
      </c>
      <c r="AW997">
        <v>5</v>
      </c>
      <c r="AX997" t="s">
        <v>74</v>
      </c>
      <c r="AY997" t="s">
        <v>74</v>
      </c>
      <c r="AZ997" t="s">
        <v>74</v>
      </c>
      <c r="BA997" t="s">
        <v>74</v>
      </c>
      <c r="BB997" t="s">
        <v>74</v>
      </c>
      <c r="BC997" t="s">
        <v>74</v>
      </c>
      <c r="BD997" t="s">
        <v>18857</v>
      </c>
      <c r="BE997" t="s">
        <v>18858</v>
      </c>
      <c r="BF997" t="str">
        <f>HYPERLINK("http://dx.doi.org/10.1126/sciadv.1400127","http://dx.doi.org/10.1126/sciadv.1400127")</f>
        <v>http://dx.doi.org/10.1126/sciadv.1400127</v>
      </c>
      <c r="BG997" t="s">
        <v>74</v>
      </c>
      <c r="BH997" t="s">
        <v>74</v>
      </c>
      <c r="BI997">
        <v>9</v>
      </c>
      <c r="BJ997" t="s">
        <v>530</v>
      </c>
      <c r="BK997" t="s">
        <v>101</v>
      </c>
      <c r="BL997" t="s">
        <v>531</v>
      </c>
      <c r="BM997" t="s">
        <v>18859</v>
      </c>
      <c r="BN997">
        <v>26601189</v>
      </c>
      <c r="BO997" t="s">
        <v>18860</v>
      </c>
      <c r="BP997" t="s">
        <v>74</v>
      </c>
      <c r="BQ997" t="s">
        <v>74</v>
      </c>
      <c r="BR997" t="s">
        <v>103</v>
      </c>
      <c r="BS997" t="s">
        <v>18861</v>
      </c>
      <c r="BT997" t="str">
        <f>HYPERLINK("https%3A%2F%2Fwww.webofscience.com%2Fwos%2Fwoscc%2Ffull-record%2FWOS:000216594600011","View Full Record in Web of Science")</f>
        <v>View Full Record in Web of Science</v>
      </c>
    </row>
    <row r="998" spans="1:72" x14ac:dyDescent="0.15">
      <c r="A998" t="s">
        <v>72</v>
      </c>
      <c r="B998" t="s">
        <v>18862</v>
      </c>
      <c r="C998" t="s">
        <v>74</v>
      </c>
      <c r="D998" t="s">
        <v>74</v>
      </c>
      <c r="E998" t="s">
        <v>74</v>
      </c>
      <c r="F998" t="s">
        <v>18863</v>
      </c>
      <c r="G998" t="s">
        <v>74</v>
      </c>
      <c r="H998" t="s">
        <v>74</v>
      </c>
      <c r="I998" t="s">
        <v>18864</v>
      </c>
      <c r="J998" t="s">
        <v>18865</v>
      </c>
      <c r="K998" t="s">
        <v>74</v>
      </c>
      <c r="L998" t="s">
        <v>74</v>
      </c>
      <c r="M998" t="s">
        <v>78</v>
      </c>
      <c r="N998" t="s">
        <v>79</v>
      </c>
      <c r="O998" t="s">
        <v>74</v>
      </c>
      <c r="P998" t="s">
        <v>74</v>
      </c>
      <c r="Q998" t="s">
        <v>74</v>
      </c>
      <c r="R998" t="s">
        <v>74</v>
      </c>
      <c r="S998" t="s">
        <v>74</v>
      </c>
      <c r="T998" t="s">
        <v>18866</v>
      </c>
      <c r="U998" t="s">
        <v>18867</v>
      </c>
      <c r="V998" t="s">
        <v>18868</v>
      </c>
      <c r="W998" t="s">
        <v>18869</v>
      </c>
      <c r="X998" t="s">
        <v>18870</v>
      </c>
      <c r="Y998" t="s">
        <v>18871</v>
      </c>
      <c r="Z998" t="s">
        <v>18872</v>
      </c>
      <c r="AA998" t="s">
        <v>18873</v>
      </c>
      <c r="AB998" t="s">
        <v>18874</v>
      </c>
      <c r="AC998" t="s">
        <v>18875</v>
      </c>
      <c r="AD998" t="s">
        <v>18876</v>
      </c>
      <c r="AE998" t="s">
        <v>18877</v>
      </c>
      <c r="AF998" t="s">
        <v>74</v>
      </c>
      <c r="AG998">
        <v>55</v>
      </c>
      <c r="AH998">
        <v>17</v>
      </c>
      <c r="AI998">
        <v>19</v>
      </c>
      <c r="AJ998">
        <v>1</v>
      </c>
      <c r="AK998">
        <v>30</v>
      </c>
      <c r="AL998" t="s">
        <v>18878</v>
      </c>
      <c r="AM998" t="s">
        <v>7474</v>
      </c>
      <c r="AN998" t="s">
        <v>18879</v>
      </c>
      <c r="AO998" t="s">
        <v>18880</v>
      </c>
      <c r="AP998" t="s">
        <v>74</v>
      </c>
      <c r="AQ998" t="s">
        <v>74</v>
      </c>
      <c r="AR998" t="s">
        <v>18881</v>
      </c>
      <c r="AS998" t="s">
        <v>18882</v>
      </c>
      <c r="AT998" t="s">
        <v>16741</v>
      </c>
      <c r="AU998">
        <v>2015</v>
      </c>
      <c r="AV998">
        <v>32</v>
      </c>
      <c r="AW998">
        <v>3</v>
      </c>
      <c r="AX998" t="s">
        <v>74</v>
      </c>
      <c r="AY998" t="s">
        <v>74</v>
      </c>
      <c r="AZ998" t="s">
        <v>74</v>
      </c>
      <c r="BA998" t="s">
        <v>74</v>
      </c>
      <c r="BB998">
        <v>248</v>
      </c>
      <c r="BC998">
        <v>254</v>
      </c>
      <c r="BD998" t="s">
        <v>74</v>
      </c>
      <c r="BE998" t="s">
        <v>18883</v>
      </c>
      <c r="BF998" t="str">
        <f>HYPERLINK("http://dx.doi.org/10.2108/zs140166","http://dx.doi.org/10.2108/zs140166")</f>
        <v>http://dx.doi.org/10.2108/zs140166</v>
      </c>
      <c r="BG998" t="s">
        <v>74</v>
      </c>
      <c r="BH998" t="s">
        <v>74</v>
      </c>
      <c r="BI998">
        <v>7</v>
      </c>
      <c r="BJ998" t="s">
        <v>243</v>
      </c>
      <c r="BK998" t="s">
        <v>101</v>
      </c>
      <c r="BL998" t="s">
        <v>243</v>
      </c>
      <c r="BM998" t="s">
        <v>18884</v>
      </c>
      <c r="BN998">
        <v>26003979</v>
      </c>
      <c r="BO998" t="s">
        <v>908</v>
      </c>
      <c r="BP998" t="s">
        <v>74</v>
      </c>
      <c r="BQ998" t="s">
        <v>74</v>
      </c>
      <c r="BR998" t="s">
        <v>103</v>
      </c>
      <c r="BS998" t="s">
        <v>18885</v>
      </c>
      <c r="BT998" t="str">
        <f>HYPERLINK("https%3A%2F%2Fwww.webofscience.com%2Fwos%2Fwoscc%2Ffull-record%2FWOS:000355110700005","View Full Record in Web of Science")</f>
        <v>View Full Record in Web of Science</v>
      </c>
    </row>
    <row r="999" spans="1:72" x14ac:dyDescent="0.15">
      <c r="A999" t="s">
        <v>72</v>
      </c>
      <c r="B999" t="s">
        <v>18886</v>
      </c>
      <c r="C999" t="s">
        <v>74</v>
      </c>
      <c r="D999" t="s">
        <v>74</v>
      </c>
      <c r="E999" t="s">
        <v>74</v>
      </c>
      <c r="F999" t="s">
        <v>18887</v>
      </c>
      <c r="G999" t="s">
        <v>74</v>
      </c>
      <c r="H999" t="s">
        <v>74</v>
      </c>
      <c r="I999" t="s">
        <v>18888</v>
      </c>
      <c r="J999" t="s">
        <v>18889</v>
      </c>
      <c r="K999" t="s">
        <v>74</v>
      </c>
      <c r="L999" t="s">
        <v>74</v>
      </c>
      <c r="M999" t="s">
        <v>78</v>
      </c>
      <c r="N999" t="s">
        <v>79</v>
      </c>
      <c r="O999" t="s">
        <v>74</v>
      </c>
      <c r="P999" t="s">
        <v>74</v>
      </c>
      <c r="Q999" t="s">
        <v>74</v>
      </c>
      <c r="R999" t="s">
        <v>74</v>
      </c>
      <c r="S999" t="s">
        <v>74</v>
      </c>
      <c r="T999" t="s">
        <v>18890</v>
      </c>
      <c r="U999" t="s">
        <v>18891</v>
      </c>
      <c r="V999" t="s">
        <v>18892</v>
      </c>
      <c r="W999" t="s">
        <v>18893</v>
      </c>
      <c r="X999" t="s">
        <v>18894</v>
      </c>
      <c r="Y999" t="s">
        <v>13107</v>
      </c>
      <c r="Z999" t="s">
        <v>18895</v>
      </c>
      <c r="AA999" t="s">
        <v>74</v>
      </c>
      <c r="AB999" t="s">
        <v>3227</v>
      </c>
      <c r="AC999" t="s">
        <v>18896</v>
      </c>
      <c r="AD999" t="s">
        <v>18897</v>
      </c>
      <c r="AE999" t="s">
        <v>18898</v>
      </c>
      <c r="AF999" t="s">
        <v>74</v>
      </c>
      <c r="AG999">
        <v>5</v>
      </c>
      <c r="AH999">
        <v>1</v>
      </c>
      <c r="AI999">
        <v>1</v>
      </c>
      <c r="AJ999">
        <v>0</v>
      </c>
      <c r="AK999">
        <v>10</v>
      </c>
      <c r="AL999" t="s">
        <v>92</v>
      </c>
      <c r="AM999" t="s">
        <v>93</v>
      </c>
      <c r="AN999" t="s">
        <v>94</v>
      </c>
      <c r="AO999" t="s">
        <v>18899</v>
      </c>
      <c r="AP999" t="s">
        <v>18900</v>
      </c>
      <c r="AQ999" t="s">
        <v>74</v>
      </c>
      <c r="AR999" t="s">
        <v>18901</v>
      </c>
      <c r="AS999" t="s">
        <v>18902</v>
      </c>
      <c r="AT999" t="s">
        <v>16741</v>
      </c>
      <c r="AU999">
        <v>2015</v>
      </c>
      <c r="AV999">
        <v>7</v>
      </c>
      <c r="AW999">
        <v>2</v>
      </c>
      <c r="AX999" t="s">
        <v>74</v>
      </c>
      <c r="AY999" t="s">
        <v>74</v>
      </c>
      <c r="AZ999" t="s">
        <v>74</v>
      </c>
      <c r="BA999" t="s">
        <v>74</v>
      </c>
      <c r="BB999">
        <v>561</v>
      </c>
      <c r="BC999">
        <v>563</v>
      </c>
      <c r="BD999" t="s">
        <v>74</v>
      </c>
      <c r="BE999" t="s">
        <v>18903</v>
      </c>
      <c r="BF999" t="str">
        <f>HYPERLINK("http://dx.doi.org/10.1007/s12686-015-0424-8","http://dx.doi.org/10.1007/s12686-015-0424-8")</f>
        <v>http://dx.doi.org/10.1007/s12686-015-0424-8</v>
      </c>
      <c r="BG999" t="s">
        <v>74</v>
      </c>
      <c r="BH999" t="s">
        <v>74</v>
      </c>
      <c r="BI999">
        <v>3</v>
      </c>
      <c r="BJ999" t="s">
        <v>18904</v>
      </c>
      <c r="BK999" t="s">
        <v>101</v>
      </c>
      <c r="BL999" t="s">
        <v>18905</v>
      </c>
      <c r="BM999" t="s">
        <v>18906</v>
      </c>
      <c r="BN999" t="s">
        <v>74</v>
      </c>
      <c r="BO999" t="s">
        <v>74</v>
      </c>
      <c r="BP999" t="s">
        <v>74</v>
      </c>
      <c r="BQ999" t="s">
        <v>74</v>
      </c>
      <c r="BR999" t="s">
        <v>103</v>
      </c>
      <c r="BS999" t="s">
        <v>18907</v>
      </c>
      <c r="BT999" t="str">
        <f>HYPERLINK("https%3A%2F%2Fwww.webofscience.com%2Fwos%2Fwoscc%2Ffull-record%2FWOS:000354213300062","View Full Record in Web of Science")</f>
        <v>View Full Record in Web of Science</v>
      </c>
    </row>
    <row r="1000" spans="1:72" x14ac:dyDescent="0.15">
      <c r="A1000" t="s">
        <v>72</v>
      </c>
      <c r="B1000" t="s">
        <v>18908</v>
      </c>
      <c r="C1000" t="s">
        <v>74</v>
      </c>
      <c r="D1000" t="s">
        <v>74</v>
      </c>
      <c r="E1000" t="s">
        <v>74</v>
      </c>
      <c r="F1000" t="s">
        <v>18909</v>
      </c>
      <c r="G1000" t="s">
        <v>74</v>
      </c>
      <c r="H1000" t="s">
        <v>74</v>
      </c>
      <c r="I1000" t="s">
        <v>18910</v>
      </c>
      <c r="J1000" t="s">
        <v>1690</v>
      </c>
      <c r="K1000" t="s">
        <v>74</v>
      </c>
      <c r="L1000" t="s">
        <v>74</v>
      </c>
      <c r="M1000" t="s">
        <v>78</v>
      </c>
      <c r="N1000" t="s">
        <v>79</v>
      </c>
      <c r="O1000" t="s">
        <v>74</v>
      </c>
      <c r="P1000" t="s">
        <v>74</v>
      </c>
      <c r="Q1000" t="s">
        <v>74</v>
      </c>
      <c r="R1000" t="s">
        <v>74</v>
      </c>
      <c r="S1000" t="s">
        <v>74</v>
      </c>
      <c r="T1000" t="s">
        <v>18911</v>
      </c>
      <c r="U1000" t="s">
        <v>18912</v>
      </c>
      <c r="V1000" t="s">
        <v>18913</v>
      </c>
      <c r="W1000" t="s">
        <v>18914</v>
      </c>
      <c r="X1000" t="s">
        <v>18915</v>
      </c>
      <c r="Y1000" t="s">
        <v>18916</v>
      </c>
      <c r="Z1000" t="s">
        <v>18917</v>
      </c>
      <c r="AA1000" t="s">
        <v>18918</v>
      </c>
      <c r="AB1000" t="s">
        <v>18919</v>
      </c>
      <c r="AC1000" t="s">
        <v>18920</v>
      </c>
      <c r="AD1000" t="s">
        <v>18921</v>
      </c>
      <c r="AE1000" t="s">
        <v>18922</v>
      </c>
      <c r="AF1000" t="s">
        <v>74</v>
      </c>
      <c r="AG1000">
        <v>57</v>
      </c>
      <c r="AH1000">
        <v>45</v>
      </c>
      <c r="AI1000">
        <v>48</v>
      </c>
      <c r="AJ1000">
        <v>0</v>
      </c>
      <c r="AK1000">
        <v>48</v>
      </c>
      <c r="AL1000" t="s">
        <v>883</v>
      </c>
      <c r="AM1000" t="s">
        <v>884</v>
      </c>
      <c r="AN1000" t="s">
        <v>885</v>
      </c>
      <c r="AO1000" t="s">
        <v>1702</v>
      </c>
      <c r="AP1000" t="s">
        <v>1703</v>
      </c>
      <c r="AQ1000" t="s">
        <v>74</v>
      </c>
      <c r="AR1000" t="s">
        <v>1704</v>
      </c>
      <c r="AS1000" t="s">
        <v>1705</v>
      </c>
      <c r="AT1000" t="s">
        <v>17740</v>
      </c>
      <c r="AU1000">
        <v>2015</v>
      </c>
      <c r="AV1000">
        <v>419</v>
      </c>
      <c r="AW1000" t="s">
        <v>74</v>
      </c>
      <c r="AX1000" t="s">
        <v>74</v>
      </c>
      <c r="AY1000" t="s">
        <v>74</v>
      </c>
      <c r="AZ1000" t="s">
        <v>74</v>
      </c>
      <c r="BA1000" t="s">
        <v>74</v>
      </c>
      <c r="BB1000">
        <v>93</v>
      </c>
      <c r="BC1000">
        <v>100</v>
      </c>
      <c r="BD1000" t="s">
        <v>74</v>
      </c>
      <c r="BE1000" t="s">
        <v>18923</v>
      </c>
      <c r="BF1000" t="str">
        <f>HYPERLINK("http://dx.doi.org/10.1016/j.epsl.2015.03.026","http://dx.doi.org/10.1016/j.epsl.2015.03.026")</f>
        <v>http://dx.doi.org/10.1016/j.epsl.2015.03.026</v>
      </c>
      <c r="BG1000" t="s">
        <v>74</v>
      </c>
      <c r="BH1000" t="s">
        <v>74</v>
      </c>
      <c r="BI1000">
        <v>8</v>
      </c>
      <c r="BJ1000" t="s">
        <v>1707</v>
      </c>
      <c r="BK1000" t="s">
        <v>101</v>
      </c>
      <c r="BL1000" t="s">
        <v>1707</v>
      </c>
      <c r="BM1000" t="s">
        <v>18158</v>
      </c>
      <c r="BN1000" t="s">
        <v>74</v>
      </c>
      <c r="BO1000" t="s">
        <v>559</v>
      </c>
      <c r="BP1000" t="s">
        <v>74</v>
      </c>
      <c r="BQ1000" t="s">
        <v>74</v>
      </c>
      <c r="BR1000" t="s">
        <v>103</v>
      </c>
      <c r="BS1000" t="s">
        <v>18924</v>
      </c>
      <c r="BT1000" t="str">
        <f>HYPERLINK("https%3A%2F%2Fwww.webofscience.com%2Fwos%2Fwoscc%2Ffull-record%2FWOS:000353852500009","View Full Record in Web of Science")</f>
        <v>View Full Record in Web of Science</v>
      </c>
    </row>
    <row r="1001" spans="1:72" x14ac:dyDescent="0.15">
      <c r="A1001" t="s">
        <v>72</v>
      </c>
      <c r="B1001" t="s">
        <v>18925</v>
      </c>
      <c r="C1001" t="s">
        <v>74</v>
      </c>
      <c r="D1001" t="s">
        <v>74</v>
      </c>
      <c r="E1001" t="s">
        <v>74</v>
      </c>
      <c r="F1001" t="s">
        <v>18926</v>
      </c>
      <c r="G1001" t="s">
        <v>74</v>
      </c>
      <c r="H1001" t="s">
        <v>74</v>
      </c>
      <c r="I1001" t="s">
        <v>18927</v>
      </c>
      <c r="J1001" t="s">
        <v>1690</v>
      </c>
      <c r="K1001" t="s">
        <v>74</v>
      </c>
      <c r="L1001" t="s">
        <v>74</v>
      </c>
      <c r="M1001" t="s">
        <v>78</v>
      </c>
      <c r="N1001" t="s">
        <v>79</v>
      </c>
      <c r="O1001" t="s">
        <v>74</v>
      </c>
      <c r="P1001" t="s">
        <v>74</v>
      </c>
      <c r="Q1001" t="s">
        <v>74</v>
      </c>
      <c r="R1001" t="s">
        <v>74</v>
      </c>
      <c r="S1001" t="s">
        <v>74</v>
      </c>
      <c r="T1001" t="s">
        <v>18928</v>
      </c>
      <c r="U1001" t="s">
        <v>18929</v>
      </c>
      <c r="V1001" t="s">
        <v>18930</v>
      </c>
      <c r="W1001" t="s">
        <v>18931</v>
      </c>
      <c r="X1001" t="s">
        <v>18932</v>
      </c>
      <c r="Y1001" t="s">
        <v>18933</v>
      </c>
      <c r="Z1001" t="s">
        <v>18934</v>
      </c>
      <c r="AA1001" t="s">
        <v>18935</v>
      </c>
      <c r="AB1001" t="s">
        <v>18936</v>
      </c>
      <c r="AC1001" t="s">
        <v>18937</v>
      </c>
      <c r="AD1001" t="s">
        <v>18938</v>
      </c>
      <c r="AE1001" t="s">
        <v>18939</v>
      </c>
      <c r="AF1001" t="s">
        <v>74</v>
      </c>
      <c r="AG1001">
        <v>53</v>
      </c>
      <c r="AH1001">
        <v>43</v>
      </c>
      <c r="AI1001">
        <v>51</v>
      </c>
      <c r="AJ1001">
        <v>2</v>
      </c>
      <c r="AK1001">
        <v>35</v>
      </c>
      <c r="AL1001" t="s">
        <v>883</v>
      </c>
      <c r="AM1001" t="s">
        <v>884</v>
      </c>
      <c r="AN1001" t="s">
        <v>885</v>
      </c>
      <c r="AO1001" t="s">
        <v>1702</v>
      </c>
      <c r="AP1001" t="s">
        <v>1703</v>
      </c>
      <c r="AQ1001" t="s">
        <v>74</v>
      </c>
      <c r="AR1001" t="s">
        <v>1704</v>
      </c>
      <c r="AS1001" t="s">
        <v>1705</v>
      </c>
      <c r="AT1001" t="s">
        <v>17740</v>
      </c>
      <c r="AU1001">
        <v>2015</v>
      </c>
      <c r="AV1001">
        <v>419</v>
      </c>
      <c r="AW1001" t="s">
        <v>74</v>
      </c>
      <c r="AX1001" t="s">
        <v>74</v>
      </c>
      <c r="AY1001" t="s">
        <v>74</v>
      </c>
      <c r="AZ1001" t="s">
        <v>74</v>
      </c>
      <c r="BA1001" t="s">
        <v>74</v>
      </c>
      <c r="BB1001">
        <v>211</v>
      </c>
      <c r="BC1001">
        <v>221</v>
      </c>
      <c r="BD1001" t="s">
        <v>74</v>
      </c>
      <c r="BE1001" t="s">
        <v>18940</v>
      </c>
      <c r="BF1001" t="str">
        <f>HYPERLINK("http://dx.doi.org/10.1016/j.epsl.2015.03.011","http://dx.doi.org/10.1016/j.epsl.2015.03.011")</f>
        <v>http://dx.doi.org/10.1016/j.epsl.2015.03.011</v>
      </c>
      <c r="BG1001" t="s">
        <v>74</v>
      </c>
      <c r="BH1001" t="s">
        <v>74</v>
      </c>
      <c r="BI1001">
        <v>11</v>
      </c>
      <c r="BJ1001" t="s">
        <v>1707</v>
      </c>
      <c r="BK1001" t="s">
        <v>101</v>
      </c>
      <c r="BL1001" t="s">
        <v>1707</v>
      </c>
      <c r="BM1001" t="s">
        <v>18158</v>
      </c>
      <c r="BN1001" t="s">
        <v>74</v>
      </c>
      <c r="BO1001" t="s">
        <v>1213</v>
      </c>
      <c r="BP1001" t="s">
        <v>74</v>
      </c>
      <c r="BQ1001" t="s">
        <v>74</v>
      </c>
      <c r="BR1001" t="s">
        <v>103</v>
      </c>
      <c r="BS1001" t="s">
        <v>18941</v>
      </c>
      <c r="BT1001" t="str">
        <f>HYPERLINK("https%3A%2F%2Fwww.webofscience.com%2Fwos%2Fwoscc%2Ffull-record%2FWOS:000353852500020","View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2024-07-28T15:24:01Z</dcterms:created>
  <dcterms:modified xsi:type="dcterms:W3CDTF">2024-07-28T15:24:01Z</dcterms:modified>
</cp:coreProperties>
</file>